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est_options\"/>
    </mc:Choice>
  </mc:AlternateContent>
  <xr:revisionPtr revIDLastSave="0" documentId="8_{67F465F9-8CDF-4F62-90D8-AF0D495255ED}" xr6:coauthVersionLast="47" xr6:coauthVersionMax="47" xr10:uidLastSave="{00000000-0000-0000-0000-000000000000}"/>
  <bookViews>
    <workbookView xWindow="-110" yWindow="-110" windowWidth="19420" windowHeight="10420" xr2:uid="{5C5A6D11-C35B-45B7-A823-4AD9A1FAD555}"/>
  </bookViews>
  <sheets>
    <sheet name="הזמנות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2" i="1"/>
  <c r="B2" i="1"/>
  <c r="C2" i="1"/>
  <c r="G2" i="1"/>
  <c r="H2" i="1"/>
  <c r="I2" i="1"/>
  <c r="J2" i="1"/>
  <c r="K2" i="1"/>
  <c r="M2" i="1"/>
  <c r="N2" i="1"/>
  <c r="P2" i="1"/>
  <c r="Q2" i="1"/>
  <c r="R2" i="1"/>
  <c r="S2" i="1"/>
  <c r="T2" i="1"/>
  <c r="Z2" i="1"/>
  <c r="AL2" i="1"/>
  <c r="A3" i="1"/>
  <c r="B3" i="1"/>
  <c r="C3" i="1"/>
  <c r="G3" i="1"/>
  <c r="H3" i="1"/>
  <c r="I3" i="1"/>
  <c r="J3" i="1"/>
  <c r="K3" i="1"/>
  <c r="M3" i="1"/>
  <c r="N3" i="1"/>
  <c r="P3" i="1"/>
  <c r="Q3" i="1"/>
  <c r="R3" i="1"/>
  <c r="S3" i="1"/>
  <c r="T3" i="1"/>
  <c r="Z3" i="1"/>
  <c r="AL3" i="1"/>
  <c r="A4" i="1"/>
  <c r="B4" i="1"/>
  <c r="C4" i="1"/>
  <c r="G4" i="1"/>
  <c r="H4" i="1"/>
  <c r="I4" i="1"/>
  <c r="J4" i="1"/>
  <c r="K4" i="1"/>
  <c r="M4" i="1"/>
  <c r="N4" i="1"/>
  <c r="P4" i="1"/>
  <c r="Q4" i="1"/>
  <c r="R4" i="1"/>
  <c r="S4" i="1"/>
  <c r="T4" i="1"/>
  <c r="Z4" i="1"/>
  <c r="AL4" i="1"/>
  <c r="A5" i="1"/>
  <c r="B5" i="1"/>
  <c r="C5" i="1"/>
  <c r="G5" i="1"/>
  <c r="H5" i="1"/>
  <c r="I5" i="1"/>
  <c r="J5" i="1"/>
  <c r="K5" i="1"/>
  <c r="M5" i="1"/>
  <c r="N5" i="1"/>
  <c r="P5" i="1"/>
  <c r="Q5" i="1"/>
  <c r="R5" i="1"/>
  <c r="S5" i="1"/>
  <c r="T5" i="1"/>
  <c r="Z5" i="1"/>
  <c r="AL5" i="1"/>
  <c r="A6" i="1"/>
  <c r="B6" i="1"/>
  <c r="C6" i="1"/>
  <c r="G6" i="1"/>
  <c r="H6" i="1"/>
  <c r="I6" i="1"/>
  <c r="J6" i="1"/>
  <c r="K6" i="1"/>
  <c r="M6" i="1"/>
  <c r="N6" i="1"/>
  <c r="P6" i="1"/>
  <c r="Q6" i="1"/>
  <c r="R6" i="1"/>
  <c r="S6" i="1"/>
  <c r="T6" i="1"/>
  <c r="Z6" i="1"/>
  <c r="AL6" i="1"/>
  <c r="A7" i="1"/>
  <c r="B7" i="1"/>
  <c r="C7" i="1"/>
  <c r="G7" i="1"/>
  <c r="H7" i="1"/>
  <c r="I7" i="1"/>
  <c r="J7" i="1"/>
  <c r="K7" i="1"/>
  <c r="M7" i="1"/>
  <c r="N7" i="1"/>
  <c r="P7" i="1"/>
  <c r="Q7" i="1"/>
  <c r="R7" i="1"/>
  <c r="S7" i="1"/>
  <c r="T7" i="1"/>
  <c r="Z7" i="1"/>
  <c r="AL7" i="1"/>
  <c r="A8" i="1"/>
  <c r="B8" i="1"/>
  <c r="C8" i="1"/>
  <c r="G8" i="1"/>
  <c r="H8" i="1"/>
  <c r="I8" i="1"/>
  <c r="J8" i="1"/>
  <c r="K8" i="1"/>
  <c r="M8" i="1"/>
  <c r="N8" i="1"/>
  <c r="P8" i="1"/>
  <c r="Q8" i="1"/>
  <c r="R8" i="1"/>
  <c r="S8" i="1"/>
  <c r="T8" i="1"/>
  <c r="Z8" i="1"/>
  <c r="AL8" i="1"/>
  <c r="A9" i="1"/>
  <c r="B9" i="1"/>
  <c r="C9" i="1"/>
  <c r="G9" i="1"/>
  <c r="H9" i="1"/>
  <c r="I9" i="1"/>
  <c r="J9" i="1"/>
  <c r="K9" i="1"/>
  <c r="M9" i="1"/>
  <c r="N9" i="1"/>
  <c r="P9" i="1"/>
  <c r="Q9" i="1"/>
  <c r="R9" i="1"/>
  <c r="S9" i="1"/>
  <c r="T9" i="1"/>
  <c r="Z9" i="1"/>
  <c r="AL9" i="1"/>
  <c r="A10" i="1"/>
  <c r="B10" i="1"/>
  <c r="C10" i="1"/>
  <c r="G10" i="1"/>
  <c r="H10" i="1"/>
  <c r="I10" i="1"/>
  <c r="J10" i="1"/>
  <c r="K10" i="1"/>
  <c r="M10" i="1"/>
  <c r="N10" i="1"/>
  <c r="P10" i="1"/>
  <c r="Q10" i="1"/>
  <c r="R10" i="1"/>
  <c r="S10" i="1"/>
  <c r="T10" i="1"/>
  <c r="Z10" i="1"/>
  <c r="AL10" i="1"/>
  <c r="A11" i="1"/>
  <c r="B11" i="1"/>
  <c r="C11" i="1"/>
  <c r="G11" i="1"/>
  <c r="H11" i="1"/>
  <c r="I11" i="1"/>
  <c r="J11" i="1"/>
  <c r="K11" i="1"/>
  <c r="M11" i="1"/>
  <c r="N11" i="1"/>
  <c r="P11" i="1"/>
  <c r="Q11" i="1"/>
  <c r="R11" i="1"/>
  <c r="S11" i="1"/>
  <c r="T11" i="1"/>
  <c r="Z11" i="1"/>
  <c r="AL11" i="1"/>
  <c r="A12" i="1"/>
  <c r="B12" i="1"/>
  <c r="C12" i="1"/>
  <c r="G12" i="1"/>
  <c r="H12" i="1"/>
  <c r="I12" i="1"/>
  <c r="J12" i="1"/>
  <c r="K12" i="1"/>
  <c r="M12" i="1"/>
  <c r="N12" i="1"/>
  <c r="P12" i="1"/>
  <c r="Q12" i="1"/>
  <c r="R12" i="1"/>
  <c r="S12" i="1"/>
  <c r="T12" i="1"/>
  <c r="Z12" i="1"/>
  <c r="AL12" i="1"/>
  <c r="A13" i="1"/>
  <c r="B13" i="1"/>
  <c r="C13" i="1"/>
  <c r="G13" i="1"/>
  <c r="H13" i="1"/>
  <c r="I13" i="1"/>
  <c r="J13" i="1"/>
  <c r="K13" i="1"/>
  <c r="M13" i="1"/>
  <c r="N13" i="1"/>
  <c r="P13" i="1"/>
  <c r="Q13" i="1"/>
  <c r="R13" i="1"/>
  <c r="S13" i="1"/>
  <c r="T13" i="1"/>
  <c r="Z13" i="1"/>
  <c r="AL13" i="1"/>
  <c r="A14" i="1"/>
  <c r="B14" i="1"/>
  <c r="C14" i="1"/>
  <c r="G14" i="1"/>
  <c r="H14" i="1"/>
  <c r="I14" i="1"/>
  <c r="J14" i="1"/>
  <c r="K14" i="1"/>
  <c r="M14" i="1"/>
  <c r="N14" i="1"/>
  <c r="P14" i="1"/>
  <c r="Q14" i="1"/>
  <c r="R14" i="1"/>
  <c r="S14" i="1"/>
  <c r="T14" i="1"/>
  <c r="Z14" i="1"/>
  <c r="AL14" i="1"/>
  <c r="A15" i="1"/>
  <c r="B15" i="1"/>
  <c r="C15" i="1"/>
  <c r="G15" i="1"/>
  <c r="H15" i="1"/>
  <c r="I15" i="1"/>
  <c r="J15" i="1"/>
  <c r="K15" i="1"/>
  <c r="M15" i="1"/>
  <c r="N15" i="1"/>
  <c r="P15" i="1"/>
  <c r="Q15" i="1"/>
  <c r="R15" i="1"/>
  <c r="S15" i="1"/>
  <c r="T15" i="1"/>
  <c r="Z15" i="1"/>
  <c r="AL15" i="1"/>
  <c r="A16" i="1"/>
  <c r="B16" i="1"/>
  <c r="C16" i="1"/>
  <c r="G16" i="1"/>
  <c r="H16" i="1"/>
  <c r="I16" i="1"/>
  <c r="J16" i="1"/>
  <c r="K16" i="1"/>
  <c r="M16" i="1"/>
  <c r="N16" i="1"/>
  <c r="P16" i="1"/>
  <c r="Q16" i="1"/>
  <c r="R16" i="1"/>
  <c r="S16" i="1"/>
  <c r="T16" i="1"/>
  <c r="Z16" i="1"/>
  <c r="AL16" i="1"/>
  <c r="A17" i="1"/>
  <c r="B17" i="1"/>
  <c r="C17" i="1"/>
  <c r="G17" i="1"/>
  <c r="H17" i="1"/>
  <c r="I17" i="1"/>
  <c r="J17" i="1"/>
  <c r="K17" i="1"/>
  <c r="M17" i="1"/>
  <c r="N17" i="1"/>
  <c r="P17" i="1"/>
  <c r="Q17" i="1"/>
  <c r="R17" i="1"/>
  <c r="S17" i="1"/>
  <c r="T17" i="1"/>
  <c r="Z17" i="1"/>
  <c r="AL17" i="1"/>
  <c r="A18" i="1"/>
  <c r="B18" i="1"/>
  <c r="C18" i="1"/>
  <c r="G18" i="1"/>
  <c r="H18" i="1"/>
  <c r="I18" i="1"/>
  <c r="J18" i="1"/>
  <c r="K18" i="1"/>
  <c r="M18" i="1"/>
  <c r="N18" i="1"/>
  <c r="P18" i="1"/>
  <c r="Q18" i="1"/>
  <c r="R18" i="1"/>
  <c r="S18" i="1"/>
  <c r="T18" i="1"/>
  <c r="Z18" i="1"/>
  <c r="AL18" i="1"/>
  <c r="A19" i="1"/>
  <c r="B19" i="1"/>
  <c r="C19" i="1"/>
  <c r="G19" i="1"/>
  <c r="H19" i="1"/>
  <c r="I19" i="1"/>
  <c r="J19" i="1"/>
  <c r="K19" i="1"/>
  <c r="M19" i="1"/>
  <c r="N19" i="1"/>
  <c r="P19" i="1"/>
  <c r="Q19" i="1"/>
  <c r="R19" i="1"/>
  <c r="S19" i="1"/>
  <c r="T19" i="1"/>
  <c r="Z19" i="1"/>
  <c r="AL19" i="1"/>
  <c r="A20" i="1"/>
  <c r="B20" i="1"/>
  <c r="C20" i="1"/>
  <c r="G20" i="1"/>
  <c r="H20" i="1"/>
  <c r="I20" i="1"/>
  <c r="J20" i="1"/>
  <c r="K20" i="1"/>
  <c r="M20" i="1"/>
  <c r="N20" i="1"/>
  <c r="P20" i="1"/>
  <c r="Q20" i="1"/>
  <c r="R20" i="1"/>
  <c r="S20" i="1"/>
  <c r="T20" i="1"/>
  <c r="Z20" i="1"/>
  <c r="AL20" i="1"/>
  <c r="A21" i="1"/>
  <c r="B21" i="1"/>
  <c r="C21" i="1"/>
  <c r="G21" i="1"/>
  <c r="H21" i="1"/>
  <c r="I21" i="1"/>
  <c r="J21" i="1"/>
  <c r="K21" i="1"/>
  <c r="M21" i="1"/>
  <c r="N21" i="1"/>
  <c r="P21" i="1"/>
  <c r="Q21" i="1"/>
  <c r="R21" i="1"/>
  <c r="S21" i="1"/>
  <c r="T21" i="1"/>
  <c r="Z21" i="1"/>
  <c r="AL21" i="1"/>
  <c r="A22" i="1"/>
  <c r="B22" i="1"/>
  <c r="C22" i="1"/>
  <c r="G22" i="1"/>
  <c r="H22" i="1"/>
  <c r="I22" i="1"/>
  <c r="J22" i="1"/>
  <c r="K22" i="1"/>
  <c r="M22" i="1"/>
  <c r="N22" i="1"/>
  <c r="P22" i="1"/>
  <c r="Q22" i="1"/>
  <c r="R22" i="1"/>
  <c r="S22" i="1"/>
  <c r="T22" i="1"/>
  <c r="Z22" i="1"/>
  <c r="AL22" i="1"/>
  <c r="A23" i="1"/>
  <c r="B23" i="1"/>
  <c r="C23" i="1"/>
  <c r="G23" i="1"/>
  <c r="H23" i="1"/>
  <c r="I23" i="1"/>
  <c r="J23" i="1"/>
  <c r="K23" i="1"/>
  <c r="M23" i="1"/>
  <c r="N23" i="1"/>
  <c r="P23" i="1"/>
  <c r="Q23" i="1"/>
  <c r="R23" i="1"/>
  <c r="S23" i="1"/>
  <c r="T23" i="1"/>
  <c r="Z23" i="1"/>
  <c r="AL23" i="1"/>
  <c r="A24" i="1"/>
  <c r="B24" i="1"/>
  <c r="C24" i="1"/>
  <c r="G24" i="1"/>
  <c r="H24" i="1"/>
  <c r="I24" i="1"/>
  <c r="J24" i="1"/>
  <c r="K24" i="1"/>
  <c r="M24" i="1"/>
  <c r="N24" i="1"/>
  <c r="P24" i="1"/>
  <c r="Q24" i="1"/>
  <c r="R24" i="1"/>
  <c r="S24" i="1"/>
  <c r="T24" i="1"/>
  <c r="Z24" i="1"/>
  <c r="AL24" i="1"/>
  <c r="A25" i="1"/>
  <c r="B25" i="1"/>
  <c r="C25" i="1"/>
  <c r="G25" i="1"/>
  <c r="H25" i="1"/>
  <c r="I25" i="1"/>
  <c r="J25" i="1"/>
  <c r="K25" i="1"/>
  <c r="M25" i="1"/>
  <c r="N25" i="1"/>
  <c r="P25" i="1"/>
  <c r="Q25" i="1"/>
  <c r="R25" i="1"/>
  <c r="S25" i="1"/>
  <c r="T25" i="1"/>
  <c r="Z25" i="1"/>
  <c r="AL25" i="1"/>
  <c r="A26" i="1"/>
  <c r="B26" i="1"/>
  <c r="C26" i="1"/>
  <c r="G26" i="1"/>
  <c r="H26" i="1"/>
  <c r="I26" i="1"/>
  <c r="J26" i="1"/>
  <c r="K26" i="1"/>
  <c r="M26" i="1"/>
  <c r="N26" i="1"/>
  <c r="P26" i="1"/>
  <c r="Q26" i="1"/>
  <c r="R26" i="1"/>
  <c r="S26" i="1"/>
  <c r="T26" i="1"/>
  <c r="Z26" i="1"/>
  <c r="AL26" i="1"/>
  <c r="A27" i="1"/>
  <c r="B27" i="1"/>
  <c r="C27" i="1"/>
  <c r="G27" i="1"/>
  <c r="H27" i="1"/>
  <c r="I27" i="1"/>
  <c r="J27" i="1"/>
  <c r="K27" i="1"/>
  <c r="P27" i="1"/>
  <c r="Q27" i="1"/>
  <c r="R27" i="1"/>
  <c r="S27" i="1"/>
  <c r="T27" i="1"/>
  <c r="Z27" i="1"/>
  <c r="AL27" i="1"/>
  <c r="A28" i="1"/>
  <c r="B28" i="1"/>
  <c r="C28" i="1"/>
  <c r="G28" i="1"/>
  <c r="H28" i="1"/>
  <c r="I28" i="1"/>
  <c r="J28" i="1"/>
  <c r="K28" i="1"/>
  <c r="M28" i="1"/>
  <c r="N28" i="1"/>
  <c r="P28" i="1"/>
  <c r="Q28" i="1"/>
  <c r="R28" i="1"/>
  <c r="S28" i="1"/>
  <c r="T28" i="1"/>
  <c r="Z28" i="1"/>
  <c r="AL28" i="1"/>
  <c r="A29" i="1"/>
  <c r="B29" i="1"/>
  <c r="C29" i="1"/>
  <c r="G29" i="1"/>
  <c r="H29" i="1"/>
  <c r="I29" i="1"/>
  <c r="J29" i="1"/>
  <c r="K29" i="1"/>
  <c r="P29" i="1"/>
  <c r="Q29" i="1"/>
  <c r="R29" i="1"/>
  <c r="S29" i="1"/>
  <c r="T29" i="1"/>
  <c r="Z29" i="1"/>
  <c r="AL29" i="1"/>
  <c r="A30" i="1"/>
  <c r="B30" i="1"/>
  <c r="C30" i="1"/>
  <c r="G30" i="1"/>
  <c r="H30" i="1"/>
  <c r="I30" i="1"/>
  <c r="J30" i="1"/>
  <c r="K30" i="1"/>
  <c r="M30" i="1"/>
  <c r="N30" i="1"/>
  <c r="P30" i="1"/>
  <c r="Q30" i="1"/>
  <c r="R30" i="1"/>
  <c r="S30" i="1"/>
  <c r="T30" i="1"/>
  <c r="Z30" i="1"/>
  <c r="AL30" i="1"/>
  <c r="A31" i="1"/>
  <c r="B31" i="1"/>
  <c r="C31" i="1"/>
  <c r="G31" i="1"/>
  <c r="H31" i="1"/>
  <c r="I31" i="1"/>
  <c r="J31" i="1"/>
  <c r="K31" i="1"/>
  <c r="M31" i="1"/>
  <c r="N31" i="1"/>
  <c r="P31" i="1"/>
  <c r="Q31" i="1"/>
  <c r="R31" i="1"/>
  <c r="S31" i="1"/>
  <c r="T31" i="1"/>
  <c r="Z31" i="1"/>
  <c r="AL31" i="1"/>
  <c r="A32" i="1"/>
  <c r="B32" i="1"/>
  <c r="C32" i="1"/>
  <c r="G32" i="1"/>
  <c r="H32" i="1"/>
  <c r="I32" i="1"/>
  <c r="J32" i="1"/>
  <c r="K32" i="1"/>
  <c r="M32" i="1"/>
  <c r="N32" i="1"/>
  <c r="P32" i="1"/>
  <c r="Q32" i="1"/>
  <c r="R32" i="1"/>
  <c r="S32" i="1"/>
  <c r="T32" i="1"/>
  <c r="Z32" i="1"/>
  <c r="AL32" i="1"/>
  <c r="A33" i="1"/>
  <c r="B33" i="1"/>
  <c r="C33" i="1"/>
  <c r="G33" i="1"/>
  <c r="H33" i="1"/>
  <c r="I33" i="1"/>
  <c r="J33" i="1"/>
  <c r="K33" i="1"/>
  <c r="M33" i="1"/>
  <c r="N33" i="1"/>
  <c r="P33" i="1"/>
  <c r="Q33" i="1"/>
  <c r="R33" i="1"/>
  <c r="S33" i="1"/>
  <c r="T33" i="1"/>
  <c r="Z33" i="1"/>
  <c r="AL33" i="1"/>
  <c r="A34" i="1"/>
  <c r="B34" i="1"/>
  <c r="C34" i="1"/>
  <c r="G34" i="1"/>
  <c r="H34" i="1"/>
  <c r="I34" i="1"/>
  <c r="J34" i="1"/>
  <c r="K34" i="1"/>
  <c r="M34" i="1"/>
  <c r="N34" i="1"/>
  <c r="P34" i="1"/>
  <c r="Q34" i="1"/>
  <c r="R34" i="1"/>
  <c r="S34" i="1"/>
  <c r="T34" i="1"/>
  <c r="Z34" i="1"/>
  <c r="AL34" i="1"/>
  <c r="A35" i="1"/>
  <c r="B35" i="1"/>
  <c r="C35" i="1"/>
  <c r="G35" i="1"/>
  <c r="H35" i="1"/>
  <c r="I35" i="1"/>
  <c r="J35" i="1"/>
  <c r="K35" i="1"/>
  <c r="M35" i="1"/>
  <c r="N35" i="1"/>
  <c r="P35" i="1"/>
  <c r="Q35" i="1"/>
  <c r="R35" i="1"/>
  <c r="S35" i="1"/>
  <c r="T35" i="1"/>
  <c r="Z35" i="1"/>
  <c r="AL35" i="1"/>
  <c r="A36" i="1"/>
  <c r="B36" i="1"/>
  <c r="C36" i="1"/>
  <c r="G36" i="1"/>
  <c r="H36" i="1"/>
  <c r="I36" i="1"/>
  <c r="J36" i="1"/>
  <c r="K36" i="1"/>
  <c r="M36" i="1"/>
  <c r="N36" i="1"/>
  <c r="P36" i="1"/>
  <c r="Q36" i="1"/>
  <c r="R36" i="1"/>
  <c r="S36" i="1"/>
  <c r="T36" i="1"/>
  <c r="Z36" i="1"/>
  <c r="AL36" i="1"/>
  <c r="A37" i="1"/>
  <c r="B37" i="1"/>
  <c r="C37" i="1"/>
  <c r="G37" i="1"/>
  <c r="H37" i="1"/>
  <c r="I37" i="1"/>
  <c r="J37" i="1"/>
  <c r="K37" i="1"/>
  <c r="M37" i="1"/>
  <c r="N37" i="1"/>
  <c r="P37" i="1"/>
  <c r="Q37" i="1"/>
  <c r="R37" i="1"/>
  <c r="S37" i="1"/>
  <c r="T37" i="1"/>
  <c r="Z37" i="1"/>
  <c r="AL37" i="1"/>
  <c r="A38" i="1"/>
  <c r="B38" i="1"/>
  <c r="C38" i="1"/>
  <c r="G38" i="1"/>
  <c r="H38" i="1"/>
  <c r="I38" i="1"/>
  <c r="J38" i="1"/>
  <c r="K38" i="1"/>
  <c r="M38" i="1"/>
  <c r="N38" i="1"/>
  <c r="P38" i="1"/>
  <c r="Q38" i="1"/>
  <c r="R38" i="1"/>
  <c r="S38" i="1"/>
  <c r="T38" i="1"/>
  <c r="Z38" i="1"/>
  <c r="AL38" i="1"/>
  <c r="A39" i="1"/>
  <c r="B39" i="1"/>
  <c r="C39" i="1"/>
  <c r="G39" i="1"/>
  <c r="H39" i="1"/>
  <c r="I39" i="1"/>
  <c r="J39" i="1"/>
  <c r="K39" i="1"/>
  <c r="M39" i="1"/>
  <c r="N39" i="1"/>
  <c r="P39" i="1"/>
  <c r="Q39" i="1"/>
  <c r="R39" i="1"/>
  <c r="S39" i="1"/>
  <c r="T39" i="1"/>
  <c r="Z39" i="1"/>
  <c r="AL39" i="1"/>
  <c r="A40" i="1"/>
  <c r="B40" i="1"/>
  <c r="C40" i="1"/>
  <c r="G40" i="1"/>
  <c r="H40" i="1"/>
  <c r="I40" i="1"/>
  <c r="J40" i="1"/>
  <c r="K40" i="1"/>
  <c r="M40" i="1"/>
  <c r="N40" i="1"/>
  <c r="P40" i="1"/>
  <c r="Q40" i="1"/>
  <c r="R40" i="1"/>
  <c r="S40" i="1"/>
  <c r="T40" i="1"/>
  <c r="Z40" i="1"/>
  <c r="AL40" i="1"/>
  <c r="A41" i="1"/>
  <c r="B41" i="1"/>
  <c r="C41" i="1"/>
  <c r="G41" i="1"/>
  <c r="H41" i="1"/>
  <c r="I41" i="1"/>
  <c r="J41" i="1"/>
  <c r="K41" i="1"/>
  <c r="M41" i="1"/>
  <c r="N41" i="1"/>
  <c r="P41" i="1"/>
  <c r="Q41" i="1"/>
  <c r="R41" i="1"/>
  <c r="S41" i="1"/>
  <c r="T41" i="1"/>
  <c r="Z41" i="1"/>
  <c r="AL41" i="1"/>
  <c r="A42" i="1"/>
  <c r="B42" i="1"/>
  <c r="C42" i="1"/>
  <c r="G42" i="1"/>
  <c r="H42" i="1"/>
  <c r="I42" i="1"/>
  <c r="J42" i="1"/>
  <c r="K42" i="1"/>
  <c r="M42" i="1"/>
  <c r="N42" i="1"/>
  <c r="P42" i="1"/>
  <c r="Q42" i="1"/>
  <c r="R42" i="1"/>
  <c r="S42" i="1"/>
  <c r="T42" i="1"/>
  <c r="Z42" i="1"/>
  <c r="AL42" i="1"/>
  <c r="A43" i="1"/>
  <c r="B43" i="1"/>
  <c r="C43" i="1"/>
  <c r="G43" i="1"/>
  <c r="H43" i="1"/>
  <c r="I43" i="1"/>
  <c r="J43" i="1"/>
  <c r="K43" i="1"/>
  <c r="M43" i="1"/>
  <c r="N43" i="1"/>
  <c r="P43" i="1"/>
  <c r="Q43" i="1"/>
  <c r="R43" i="1"/>
  <c r="S43" i="1"/>
  <c r="T43" i="1"/>
  <c r="Z43" i="1"/>
  <c r="AL43" i="1"/>
  <c r="A44" i="1"/>
  <c r="B44" i="1"/>
  <c r="C44" i="1"/>
  <c r="G44" i="1"/>
  <c r="H44" i="1"/>
  <c r="I44" i="1"/>
  <c r="J44" i="1"/>
  <c r="K44" i="1"/>
  <c r="M44" i="1"/>
  <c r="N44" i="1"/>
  <c r="P44" i="1"/>
  <c r="Q44" i="1"/>
  <c r="R44" i="1"/>
  <c r="S44" i="1"/>
  <c r="T44" i="1"/>
  <c r="Z44" i="1"/>
  <c r="AL44" i="1"/>
  <c r="A45" i="1"/>
  <c r="B45" i="1"/>
  <c r="C45" i="1"/>
  <c r="G45" i="1"/>
  <c r="H45" i="1"/>
  <c r="I45" i="1"/>
  <c r="J45" i="1"/>
  <c r="K45" i="1"/>
  <c r="M45" i="1"/>
  <c r="N45" i="1"/>
  <c r="P45" i="1"/>
  <c r="Q45" i="1"/>
  <c r="R45" i="1"/>
  <c r="S45" i="1"/>
  <c r="T45" i="1"/>
  <c r="Z45" i="1"/>
  <c r="AL45" i="1"/>
  <c r="A46" i="1"/>
  <c r="B46" i="1"/>
  <c r="C46" i="1"/>
  <c r="G46" i="1"/>
  <c r="H46" i="1"/>
  <c r="I46" i="1"/>
  <c r="J46" i="1"/>
  <c r="K46" i="1"/>
  <c r="M46" i="1"/>
  <c r="N46" i="1"/>
  <c r="P46" i="1"/>
  <c r="Q46" i="1"/>
  <c r="R46" i="1"/>
  <c r="S46" i="1"/>
  <c r="T46" i="1"/>
  <c r="Z46" i="1"/>
  <c r="AL46" i="1"/>
  <c r="A47" i="1"/>
  <c r="B47" i="1"/>
  <c r="C47" i="1"/>
  <c r="G47" i="1"/>
  <c r="H47" i="1"/>
  <c r="I47" i="1"/>
  <c r="J47" i="1"/>
  <c r="K47" i="1"/>
  <c r="M47" i="1"/>
  <c r="N47" i="1"/>
  <c r="P47" i="1"/>
  <c r="Q47" i="1"/>
  <c r="R47" i="1"/>
  <c r="S47" i="1"/>
  <c r="T47" i="1"/>
  <c r="Z47" i="1"/>
  <c r="AL47" i="1"/>
  <c r="A48" i="1"/>
  <c r="B48" i="1"/>
  <c r="C48" i="1"/>
  <c r="G48" i="1"/>
  <c r="H48" i="1"/>
  <c r="I48" i="1"/>
  <c r="J48" i="1"/>
  <c r="K48" i="1"/>
  <c r="M48" i="1"/>
  <c r="N48" i="1"/>
  <c r="P48" i="1"/>
  <c r="Q48" i="1"/>
  <c r="R48" i="1"/>
  <c r="S48" i="1"/>
  <c r="T48" i="1"/>
  <c r="Z48" i="1"/>
  <c r="AL48" i="1"/>
  <c r="A49" i="1"/>
  <c r="B49" i="1"/>
  <c r="C49" i="1"/>
  <c r="G49" i="1"/>
  <c r="H49" i="1"/>
  <c r="I49" i="1"/>
  <c r="J49" i="1"/>
  <c r="K49" i="1"/>
  <c r="M49" i="1"/>
  <c r="N49" i="1"/>
  <c r="P49" i="1"/>
  <c r="Q49" i="1"/>
  <c r="R49" i="1"/>
  <c r="S49" i="1"/>
  <c r="T49" i="1"/>
  <c r="Z49" i="1"/>
  <c r="AL49" i="1"/>
  <c r="A50" i="1"/>
  <c r="B50" i="1"/>
  <c r="C50" i="1"/>
  <c r="G50" i="1"/>
  <c r="H50" i="1"/>
  <c r="I50" i="1"/>
  <c r="J50" i="1"/>
  <c r="K50" i="1"/>
  <c r="M50" i="1"/>
  <c r="N50" i="1"/>
  <c r="P50" i="1"/>
  <c r="Q50" i="1"/>
  <c r="R50" i="1"/>
  <c r="S50" i="1"/>
  <c r="T50" i="1"/>
  <c r="Z50" i="1"/>
  <c r="AL50" i="1"/>
  <c r="A51" i="1"/>
  <c r="B51" i="1"/>
  <c r="C51" i="1"/>
  <c r="G51" i="1"/>
  <c r="H51" i="1"/>
  <c r="I51" i="1"/>
  <c r="J51" i="1"/>
  <c r="K51" i="1"/>
  <c r="M51" i="1"/>
  <c r="N51" i="1"/>
  <c r="P51" i="1"/>
  <c r="Q51" i="1"/>
  <c r="R51" i="1"/>
  <c r="S51" i="1"/>
  <c r="T51" i="1"/>
  <c r="Z51" i="1"/>
  <c r="AL51" i="1"/>
  <c r="A52" i="1"/>
  <c r="B52" i="1"/>
  <c r="C52" i="1"/>
  <c r="G52" i="1"/>
  <c r="H52" i="1"/>
  <c r="I52" i="1"/>
  <c r="J52" i="1"/>
  <c r="K52" i="1"/>
  <c r="M52" i="1"/>
  <c r="N52" i="1"/>
  <c r="P52" i="1"/>
  <c r="Q52" i="1"/>
  <c r="R52" i="1"/>
  <c r="S52" i="1"/>
  <c r="T52" i="1"/>
  <c r="Z52" i="1"/>
  <c r="AL52" i="1"/>
  <c r="A53" i="1"/>
  <c r="B53" i="1"/>
  <c r="C53" i="1"/>
  <c r="G53" i="1"/>
  <c r="H53" i="1"/>
  <c r="I53" i="1"/>
  <c r="J53" i="1"/>
  <c r="K53" i="1"/>
  <c r="P53" i="1"/>
  <c r="Q53" i="1"/>
  <c r="R53" i="1"/>
  <c r="S53" i="1"/>
  <c r="T53" i="1"/>
  <c r="Z53" i="1"/>
  <c r="AL53" i="1"/>
  <c r="A54" i="1"/>
  <c r="B54" i="1"/>
  <c r="C54" i="1"/>
  <c r="G54" i="1"/>
  <c r="H54" i="1"/>
  <c r="I54" i="1"/>
  <c r="J54" i="1"/>
  <c r="K54" i="1"/>
  <c r="P54" i="1"/>
  <c r="Q54" i="1"/>
  <c r="R54" i="1"/>
  <c r="S54" i="1"/>
  <c r="T54" i="1"/>
  <c r="Z54" i="1"/>
  <c r="AL54" i="1"/>
  <c r="A55" i="1"/>
  <c r="B55" i="1"/>
  <c r="C55" i="1"/>
  <c r="G55" i="1"/>
  <c r="H55" i="1"/>
  <c r="I55" i="1"/>
  <c r="J55" i="1"/>
  <c r="K55" i="1"/>
  <c r="M55" i="1"/>
  <c r="N55" i="1"/>
  <c r="P55" i="1"/>
  <c r="Q55" i="1"/>
  <c r="R55" i="1"/>
  <c r="S55" i="1"/>
  <c r="T55" i="1"/>
  <c r="Z55" i="1"/>
  <c r="AL55" i="1"/>
  <c r="A56" i="1"/>
  <c r="B56" i="1"/>
  <c r="C56" i="1"/>
  <c r="G56" i="1"/>
  <c r="H56" i="1"/>
  <c r="I56" i="1"/>
  <c r="J56" i="1"/>
  <c r="K56" i="1"/>
  <c r="M56" i="1"/>
  <c r="N56" i="1"/>
  <c r="P56" i="1"/>
  <c r="Q56" i="1"/>
  <c r="R56" i="1"/>
  <c r="S56" i="1"/>
  <c r="T56" i="1"/>
  <c r="Z56" i="1"/>
  <c r="AL56" i="1"/>
  <c r="A57" i="1"/>
  <c r="B57" i="1"/>
  <c r="C57" i="1"/>
  <c r="G57" i="1"/>
  <c r="H57" i="1"/>
  <c r="I57" i="1"/>
  <c r="J57" i="1"/>
  <c r="K57" i="1"/>
  <c r="M57" i="1"/>
  <c r="N57" i="1"/>
  <c r="P57" i="1"/>
  <c r="Q57" i="1"/>
  <c r="R57" i="1"/>
  <c r="S57" i="1"/>
  <c r="T57" i="1"/>
  <c r="Z57" i="1"/>
  <c r="AL57" i="1"/>
  <c r="A58" i="1"/>
  <c r="B58" i="1"/>
  <c r="C58" i="1"/>
  <c r="G58" i="1"/>
  <c r="H58" i="1"/>
  <c r="I58" i="1"/>
  <c r="J58" i="1"/>
  <c r="K58" i="1"/>
  <c r="M58" i="1"/>
  <c r="N58" i="1"/>
  <c r="P58" i="1"/>
  <c r="Q58" i="1"/>
  <c r="R58" i="1"/>
  <c r="S58" i="1"/>
  <c r="T58" i="1"/>
  <c r="Z58" i="1"/>
  <c r="AL58" i="1"/>
  <c r="A59" i="1"/>
  <c r="B59" i="1"/>
  <c r="C59" i="1"/>
  <c r="G59" i="1"/>
  <c r="H59" i="1"/>
  <c r="I59" i="1"/>
  <c r="J59" i="1"/>
  <c r="K59" i="1"/>
  <c r="M59" i="1"/>
  <c r="N59" i="1"/>
  <c r="P59" i="1"/>
  <c r="Q59" i="1"/>
  <c r="R59" i="1"/>
  <c r="S59" i="1"/>
  <c r="T59" i="1"/>
  <c r="Z59" i="1"/>
  <c r="AL59" i="1"/>
  <c r="A60" i="1"/>
  <c r="B60" i="1"/>
  <c r="C60" i="1"/>
  <c r="G60" i="1"/>
  <c r="H60" i="1"/>
  <c r="I60" i="1"/>
  <c r="J60" i="1"/>
  <c r="K60" i="1"/>
  <c r="M60" i="1"/>
  <c r="N60" i="1"/>
  <c r="P60" i="1"/>
  <c r="Q60" i="1"/>
  <c r="R60" i="1"/>
  <c r="S60" i="1"/>
  <c r="T60" i="1"/>
  <c r="Z60" i="1"/>
  <c r="AL60" i="1"/>
  <c r="A61" i="1"/>
  <c r="B61" i="1"/>
  <c r="C61" i="1"/>
  <c r="G61" i="1"/>
  <c r="H61" i="1"/>
  <c r="I61" i="1"/>
  <c r="J61" i="1"/>
  <c r="K61" i="1"/>
  <c r="M61" i="1"/>
  <c r="N61" i="1"/>
  <c r="P61" i="1"/>
  <c r="Q61" i="1"/>
  <c r="R61" i="1"/>
  <c r="S61" i="1"/>
  <c r="T61" i="1"/>
  <c r="Z61" i="1"/>
  <c r="AL61" i="1"/>
  <c r="A62" i="1"/>
  <c r="B62" i="1"/>
  <c r="C62" i="1"/>
  <c r="G62" i="1"/>
  <c r="H62" i="1"/>
  <c r="I62" i="1"/>
  <c r="J62" i="1"/>
  <c r="K62" i="1"/>
  <c r="M62" i="1"/>
  <c r="N62" i="1"/>
  <c r="P62" i="1"/>
  <c r="Q62" i="1"/>
  <c r="R62" i="1"/>
  <c r="S62" i="1"/>
  <c r="T62" i="1"/>
  <c r="Z62" i="1"/>
  <c r="AL62" i="1"/>
  <c r="A63" i="1"/>
  <c r="B63" i="1"/>
  <c r="C63" i="1"/>
  <c r="G63" i="1"/>
  <c r="H63" i="1"/>
  <c r="I63" i="1"/>
  <c r="J63" i="1"/>
  <c r="K63" i="1"/>
  <c r="M63" i="1"/>
  <c r="N63" i="1"/>
  <c r="P63" i="1"/>
  <c r="Q63" i="1"/>
  <c r="R63" i="1"/>
  <c r="S63" i="1"/>
  <c r="T63" i="1"/>
  <c r="Z63" i="1"/>
  <c r="AL63" i="1"/>
  <c r="A64" i="1"/>
  <c r="B64" i="1"/>
  <c r="C64" i="1"/>
  <c r="G64" i="1"/>
  <c r="H64" i="1"/>
  <c r="I64" i="1"/>
  <c r="J64" i="1"/>
  <c r="K64" i="1"/>
  <c r="M64" i="1"/>
  <c r="N64" i="1"/>
  <c r="P64" i="1"/>
  <c r="Q64" i="1"/>
  <c r="R64" i="1"/>
  <c r="S64" i="1"/>
  <c r="T64" i="1"/>
  <c r="Z64" i="1"/>
  <c r="AL64" i="1"/>
  <c r="A65" i="1"/>
  <c r="B65" i="1"/>
  <c r="C65" i="1"/>
  <c r="G65" i="1"/>
  <c r="H65" i="1"/>
  <c r="I65" i="1"/>
  <c r="J65" i="1"/>
  <c r="K65" i="1"/>
  <c r="M65" i="1"/>
  <c r="N65" i="1"/>
  <c r="P65" i="1"/>
  <c r="Q65" i="1"/>
  <c r="R65" i="1"/>
  <c r="S65" i="1"/>
  <c r="T65" i="1"/>
  <c r="Z65" i="1"/>
  <c r="AL65" i="1"/>
  <c r="A66" i="1"/>
  <c r="B66" i="1"/>
  <c r="C66" i="1"/>
  <c r="G66" i="1"/>
  <c r="H66" i="1"/>
  <c r="I66" i="1"/>
  <c r="J66" i="1"/>
  <c r="K66" i="1"/>
  <c r="M66" i="1"/>
  <c r="N66" i="1"/>
  <c r="P66" i="1"/>
  <c r="Q66" i="1"/>
  <c r="R66" i="1"/>
  <c r="S66" i="1"/>
  <c r="T66" i="1"/>
  <c r="Z66" i="1"/>
  <c r="AL66" i="1"/>
  <c r="A67" i="1"/>
  <c r="B67" i="1"/>
  <c r="C67" i="1"/>
  <c r="G67" i="1"/>
  <c r="H67" i="1"/>
  <c r="I67" i="1"/>
  <c r="J67" i="1"/>
  <c r="K67" i="1"/>
  <c r="M67" i="1"/>
  <c r="N67" i="1"/>
  <c r="P67" i="1"/>
  <c r="Q67" i="1"/>
  <c r="R67" i="1"/>
  <c r="S67" i="1"/>
  <c r="T67" i="1"/>
  <c r="Z67" i="1"/>
  <c r="AL67" i="1"/>
  <c r="A68" i="1"/>
  <c r="B68" i="1"/>
  <c r="C68" i="1"/>
  <c r="G68" i="1"/>
  <c r="H68" i="1"/>
  <c r="I68" i="1"/>
  <c r="J68" i="1"/>
  <c r="K68" i="1"/>
  <c r="M68" i="1"/>
  <c r="N68" i="1"/>
  <c r="P68" i="1"/>
  <c r="Q68" i="1"/>
  <c r="R68" i="1"/>
  <c r="S68" i="1"/>
  <c r="T68" i="1"/>
  <c r="Z68" i="1"/>
  <c r="AL68" i="1"/>
  <c r="A69" i="1"/>
  <c r="B69" i="1"/>
  <c r="C69" i="1"/>
  <c r="G69" i="1"/>
  <c r="H69" i="1"/>
  <c r="I69" i="1"/>
  <c r="J69" i="1"/>
  <c r="K69" i="1"/>
  <c r="M69" i="1"/>
  <c r="N69" i="1"/>
  <c r="P69" i="1"/>
  <c r="Q69" i="1"/>
  <c r="R69" i="1"/>
  <c r="S69" i="1"/>
  <c r="T69" i="1"/>
  <c r="Z69" i="1"/>
  <c r="AL69" i="1"/>
  <c r="A70" i="1"/>
  <c r="B70" i="1"/>
  <c r="C70" i="1"/>
  <c r="G70" i="1"/>
  <c r="H70" i="1"/>
  <c r="I70" i="1"/>
  <c r="J70" i="1"/>
  <c r="K70" i="1"/>
  <c r="M70" i="1"/>
  <c r="N70" i="1"/>
  <c r="P70" i="1"/>
  <c r="Q70" i="1"/>
  <c r="R70" i="1"/>
  <c r="S70" i="1"/>
  <c r="T70" i="1"/>
  <c r="Z70" i="1"/>
  <c r="AL70" i="1"/>
  <c r="A71" i="1"/>
  <c r="B71" i="1"/>
  <c r="C71" i="1"/>
  <c r="G71" i="1"/>
  <c r="H71" i="1"/>
  <c r="I71" i="1"/>
  <c r="J71" i="1"/>
  <c r="K71" i="1"/>
  <c r="M71" i="1"/>
  <c r="N71" i="1"/>
  <c r="P71" i="1"/>
  <c r="Q71" i="1"/>
  <c r="R71" i="1"/>
  <c r="S71" i="1"/>
  <c r="T71" i="1"/>
  <c r="Z71" i="1"/>
  <c r="AL71" i="1"/>
  <c r="A72" i="1"/>
  <c r="B72" i="1"/>
  <c r="C72" i="1"/>
  <c r="G72" i="1"/>
  <c r="H72" i="1"/>
  <c r="I72" i="1"/>
  <c r="J72" i="1"/>
  <c r="K72" i="1"/>
  <c r="M72" i="1"/>
  <c r="N72" i="1"/>
  <c r="P72" i="1"/>
  <c r="Q72" i="1"/>
  <c r="R72" i="1"/>
  <c r="S72" i="1"/>
  <c r="T72" i="1"/>
  <c r="Z72" i="1"/>
  <c r="AL72" i="1"/>
  <c r="A73" i="1"/>
  <c r="B73" i="1"/>
  <c r="C73" i="1"/>
  <c r="G73" i="1"/>
  <c r="H73" i="1"/>
  <c r="I73" i="1"/>
  <c r="J73" i="1"/>
  <c r="K73" i="1"/>
  <c r="M73" i="1"/>
  <c r="N73" i="1"/>
  <c r="P73" i="1"/>
  <c r="Q73" i="1"/>
  <c r="R73" i="1"/>
  <c r="S73" i="1"/>
  <c r="T73" i="1"/>
  <c r="Z73" i="1"/>
  <c r="AL73" i="1"/>
  <c r="A74" i="1"/>
  <c r="B74" i="1"/>
  <c r="C74" i="1"/>
  <c r="G74" i="1"/>
  <c r="H74" i="1"/>
  <c r="I74" i="1"/>
  <c r="J74" i="1"/>
  <c r="K74" i="1"/>
  <c r="M74" i="1"/>
  <c r="N74" i="1"/>
  <c r="P74" i="1"/>
  <c r="Q74" i="1"/>
  <c r="R74" i="1"/>
  <c r="S74" i="1"/>
  <c r="T74" i="1"/>
  <c r="Z74" i="1"/>
  <c r="AL74" i="1"/>
  <c r="A75" i="1"/>
  <c r="B75" i="1"/>
  <c r="C75" i="1"/>
  <c r="G75" i="1"/>
  <c r="H75" i="1"/>
  <c r="I75" i="1"/>
  <c r="J75" i="1"/>
  <c r="K75" i="1"/>
  <c r="M75" i="1"/>
  <c r="N75" i="1"/>
  <c r="P75" i="1"/>
  <c r="Q75" i="1"/>
  <c r="R75" i="1"/>
  <c r="S75" i="1"/>
  <c r="T75" i="1"/>
  <c r="Z75" i="1"/>
  <c r="AL75" i="1"/>
  <c r="A76" i="1"/>
  <c r="B76" i="1"/>
  <c r="C76" i="1"/>
  <c r="G76" i="1"/>
  <c r="H76" i="1"/>
  <c r="I76" i="1"/>
  <c r="J76" i="1"/>
  <c r="K76" i="1"/>
  <c r="M76" i="1"/>
  <c r="N76" i="1"/>
  <c r="P76" i="1"/>
  <c r="Q76" i="1"/>
  <c r="R76" i="1"/>
  <c r="S76" i="1"/>
  <c r="T76" i="1"/>
  <c r="Z76" i="1"/>
  <c r="AL76" i="1"/>
  <c r="A77" i="1"/>
  <c r="B77" i="1"/>
  <c r="C77" i="1"/>
  <c r="G77" i="1"/>
  <c r="H77" i="1"/>
  <c r="I77" i="1"/>
  <c r="J77" i="1"/>
  <c r="K77" i="1"/>
  <c r="M77" i="1"/>
  <c r="N77" i="1"/>
  <c r="P77" i="1"/>
  <c r="Q77" i="1"/>
  <c r="R77" i="1"/>
  <c r="S77" i="1"/>
  <c r="T77" i="1"/>
  <c r="Z77" i="1"/>
  <c r="AL77" i="1"/>
  <c r="A78" i="1"/>
  <c r="B78" i="1"/>
  <c r="C78" i="1"/>
  <c r="G78" i="1"/>
  <c r="H78" i="1"/>
  <c r="I78" i="1"/>
  <c r="J78" i="1"/>
  <c r="K78" i="1"/>
  <c r="M78" i="1"/>
  <c r="N78" i="1"/>
  <c r="P78" i="1"/>
  <c r="Q78" i="1"/>
  <c r="R78" i="1"/>
  <c r="S78" i="1"/>
  <c r="T78" i="1"/>
  <c r="Z78" i="1"/>
  <c r="AL78" i="1"/>
  <c r="A79" i="1"/>
  <c r="B79" i="1"/>
  <c r="C79" i="1"/>
  <c r="G79" i="1"/>
  <c r="H79" i="1"/>
  <c r="I79" i="1"/>
  <c r="J79" i="1"/>
  <c r="K79" i="1"/>
  <c r="M79" i="1"/>
  <c r="N79" i="1"/>
  <c r="P79" i="1"/>
  <c r="Q79" i="1"/>
  <c r="R79" i="1"/>
  <c r="S79" i="1"/>
  <c r="T79" i="1"/>
  <c r="Z79" i="1"/>
  <c r="AL79" i="1"/>
  <c r="A80" i="1"/>
  <c r="B80" i="1"/>
  <c r="C80" i="1"/>
  <c r="G80" i="1"/>
  <c r="H80" i="1"/>
  <c r="I80" i="1"/>
  <c r="J80" i="1"/>
  <c r="K80" i="1"/>
  <c r="M80" i="1"/>
  <c r="N80" i="1"/>
  <c r="P80" i="1"/>
  <c r="Q80" i="1"/>
  <c r="R80" i="1"/>
  <c r="S80" i="1"/>
  <c r="T80" i="1"/>
  <c r="Z80" i="1"/>
  <c r="AL80" i="1"/>
  <c r="A81" i="1"/>
  <c r="B81" i="1"/>
  <c r="C81" i="1"/>
  <c r="G81" i="1"/>
  <c r="H81" i="1"/>
  <c r="I81" i="1"/>
  <c r="J81" i="1"/>
  <c r="K81" i="1"/>
  <c r="M81" i="1"/>
  <c r="N81" i="1"/>
  <c r="P81" i="1"/>
  <c r="Q81" i="1"/>
  <c r="R81" i="1"/>
  <c r="S81" i="1"/>
  <c r="T81" i="1"/>
  <c r="Z81" i="1"/>
  <c r="AL81" i="1"/>
  <c r="A82" i="1"/>
  <c r="B82" i="1"/>
  <c r="C82" i="1"/>
  <c r="G82" i="1"/>
  <c r="H82" i="1"/>
  <c r="I82" i="1"/>
  <c r="J82" i="1"/>
  <c r="K82" i="1"/>
  <c r="M82" i="1"/>
  <c r="N82" i="1"/>
  <c r="P82" i="1"/>
  <c r="Q82" i="1"/>
  <c r="R82" i="1"/>
  <c r="S82" i="1"/>
  <c r="T82" i="1"/>
  <c r="Z82" i="1"/>
  <c r="AL82" i="1"/>
  <c r="A83" i="1"/>
  <c r="B83" i="1"/>
  <c r="C83" i="1"/>
  <c r="G83" i="1"/>
  <c r="H83" i="1"/>
  <c r="I83" i="1"/>
  <c r="J83" i="1"/>
  <c r="K83" i="1"/>
  <c r="M83" i="1"/>
  <c r="N83" i="1"/>
  <c r="P83" i="1"/>
  <c r="Q83" i="1"/>
  <c r="R83" i="1"/>
  <c r="S83" i="1"/>
  <c r="T83" i="1"/>
  <c r="Z83" i="1"/>
  <c r="AL83" i="1"/>
  <c r="A84" i="1"/>
  <c r="B84" i="1"/>
  <c r="C84" i="1"/>
  <c r="G84" i="1"/>
  <c r="H84" i="1"/>
  <c r="I84" i="1"/>
  <c r="J84" i="1"/>
  <c r="K84" i="1"/>
  <c r="M84" i="1"/>
  <c r="N84" i="1"/>
  <c r="P84" i="1"/>
  <c r="Q84" i="1"/>
  <c r="R84" i="1"/>
  <c r="S84" i="1"/>
  <c r="T84" i="1"/>
  <c r="Z84" i="1"/>
  <c r="AL84" i="1"/>
  <c r="A85" i="1"/>
  <c r="B85" i="1"/>
  <c r="C85" i="1"/>
  <c r="G85" i="1"/>
  <c r="H85" i="1"/>
  <c r="I85" i="1"/>
  <c r="J85" i="1"/>
  <c r="K85" i="1"/>
  <c r="M85" i="1"/>
  <c r="N85" i="1"/>
  <c r="P85" i="1"/>
  <c r="Q85" i="1"/>
  <c r="R85" i="1"/>
  <c r="S85" i="1"/>
  <c r="T85" i="1"/>
  <c r="Z85" i="1"/>
  <c r="AL85" i="1"/>
  <c r="A86" i="1"/>
  <c r="B86" i="1"/>
  <c r="C86" i="1"/>
  <c r="G86" i="1"/>
  <c r="H86" i="1"/>
  <c r="I86" i="1"/>
  <c r="J86" i="1"/>
  <c r="K86" i="1"/>
  <c r="M86" i="1"/>
  <c r="N86" i="1"/>
  <c r="P86" i="1"/>
  <c r="Q86" i="1"/>
  <c r="R86" i="1"/>
  <c r="S86" i="1"/>
  <c r="T86" i="1"/>
  <c r="Z86" i="1"/>
  <c r="AL86" i="1"/>
  <c r="A87" i="1"/>
  <c r="B87" i="1"/>
  <c r="C87" i="1"/>
  <c r="G87" i="1"/>
  <c r="H87" i="1"/>
  <c r="I87" i="1"/>
  <c r="J87" i="1"/>
  <c r="K87" i="1"/>
  <c r="M87" i="1"/>
  <c r="N87" i="1"/>
  <c r="P87" i="1"/>
  <c r="Q87" i="1"/>
  <c r="R87" i="1"/>
  <c r="S87" i="1"/>
  <c r="T87" i="1"/>
  <c r="Z87" i="1"/>
  <c r="AL87" i="1"/>
  <c r="A88" i="1"/>
  <c r="B88" i="1"/>
  <c r="C88" i="1"/>
  <c r="G88" i="1"/>
  <c r="H88" i="1"/>
  <c r="I88" i="1"/>
  <c r="J88" i="1"/>
  <c r="K88" i="1"/>
  <c r="M88" i="1"/>
  <c r="N88" i="1"/>
  <c r="P88" i="1"/>
  <c r="Q88" i="1"/>
  <c r="R88" i="1"/>
  <c r="S88" i="1"/>
  <c r="T88" i="1"/>
  <c r="Z88" i="1"/>
  <c r="AL88" i="1"/>
  <c r="A89" i="1"/>
  <c r="B89" i="1"/>
  <c r="C89" i="1"/>
  <c r="G89" i="1"/>
  <c r="H89" i="1"/>
  <c r="I89" i="1"/>
  <c r="J89" i="1"/>
  <c r="K89" i="1"/>
  <c r="M89" i="1"/>
  <c r="N89" i="1"/>
  <c r="P89" i="1"/>
  <c r="Q89" i="1"/>
  <c r="R89" i="1"/>
  <c r="S89" i="1"/>
  <c r="T89" i="1"/>
  <c r="Z89" i="1"/>
  <c r="AL89" i="1"/>
  <c r="A90" i="1"/>
  <c r="B90" i="1"/>
  <c r="C90" i="1"/>
  <c r="G90" i="1"/>
  <c r="H90" i="1"/>
  <c r="I90" i="1"/>
  <c r="J90" i="1"/>
  <c r="K90" i="1"/>
  <c r="M90" i="1"/>
  <c r="N90" i="1"/>
  <c r="P90" i="1"/>
  <c r="Q90" i="1"/>
  <c r="R90" i="1"/>
  <c r="S90" i="1"/>
  <c r="T90" i="1"/>
  <c r="Z90" i="1"/>
  <c r="AL90" i="1"/>
  <c r="A91" i="1"/>
  <c r="B91" i="1"/>
  <c r="C91" i="1"/>
  <c r="G91" i="1"/>
  <c r="H91" i="1"/>
  <c r="I91" i="1"/>
  <c r="J91" i="1"/>
  <c r="K91" i="1"/>
  <c r="M91" i="1"/>
  <c r="N91" i="1"/>
  <c r="P91" i="1"/>
  <c r="Q91" i="1"/>
  <c r="R91" i="1"/>
  <c r="S91" i="1"/>
  <c r="T91" i="1"/>
  <c r="Z91" i="1"/>
  <c r="AL91" i="1"/>
  <c r="A92" i="1"/>
  <c r="B92" i="1"/>
  <c r="C92" i="1"/>
  <c r="G92" i="1"/>
  <c r="H92" i="1"/>
  <c r="I92" i="1"/>
  <c r="J92" i="1"/>
  <c r="K92" i="1"/>
  <c r="M92" i="1"/>
  <c r="N92" i="1"/>
  <c r="P92" i="1"/>
  <c r="Q92" i="1"/>
  <c r="R92" i="1"/>
  <c r="S92" i="1"/>
  <c r="T92" i="1"/>
  <c r="Z92" i="1"/>
  <c r="AL92" i="1"/>
  <c r="A93" i="1"/>
  <c r="B93" i="1"/>
  <c r="C93" i="1"/>
  <c r="G93" i="1"/>
  <c r="H93" i="1"/>
  <c r="I93" i="1"/>
  <c r="J93" i="1"/>
  <c r="K93" i="1"/>
  <c r="M93" i="1"/>
  <c r="N93" i="1"/>
  <c r="P93" i="1"/>
  <c r="Q93" i="1"/>
  <c r="R93" i="1"/>
  <c r="S93" i="1"/>
  <c r="T93" i="1"/>
  <c r="Z93" i="1"/>
  <c r="AL93" i="1"/>
  <c r="A94" i="1"/>
  <c r="B94" i="1"/>
  <c r="C94" i="1"/>
  <c r="G94" i="1"/>
  <c r="H94" i="1"/>
  <c r="I94" i="1"/>
  <c r="J94" i="1"/>
  <c r="K94" i="1"/>
  <c r="M94" i="1"/>
  <c r="N94" i="1"/>
  <c r="P94" i="1"/>
  <c r="Q94" i="1"/>
  <c r="R94" i="1"/>
  <c r="S94" i="1"/>
  <c r="T94" i="1"/>
  <c r="Z94" i="1"/>
  <c r="AL94" i="1"/>
  <c r="A95" i="1"/>
  <c r="B95" i="1"/>
  <c r="C95" i="1"/>
  <c r="G95" i="1"/>
  <c r="H95" i="1"/>
  <c r="I95" i="1"/>
  <c r="J95" i="1"/>
  <c r="K95" i="1"/>
  <c r="M95" i="1"/>
  <c r="N95" i="1"/>
  <c r="P95" i="1"/>
  <c r="Q95" i="1"/>
  <c r="R95" i="1"/>
  <c r="S95" i="1"/>
  <c r="T95" i="1"/>
  <c r="Z95" i="1"/>
  <c r="AL95" i="1"/>
  <c r="A96" i="1"/>
  <c r="B96" i="1"/>
  <c r="C96" i="1"/>
  <c r="G96" i="1"/>
  <c r="H96" i="1"/>
  <c r="I96" i="1"/>
  <c r="J96" i="1"/>
  <c r="K96" i="1"/>
  <c r="M96" i="1"/>
  <c r="N96" i="1"/>
  <c r="P96" i="1"/>
  <c r="Q96" i="1"/>
  <c r="R96" i="1"/>
  <c r="S96" i="1"/>
  <c r="T96" i="1"/>
  <c r="Z96" i="1"/>
  <c r="AL96" i="1"/>
  <c r="A97" i="1"/>
  <c r="B97" i="1"/>
  <c r="C97" i="1"/>
  <c r="G97" i="1"/>
  <c r="H97" i="1"/>
  <c r="I97" i="1"/>
  <c r="J97" i="1"/>
  <c r="K97" i="1"/>
  <c r="M97" i="1"/>
  <c r="N97" i="1"/>
  <c r="P97" i="1"/>
  <c r="Q97" i="1"/>
  <c r="R97" i="1"/>
  <c r="S97" i="1"/>
  <c r="T97" i="1"/>
  <c r="Z97" i="1"/>
  <c r="AL97" i="1"/>
  <c r="A98" i="1"/>
  <c r="B98" i="1"/>
  <c r="C98" i="1"/>
  <c r="G98" i="1"/>
  <c r="H98" i="1"/>
  <c r="I98" i="1"/>
  <c r="J98" i="1"/>
  <c r="K98" i="1"/>
  <c r="M98" i="1"/>
  <c r="N98" i="1"/>
  <c r="P98" i="1"/>
  <c r="Q98" i="1"/>
  <c r="R98" i="1"/>
  <c r="S98" i="1"/>
  <c r="T98" i="1"/>
  <c r="Z98" i="1"/>
  <c r="AL98" i="1"/>
  <c r="A99" i="1"/>
  <c r="B99" i="1"/>
  <c r="C99" i="1"/>
  <c r="G99" i="1"/>
  <c r="H99" i="1"/>
  <c r="I99" i="1"/>
  <c r="J99" i="1"/>
  <c r="K99" i="1"/>
  <c r="M99" i="1"/>
  <c r="N99" i="1"/>
  <c r="P99" i="1"/>
  <c r="Q99" i="1"/>
  <c r="R99" i="1"/>
  <c r="S99" i="1"/>
  <c r="T99" i="1"/>
  <c r="Z99" i="1"/>
  <c r="AL99" i="1"/>
  <c r="A100" i="1"/>
  <c r="B100" i="1"/>
  <c r="C100" i="1"/>
  <c r="G100" i="1"/>
  <c r="H100" i="1"/>
  <c r="I100" i="1"/>
  <c r="J100" i="1"/>
  <c r="K100" i="1"/>
  <c r="M100" i="1"/>
  <c r="N100" i="1"/>
  <c r="P100" i="1"/>
  <c r="Q100" i="1"/>
  <c r="R100" i="1"/>
  <c r="S100" i="1"/>
  <c r="T100" i="1"/>
  <c r="Z100" i="1"/>
  <c r="AL100" i="1"/>
  <c r="A101" i="1"/>
  <c r="B101" i="1"/>
  <c r="C101" i="1"/>
  <c r="G101" i="1"/>
  <c r="H101" i="1"/>
  <c r="I101" i="1"/>
  <c r="J101" i="1"/>
  <c r="K101" i="1"/>
  <c r="M101" i="1"/>
  <c r="N101" i="1"/>
  <c r="P101" i="1"/>
  <c r="Q101" i="1"/>
  <c r="R101" i="1"/>
  <c r="S101" i="1"/>
  <c r="T101" i="1"/>
  <c r="Z101" i="1"/>
  <c r="AL101" i="1"/>
  <c r="A102" i="1"/>
  <c r="B102" i="1"/>
  <c r="C102" i="1"/>
  <c r="G102" i="1"/>
  <c r="H102" i="1"/>
  <c r="I102" i="1"/>
  <c r="J102" i="1"/>
  <c r="K102" i="1"/>
  <c r="M102" i="1"/>
  <c r="N102" i="1"/>
  <c r="P102" i="1"/>
  <c r="Q102" i="1"/>
  <c r="R102" i="1"/>
  <c r="S102" i="1"/>
  <c r="T102" i="1"/>
  <c r="Z102" i="1"/>
  <c r="AL102" i="1"/>
  <c r="A103" i="1"/>
  <c r="B103" i="1"/>
  <c r="C103" i="1"/>
  <c r="G103" i="1"/>
  <c r="H103" i="1"/>
  <c r="I103" i="1"/>
  <c r="J103" i="1"/>
  <c r="K103" i="1"/>
  <c r="M103" i="1"/>
  <c r="N103" i="1"/>
  <c r="P103" i="1"/>
  <c r="Q103" i="1"/>
  <c r="R103" i="1"/>
  <c r="S103" i="1"/>
  <c r="T103" i="1"/>
  <c r="Z103" i="1"/>
  <c r="AL103" i="1"/>
  <c r="A104" i="1"/>
  <c r="B104" i="1"/>
  <c r="C104" i="1"/>
  <c r="G104" i="1"/>
  <c r="H104" i="1"/>
  <c r="I104" i="1"/>
  <c r="J104" i="1"/>
  <c r="K104" i="1"/>
  <c r="M104" i="1"/>
  <c r="N104" i="1"/>
  <c r="P104" i="1"/>
  <c r="Q104" i="1"/>
  <c r="R104" i="1"/>
  <c r="S104" i="1"/>
  <c r="T104" i="1"/>
  <c r="Z104" i="1"/>
  <c r="AL104" i="1"/>
  <c r="A105" i="1"/>
  <c r="B105" i="1"/>
  <c r="C105" i="1"/>
  <c r="G105" i="1"/>
  <c r="H105" i="1"/>
  <c r="I105" i="1"/>
  <c r="J105" i="1"/>
  <c r="K105" i="1"/>
  <c r="M105" i="1"/>
  <c r="N105" i="1"/>
  <c r="P105" i="1"/>
  <c r="Q105" i="1"/>
  <c r="R105" i="1"/>
  <c r="S105" i="1"/>
  <c r="T105" i="1"/>
  <c r="Z105" i="1"/>
  <c r="AL105" i="1"/>
  <c r="A106" i="1"/>
  <c r="B106" i="1"/>
  <c r="C106" i="1"/>
  <c r="G106" i="1"/>
  <c r="H106" i="1"/>
  <c r="I106" i="1"/>
  <c r="J106" i="1"/>
  <c r="K106" i="1"/>
  <c r="M106" i="1"/>
  <c r="N106" i="1"/>
  <c r="P106" i="1"/>
  <c r="Q106" i="1"/>
  <c r="R106" i="1"/>
  <c r="S106" i="1"/>
  <c r="T106" i="1"/>
  <c r="Z106" i="1"/>
  <c r="AL106" i="1"/>
  <c r="A107" i="1"/>
  <c r="B107" i="1"/>
  <c r="C107" i="1"/>
  <c r="G107" i="1"/>
  <c r="H107" i="1"/>
  <c r="I107" i="1"/>
  <c r="J107" i="1"/>
  <c r="K107" i="1"/>
  <c r="M107" i="1"/>
  <c r="N107" i="1"/>
  <c r="P107" i="1"/>
  <c r="Q107" i="1"/>
  <c r="R107" i="1"/>
  <c r="S107" i="1"/>
  <c r="T107" i="1"/>
  <c r="Z107" i="1"/>
  <c r="AL107" i="1"/>
  <c r="A108" i="1"/>
  <c r="B108" i="1"/>
  <c r="C108" i="1"/>
  <c r="G108" i="1"/>
  <c r="H108" i="1"/>
  <c r="I108" i="1"/>
  <c r="J108" i="1"/>
  <c r="K108" i="1"/>
  <c r="M108" i="1"/>
  <c r="N108" i="1"/>
  <c r="P108" i="1"/>
  <c r="Q108" i="1"/>
  <c r="R108" i="1"/>
  <c r="S108" i="1"/>
  <c r="T108" i="1"/>
  <c r="Z108" i="1"/>
  <c r="AL108" i="1"/>
  <c r="A109" i="1"/>
  <c r="B109" i="1"/>
  <c r="C109" i="1"/>
  <c r="G109" i="1"/>
  <c r="H109" i="1"/>
  <c r="I109" i="1"/>
  <c r="J109" i="1"/>
  <c r="K109" i="1"/>
  <c r="M109" i="1"/>
  <c r="N109" i="1"/>
  <c r="P109" i="1"/>
  <c r="Q109" i="1"/>
  <c r="R109" i="1"/>
  <c r="S109" i="1"/>
  <c r="T109" i="1"/>
  <c r="Z109" i="1"/>
  <c r="AL109" i="1"/>
  <c r="A110" i="1"/>
  <c r="B110" i="1"/>
  <c r="C110" i="1"/>
  <c r="G110" i="1"/>
  <c r="H110" i="1"/>
  <c r="I110" i="1"/>
  <c r="J110" i="1"/>
  <c r="K110" i="1"/>
  <c r="M110" i="1"/>
  <c r="N110" i="1"/>
  <c r="P110" i="1"/>
  <c r="Q110" i="1"/>
  <c r="R110" i="1"/>
  <c r="S110" i="1"/>
  <c r="T110" i="1"/>
  <c r="Z110" i="1"/>
  <c r="AL110" i="1"/>
  <c r="A111" i="1"/>
  <c r="B111" i="1"/>
  <c r="C111" i="1"/>
  <c r="G111" i="1"/>
  <c r="H111" i="1"/>
  <c r="I111" i="1"/>
  <c r="J111" i="1"/>
  <c r="K111" i="1"/>
  <c r="M111" i="1"/>
  <c r="N111" i="1"/>
  <c r="P111" i="1"/>
  <c r="Q111" i="1"/>
  <c r="R111" i="1"/>
  <c r="S111" i="1"/>
  <c r="T111" i="1"/>
  <c r="Z111" i="1"/>
  <c r="AL111" i="1"/>
  <c r="A112" i="1"/>
  <c r="B112" i="1"/>
  <c r="C112" i="1"/>
  <c r="G112" i="1"/>
  <c r="H112" i="1"/>
  <c r="I112" i="1"/>
  <c r="J112" i="1"/>
  <c r="K112" i="1"/>
  <c r="M112" i="1"/>
  <c r="N112" i="1"/>
  <c r="P112" i="1"/>
  <c r="Q112" i="1"/>
  <c r="R112" i="1"/>
  <c r="S112" i="1"/>
  <c r="T112" i="1"/>
  <c r="Z112" i="1"/>
  <c r="AL112" i="1"/>
  <c r="A113" i="1"/>
  <c r="B113" i="1"/>
  <c r="C113" i="1"/>
  <c r="G113" i="1"/>
  <c r="H113" i="1"/>
  <c r="I113" i="1"/>
  <c r="J113" i="1"/>
  <c r="K113" i="1"/>
  <c r="M113" i="1"/>
  <c r="N113" i="1"/>
  <c r="P113" i="1"/>
  <c r="Q113" i="1"/>
  <c r="R113" i="1"/>
  <c r="S113" i="1"/>
  <c r="T113" i="1"/>
  <c r="Z113" i="1"/>
  <c r="AL113" i="1"/>
  <c r="A114" i="1"/>
  <c r="B114" i="1"/>
  <c r="C114" i="1"/>
  <c r="G114" i="1"/>
  <c r="H114" i="1"/>
  <c r="I114" i="1"/>
  <c r="J114" i="1"/>
  <c r="K114" i="1"/>
  <c r="M114" i="1"/>
  <c r="N114" i="1"/>
  <c r="P114" i="1"/>
  <c r="Q114" i="1"/>
  <c r="R114" i="1"/>
  <c r="S114" i="1"/>
  <c r="T114" i="1"/>
  <c r="Z114" i="1"/>
  <c r="AL114" i="1"/>
  <c r="A115" i="1"/>
  <c r="B115" i="1"/>
  <c r="C115" i="1"/>
  <c r="G115" i="1"/>
  <c r="H115" i="1"/>
  <c r="I115" i="1"/>
  <c r="J115" i="1"/>
  <c r="K115" i="1"/>
  <c r="M115" i="1"/>
  <c r="N115" i="1"/>
  <c r="P115" i="1"/>
  <c r="Q115" i="1"/>
  <c r="R115" i="1"/>
  <c r="S115" i="1"/>
  <c r="T115" i="1"/>
  <c r="Z115" i="1"/>
  <c r="AL115" i="1"/>
  <c r="A116" i="1"/>
  <c r="B116" i="1"/>
  <c r="C116" i="1"/>
  <c r="G116" i="1"/>
  <c r="H116" i="1"/>
  <c r="I116" i="1"/>
  <c r="J116" i="1"/>
  <c r="K116" i="1"/>
  <c r="M116" i="1"/>
  <c r="N116" i="1"/>
  <c r="P116" i="1"/>
  <c r="Q116" i="1"/>
  <c r="R116" i="1"/>
  <c r="S116" i="1"/>
  <c r="T116" i="1"/>
  <c r="Z116" i="1"/>
  <c r="AL116" i="1"/>
  <c r="A117" i="1"/>
  <c r="B117" i="1"/>
  <c r="C117" i="1"/>
  <c r="G117" i="1"/>
  <c r="H117" i="1"/>
  <c r="I117" i="1"/>
  <c r="J117" i="1"/>
  <c r="K117" i="1"/>
  <c r="M117" i="1"/>
  <c r="N117" i="1"/>
  <c r="P117" i="1"/>
  <c r="Q117" i="1"/>
  <c r="R117" i="1"/>
  <c r="S117" i="1"/>
  <c r="T117" i="1"/>
  <c r="Z117" i="1"/>
  <c r="AL117" i="1"/>
  <c r="A118" i="1"/>
  <c r="B118" i="1"/>
  <c r="C118" i="1"/>
  <c r="G118" i="1"/>
  <c r="H118" i="1"/>
  <c r="I118" i="1"/>
  <c r="J118" i="1"/>
  <c r="K118" i="1"/>
  <c r="M118" i="1"/>
  <c r="N118" i="1"/>
  <c r="P118" i="1"/>
  <c r="Q118" i="1"/>
  <c r="R118" i="1"/>
  <c r="S118" i="1"/>
  <c r="T118" i="1"/>
  <c r="Z118" i="1"/>
  <c r="AL118" i="1"/>
  <c r="A119" i="1"/>
  <c r="B119" i="1"/>
  <c r="C119" i="1"/>
  <c r="G119" i="1"/>
  <c r="H119" i="1"/>
  <c r="I119" i="1"/>
  <c r="J119" i="1"/>
  <c r="K119" i="1"/>
  <c r="M119" i="1"/>
  <c r="N119" i="1"/>
  <c r="P119" i="1"/>
  <c r="Q119" i="1"/>
  <c r="R119" i="1"/>
  <c r="S119" i="1"/>
  <c r="T119" i="1"/>
  <c r="Z119" i="1"/>
  <c r="AL119" i="1"/>
  <c r="A120" i="1"/>
  <c r="B120" i="1"/>
  <c r="C120" i="1"/>
  <c r="G120" i="1"/>
  <c r="H120" i="1"/>
  <c r="I120" i="1"/>
  <c r="J120" i="1"/>
  <c r="K120" i="1"/>
  <c r="M120" i="1"/>
  <c r="N120" i="1"/>
  <c r="P120" i="1"/>
  <c r="Q120" i="1"/>
  <c r="R120" i="1"/>
  <c r="S120" i="1"/>
  <c r="T120" i="1"/>
  <c r="Z120" i="1"/>
  <c r="AL120" i="1"/>
  <c r="A121" i="1"/>
  <c r="B121" i="1"/>
  <c r="C121" i="1"/>
  <c r="G121" i="1"/>
  <c r="H121" i="1"/>
  <c r="I121" i="1"/>
  <c r="J121" i="1"/>
  <c r="K121" i="1"/>
  <c r="M121" i="1"/>
  <c r="N121" i="1"/>
  <c r="P121" i="1"/>
  <c r="Q121" i="1"/>
  <c r="R121" i="1"/>
  <c r="S121" i="1"/>
  <c r="T121" i="1"/>
  <c r="Z121" i="1"/>
  <c r="AL121" i="1"/>
  <c r="A122" i="1"/>
  <c r="B122" i="1"/>
  <c r="C122" i="1"/>
  <c r="G122" i="1"/>
  <c r="H122" i="1"/>
  <c r="I122" i="1"/>
  <c r="J122" i="1"/>
  <c r="K122" i="1"/>
  <c r="M122" i="1"/>
  <c r="N122" i="1"/>
  <c r="P122" i="1"/>
  <c r="Q122" i="1"/>
  <c r="R122" i="1"/>
  <c r="S122" i="1"/>
  <c r="T122" i="1"/>
  <c r="Z122" i="1"/>
  <c r="AL122" i="1"/>
  <c r="A123" i="1"/>
  <c r="B123" i="1"/>
  <c r="C123" i="1"/>
  <c r="G123" i="1"/>
  <c r="H123" i="1"/>
  <c r="I123" i="1"/>
  <c r="J123" i="1"/>
  <c r="K123" i="1"/>
  <c r="M123" i="1"/>
  <c r="N123" i="1"/>
  <c r="P123" i="1"/>
  <c r="Q123" i="1"/>
  <c r="R123" i="1"/>
  <c r="S123" i="1"/>
  <c r="T123" i="1"/>
  <c r="Z123" i="1"/>
  <c r="AL123" i="1"/>
  <c r="A124" i="1"/>
  <c r="B124" i="1"/>
  <c r="C124" i="1"/>
  <c r="G124" i="1"/>
  <c r="H124" i="1"/>
  <c r="I124" i="1"/>
  <c r="J124" i="1"/>
  <c r="K124" i="1"/>
  <c r="M124" i="1"/>
  <c r="N124" i="1"/>
  <c r="P124" i="1"/>
  <c r="Q124" i="1"/>
  <c r="R124" i="1"/>
  <c r="S124" i="1"/>
  <c r="T124" i="1"/>
  <c r="Z124" i="1"/>
  <c r="AL124" i="1"/>
  <c r="A125" i="1"/>
  <c r="B125" i="1"/>
  <c r="C125" i="1"/>
  <c r="G125" i="1"/>
  <c r="H125" i="1"/>
  <c r="I125" i="1"/>
  <c r="J125" i="1"/>
  <c r="K125" i="1"/>
  <c r="M125" i="1"/>
  <c r="N125" i="1"/>
  <c r="P125" i="1"/>
  <c r="Q125" i="1"/>
  <c r="R125" i="1"/>
  <c r="S125" i="1"/>
  <c r="T125" i="1"/>
  <c r="Z125" i="1"/>
  <c r="AL125" i="1"/>
  <c r="A126" i="1"/>
  <c r="B126" i="1"/>
  <c r="C126" i="1"/>
  <c r="G126" i="1"/>
  <c r="H126" i="1"/>
  <c r="I126" i="1"/>
  <c r="J126" i="1"/>
  <c r="K126" i="1"/>
  <c r="M126" i="1"/>
  <c r="N126" i="1"/>
  <c r="P126" i="1"/>
  <c r="Q126" i="1"/>
  <c r="R126" i="1"/>
  <c r="S126" i="1"/>
  <c r="T126" i="1"/>
  <c r="Z126" i="1"/>
  <c r="AL126" i="1"/>
  <c r="A127" i="1"/>
  <c r="B127" i="1"/>
  <c r="C127" i="1"/>
  <c r="G127" i="1"/>
  <c r="H127" i="1"/>
  <c r="I127" i="1"/>
  <c r="J127" i="1"/>
  <c r="K127" i="1"/>
  <c r="M127" i="1"/>
  <c r="N127" i="1"/>
  <c r="P127" i="1"/>
  <c r="Q127" i="1"/>
  <c r="R127" i="1"/>
  <c r="S127" i="1"/>
  <c r="T127" i="1"/>
  <c r="Z127" i="1"/>
  <c r="AL127" i="1"/>
  <c r="A128" i="1"/>
  <c r="B128" i="1"/>
  <c r="C128" i="1"/>
  <c r="G128" i="1"/>
  <c r="H128" i="1"/>
  <c r="I128" i="1"/>
  <c r="J128" i="1"/>
  <c r="K128" i="1"/>
  <c r="M128" i="1"/>
  <c r="N128" i="1"/>
  <c r="P128" i="1"/>
  <c r="Q128" i="1"/>
  <c r="R128" i="1"/>
  <c r="S128" i="1"/>
  <c r="T128" i="1"/>
  <c r="Z128" i="1"/>
  <c r="AL128" i="1"/>
  <c r="A129" i="1"/>
  <c r="B129" i="1"/>
  <c r="C129" i="1"/>
  <c r="G129" i="1"/>
  <c r="H129" i="1"/>
  <c r="I129" i="1"/>
  <c r="J129" i="1"/>
  <c r="K129" i="1"/>
  <c r="M129" i="1"/>
  <c r="N129" i="1"/>
  <c r="P129" i="1"/>
  <c r="Q129" i="1"/>
  <c r="R129" i="1"/>
  <c r="S129" i="1"/>
  <c r="T129" i="1"/>
  <c r="Z129" i="1"/>
  <c r="AL129" i="1"/>
  <c r="A130" i="1"/>
  <c r="B130" i="1"/>
  <c r="C130" i="1"/>
  <c r="G130" i="1"/>
  <c r="H130" i="1"/>
  <c r="I130" i="1"/>
  <c r="J130" i="1"/>
  <c r="K130" i="1"/>
  <c r="M130" i="1"/>
  <c r="N130" i="1"/>
  <c r="P130" i="1"/>
  <c r="Q130" i="1"/>
  <c r="R130" i="1"/>
  <c r="S130" i="1"/>
  <c r="T130" i="1"/>
  <c r="Z130" i="1"/>
  <c r="AL130" i="1"/>
  <c r="A131" i="1"/>
  <c r="B131" i="1"/>
  <c r="C131" i="1"/>
  <c r="G131" i="1"/>
  <c r="H131" i="1"/>
  <c r="I131" i="1"/>
  <c r="J131" i="1"/>
  <c r="K131" i="1"/>
  <c r="P131" i="1"/>
  <c r="Q131" i="1"/>
  <c r="R131" i="1"/>
  <c r="S131" i="1"/>
  <c r="T131" i="1"/>
  <c r="Z131" i="1"/>
  <c r="AL131" i="1"/>
  <c r="A132" i="1"/>
  <c r="B132" i="1"/>
  <c r="C132" i="1"/>
  <c r="G132" i="1"/>
  <c r="H132" i="1"/>
  <c r="I132" i="1"/>
  <c r="J132" i="1"/>
  <c r="K132" i="1"/>
  <c r="P132" i="1"/>
  <c r="Q132" i="1"/>
  <c r="R132" i="1"/>
  <c r="S132" i="1"/>
  <c r="T132" i="1"/>
  <c r="Z132" i="1"/>
  <c r="AL132" i="1"/>
  <c r="A133" i="1"/>
  <c r="B133" i="1"/>
  <c r="C133" i="1"/>
  <c r="G133" i="1"/>
  <c r="H133" i="1"/>
  <c r="I133" i="1"/>
  <c r="J133" i="1"/>
  <c r="K133" i="1"/>
  <c r="M133" i="1"/>
  <c r="N133" i="1"/>
  <c r="P133" i="1"/>
  <c r="Q133" i="1"/>
  <c r="R133" i="1"/>
  <c r="S133" i="1"/>
  <c r="T133" i="1"/>
  <c r="AL133" i="1"/>
  <c r="A134" i="1"/>
  <c r="B134" i="1"/>
  <c r="C134" i="1"/>
  <c r="G134" i="1"/>
  <c r="H134" i="1"/>
  <c r="I134" i="1"/>
  <c r="J134" i="1"/>
  <c r="K134" i="1"/>
  <c r="M134" i="1"/>
  <c r="N134" i="1"/>
  <c r="P134" i="1"/>
  <c r="Q134" i="1"/>
  <c r="R134" i="1"/>
  <c r="S134" i="1"/>
  <c r="T134" i="1"/>
  <c r="AL134" i="1"/>
  <c r="A135" i="1"/>
  <c r="B135" i="1"/>
  <c r="C135" i="1"/>
  <c r="G135" i="1"/>
  <c r="H135" i="1"/>
  <c r="I135" i="1"/>
  <c r="J135" i="1"/>
  <c r="K135" i="1"/>
  <c r="M135" i="1"/>
  <c r="N135" i="1"/>
  <c r="P135" i="1"/>
  <c r="Q135" i="1"/>
  <c r="R135" i="1"/>
  <c r="S135" i="1"/>
  <c r="T135" i="1"/>
  <c r="AL135" i="1"/>
  <c r="A136" i="1"/>
  <c r="B136" i="1"/>
  <c r="C136" i="1"/>
  <c r="G136" i="1"/>
  <c r="H136" i="1"/>
  <c r="I136" i="1"/>
  <c r="J136" i="1"/>
  <c r="K136" i="1"/>
  <c r="M136" i="1"/>
  <c r="N136" i="1"/>
  <c r="P136" i="1"/>
  <c r="Q136" i="1"/>
  <c r="R136" i="1"/>
  <c r="S136" i="1"/>
  <c r="T136" i="1"/>
  <c r="Z136" i="1"/>
  <c r="AL136" i="1"/>
  <c r="A137" i="1"/>
  <c r="B137" i="1"/>
  <c r="C137" i="1"/>
  <c r="G137" i="1"/>
  <c r="H137" i="1"/>
  <c r="I137" i="1"/>
  <c r="J137" i="1"/>
  <c r="K137" i="1"/>
  <c r="M137" i="1"/>
  <c r="N137" i="1"/>
  <c r="P137" i="1"/>
  <c r="Q137" i="1"/>
  <c r="R137" i="1"/>
  <c r="S137" i="1"/>
  <c r="T137" i="1"/>
  <c r="Z137" i="1"/>
  <c r="AL137" i="1"/>
  <c r="A138" i="1"/>
  <c r="B138" i="1"/>
  <c r="C138" i="1"/>
  <c r="G138" i="1"/>
  <c r="H138" i="1"/>
  <c r="I138" i="1"/>
  <c r="J138" i="1"/>
  <c r="K138" i="1"/>
  <c r="M138" i="1"/>
  <c r="N138" i="1"/>
  <c r="P138" i="1"/>
  <c r="Q138" i="1"/>
  <c r="R138" i="1"/>
  <c r="S138" i="1"/>
  <c r="T138" i="1"/>
  <c r="Z138" i="1"/>
  <c r="AL138" i="1"/>
  <c r="A139" i="1"/>
  <c r="B139" i="1"/>
  <c r="C139" i="1"/>
  <c r="G139" i="1"/>
  <c r="H139" i="1"/>
  <c r="I139" i="1"/>
  <c r="J139" i="1"/>
  <c r="K139" i="1"/>
  <c r="M139" i="1"/>
  <c r="N139" i="1"/>
  <c r="P139" i="1"/>
  <c r="Q139" i="1"/>
  <c r="R139" i="1"/>
  <c r="S139" i="1"/>
  <c r="T139" i="1"/>
  <c r="Z139" i="1"/>
  <c r="AL139" i="1"/>
  <c r="A140" i="1"/>
  <c r="B140" i="1"/>
  <c r="C140" i="1"/>
  <c r="G140" i="1"/>
  <c r="H140" i="1"/>
  <c r="I140" i="1"/>
  <c r="J140" i="1"/>
  <c r="K140" i="1"/>
  <c r="M140" i="1"/>
  <c r="N140" i="1"/>
  <c r="P140" i="1"/>
  <c r="Q140" i="1"/>
  <c r="R140" i="1"/>
  <c r="S140" i="1"/>
  <c r="T140" i="1"/>
  <c r="Z140" i="1"/>
  <c r="AL140" i="1"/>
  <c r="A141" i="1"/>
  <c r="B141" i="1"/>
  <c r="C141" i="1"/>
  <c r="G141" i="1"/>
  <c r="H141" i="1"/>
  <c r="I141" i="1"/>
  <c r="J141" i="1"/>
  <c r="K141" i="1"/>
  <c r="M141" i="1"/>
  <c r="N141" i="1"/>
  <c r="P141" i="1"/>
  <c r="Q141" i="1"/>
  <c r="R141" i="1"/>
  <c r="S141" i="1"/>
  <c r="T141" i="1"/>
  <c r="Z141" i="1"/>
  <c r="AL141" i="1"/>
  <c r="A142" i="1"/>
  <c r="B142" i="1"/>
  <c r="C142" i="1"/>
  <c r="G142" i="1"/>
  <c r="H142" i="1"/>
  <c r="I142" i="1"/>
  <c r="J142" i="1"/>
  <c r="K142" i="1"/>
  <c r="M142" i="1"/>
  <c r="N142" i="1"/>
  <c r="P142" i="1"/>
  <c r="Q142" i="1"/>
  <c r="R142" i="1"/>
  <c r="S142" i="1"/>
  <c r="T142" i="1"/>
  <c r="Z142" i="1"/>
  <c r="AL142" i="1"/>
  <c r="A143" i="1"/>
  <c r="B143" i="1"/>
  <c r="C143" i="1"/>
  <c r="G143" i="1"/>
  <c r="H143" i="1"/>
  <c r="I143" i="1"/>
  <c r="J143" i="1"/>
  <c r="K143" i="1"/>
  <c r="M143" i="1"/>
  <c r="N143" i="1"/>
  <c r="P143" i="1"/>
  <c r="Q143" i="1"/>
  <c r="R143" i="1"/>
  <c r="S143" i="1"/>
  <c r="T143" i="1"/>
  <c r="Z143" i="1"/>
  <c r="AL143" i="1"/>
  <c r="A144" i="1"/>
  <c r="B144" i="1"/>
  <c r="C144" i="1"/>
  <c r="G144" i="1"/>
  <c r="H144" i="1"/>
  <c r="I144" i="1"/>
  <c r="J144" i="1"/>
  <c r="K144" i="1"/>
  <c r="M144" i="1"/>
  <c r="N144" i="1"/>
  <c r="P144" i="1"/>
  <c r="Q144" i="1"/>
  <c r="R144" i="1"/>
  <c r="S144" i="1"/>
  <c r="T144" i="1"/>
  <c r="Z144" i="1"/>
  <c r="AL144" i="1"/>
  <c r="A145" i="1"/>
  <c r="B145" i="1"/>
  <c r="C145" i="1"/>
  <c r="G145" i="1"/>
  <c r="H145" i="1"/>
  <c r="I145" i="1"/>
  <c r="J145" i="1"/>
  <c r="K145" i="1"/>
  <c r="M145" i="1"/>
  <c r="N145" i="1"/>
  <c r="P145" i="1"/>
  <c r="Q145" i="1"/>
  <c r="R145" i="1"/>
  <c r="S145" i="1"/>
  <c r="T145" i="1"/>
  <c r="Z145" i="1"/>
  <c r="AL145" i="1"/>
  <c r="A146" i="1"/>
  <c r="B146" i="1"/>
  <c r="C146" i="1"/>
  <c r="G146" i="1"/>
  <c r="H146" i="1"/>
  <c r="I146" i="1"/>
  <c r="J146" i="1"/>
  <c r="K146" i="1"/>
  <c r="M146" i="1"/>
  <c r="N146" i="1"/>
  <c r="P146" i="1"/>
  <c r="Q146" i="1"/>
  <c r="R146" i="1"/>
  <c r="S146" i="1"/>
  <c r="T146" i="1"/>
  <c r="Z146" i="1"/>
  <c r="AL146" i="1"/>
  <c r="A147" i="1"/>
  <c r="B147" i="1"/>
  <c r="C147" i="1"/>
  <c r="G147" i="1"/>
  <c r="H147" i="1"/>
  <c r="I147" i="1"/>
  <c r="J147" i="1"/>
  <c r="K147" i="1"/>
  <c r="M147" i="1"/>
  <c r="N147" i="1"/>
  <c r="P147" i="1"/>
  <c r="Q147" i="1"/>
  <c r="R147" i="1"/>
  <c r="S147" i="1"/>
  <c r="T147" i="1"/>
  <c r="Z147" i="1"/>
  <c r="AL147" i="1"/>
  <c r="A148" i="1"/>
  <c r="B148" i="1"/>
  <c r="C148" i="1"/>
  <c r="G148" i="1"/>
  <c r="H148" i="1"/>
  <c r="I148" i="1"/>
  <c r="J148" i="1"/>
  <c r="K148" i="1"/>
  <c r="M148" i="1"/>
  <c r="N148" i="1"/>
  <c r="P148" i="1"/>
  <c r="Q148" i="1"/>
  <c r="R148" i="1"/>
  <c r="S148" i="1"/>
  <c r="T148" i="1"/>
  <c r="Z148" i="1"/>
  <c r="AL148" i="1"/>
  <c r="A149" i="1"/>
  <c r="B149" i="1"/>
  <c r="C149" i="1"/>
  <c r="G149" i="1"/>
  <c r="H149" i="1"/>
  <c r="I149" i="1"/>
  <c r="J149" i="1"/>
  <c r="K149" i="1"/>
  <c r="M149" i="1"/>
  <c r="N149" i="1"/>
  <c r="P149" i="1"/>
  <c r="Q149" i="1"/>
  <c r="R149" i="1"/>
  <c r="S149" i="1"/>
  <c r="T149" i="1"/>
  <c r="Z149" i="1"/>
  <c r="AL149" i="1"/>
  <c r="A150" i="1"/>
  <c r="B150" i="1"/>
  <c r="C150" i="1"/>
  <c r="G150" i="1"/>
  <c r="H150" i="1"/>
  <c r="I150" i="1"/>
  <c r="J150" i="1"/>
  <c r="K150" i="1"/>
  <c r="M150" i="1"/>
  <c r="N150" i="1"/>
  <c r="P150" i="1"/>
  <c r="Q150" i="1"/>
  <c r="R150" i="1"/>
  <c r="S150" i="1"/>
  <c r="T150" i="1"/>
  <c r="Z150" i="1"/>
  <c r="AL150" i="1"/>
  <c r="A151" i="1"/>
  <c r="B151" i="1"/>
  <c r="C151" i="1"/>
  <c r="G151" i="1"/>
  <c r="H151" i="1"/>
  <c r="I151" i="1"/>
  <c r="J151" i="1"/>
  <c r="K151" i="1"/>
  <c r="M151" i="1"/>
  <c r="N151" i="1"/>
  <c r="P151" i="1"/>
  <c r="Q151" i="1"/>
  <c r="R151" i="1"/>
  <c r="S151" i="1"/>
  <c r="T151" i="1"/>
  <c r="Z151" i="1"/>
  <c r="AL151" i="1"/>
  <c r="A152" i="1"/>
  <c r="B152" i="1"/>
  <c r="C152" i="1"/>
  <c r="G152" i="1"/>
  <c r="H152" i="1"/>
  <c r="I152" i="1"/>
  <c r="J152" i="1"/>
  <c r="K152" i="1"/>
  <c r="M152" i="1"/>
  <c r="N152" i="1"/>
  <c r="P152" i="1"/>
  <c r="Q152" i="1"/>
  <c r="R152" i="1"/>
  <c r="S152" i="1"/>
  <c r="T152" i="1"/>
  <c r="Z152" i="1"/>
  <c r="AL152" i="1"/>
  <c r="A153" i="1"/>
  <c r="B153" i="1"/>
  <c r="C153" i="1"/>
  <c r="G153" i="1"/>
  <c r="H153" i="1"/>
  <c r="I153" i="1"/>
  <c r="J153" i="1"/>
  <c r="K153" i="1"/>
  <c r="M153" i="1"/>
  <c r="N153" i="1"/>
  <c r="P153" i="1"/>
  <c r="Q153" i="1"/>
  <c r="R153" i="1"/>
  <c r="S153" i="1"/>
  <c r="T153" i="1"/>
  <c r="Z153" i="1"/>
  <c r="AL153" i="1"/>
  <c r="A154" i="1"/>
  <c r="B154" i="1"/>
  <c r="C154" i="1"/>
  <c r="G154" i="1"/>
  <c r="H154" i="1"/>
  <c r="I154" i="1"/>
  <c r="J154" i="1"/>
  <c r="K154" i="1"/>
  <c r="M154" i="1"/>
  <c r="N154" i="1"/>
  <c r="P154" i="1"/>
  <c r="Q154" i="1"/>
  <c r="R154" i="1"/>
  <c r="S154" i="1"/>
  <c r="T154" i="1"/>
  <c r="Z154" i="1"/>
  <c r="AL154" i="1"/>
  <c r="A155" i="1"/>
  <c r="B155" i="1"/>
  <c r="C155" i="1"/>
  <c r="G155" i="1"/>
  <c r="H155" i="1"/>
  <c r="I155" i="1"/>
  <c r="J155" i="1"/>
  <c r="K155" i="1"/>
  <c r="M155" i="1"/>
  <c r="N155" i="1"/>
  <c r="P155" i="1"/>
  <c r="Q155" i="1"/>
  <c r="R155" i="1"/>
  <c r="S155" i="1"/>
  <c r="T155" i="1"/>
  <c r="Z155" i="1"/>
  <c r="AL155" i="1"/>
  <c r="A156" i="1"/>
  <c r="B156" i="1"/>
  <c r="C156" i="1"/>
  <c r="G156" i="1"/>
  <c r="H156" i="1"/>
  <c r="I156" i="1"/>
  <c r="J156" i="1"/>
  <c r="K156" i="1"/>
  <c r="M156" i="1"/>
  <c r="N156" i="1"/>
  <c r="P156" i="1"/>
  <c r="Q156" i="1"/>
  <c r="R156" i="1"/>
  <c r="S156" i="1"/>
  <c r="T156" i="1"/>
  <c r="Z156" i="1"/>
  <c r="AL156" i="1"/>
  <c r="A157" i="1"/>
  <c r="B157" i="1"/>
  <c r="C157" i="1"/>
  <c r="G157" i="1"/>
  <c r="H157" i="1"/>
  <c r="I157" i="1"/>
  <c r="J157" i="1"/>
  <c r="K157" i="1"/>
  <c r="M157" i="1"/>
  <c r="N157" i="1"/>
  <c r="P157" i="1"/>
  <c r="Q157" i="1"/>
  <c r="R157" i="1"/>
  <c r="S157" i="1"/>
  <c r="T157" i="1"/>
  <c r="Z157" i="1"/>
  <c r="AL157" i="1"/>
  <c r="A158" i="1"/>
  <c r="B158" i="1"/>
  <c r="C158" i="1"/>
  <c r="G158" i="1"/>
  <c r="H158" i="1"/>
  <c r="I158" i="1"/>
  <c r="J158" i="1"/>
  <c r="K158" i="1"/>
  <c r="M158" i="1"/>
  <c r="N158" i="1"/>
  <c r="P158" i="1"/>
  <c r="Q158" i="1"/>
  <c r="R158" i="1"/>
  <c r="S158" i="1"/>
  <c r="T158" i="1"/>
  <c r="Z158" i="1"/>
  <c r="AL158" i="1"/>
  <c r="A159" i="1"/>
  <c r="B159" i="1"/>
  <c r="C159" i="1"/>
  <c r="G159" i="1"/>
  <c r="H159" i="1"/>
  <c r="I159" i="1"/>
  <c r="J159" i="1"/>
  <c r="K159" i="1"/>
  <c r="M159" i="1"/>
  <c r="N159" i="1"/>
  <c r="P159" i="1"/>
  <c r="Q159" i="1"/>
  <c r="R159" i="1"/>
  <c r="S159" i="1"/>
  <c r="T159" i="1"/>
  <c r="Z159" i="1"/>
  <c r="AL159" i="1"/>
  <c r="A160" i="1"/>
  <c r="B160" i="1"/>
  <c r="C160" i="1"/>
  <c r="G160" i="1"/>
  <c r="H160" i="1"/>
  <c r="I160" i="1"/>
  <c r="J160" i="1"/>
  <c r="K160" i="1"/>
  <c r="M160" i="1"/>
  <c r="N160" i="1"/>
  <c r="P160" i="1"/>
  <c r="Q160" i="1"/>
  <c r="R160" i="1"/>
  <c r="S160" i="1"/>
  <c r="T160" i="1"/>
  <c r="Z160" i="1"/>
  <c r="AL160" i="1"/>
  <c r="A161" i="1"/>
  <c r="B161" i="1"/>
  <c r="C161" i="1"/>
  <c r="G161" i="1"/>
  <c r="H161" i="1"/>
  <c r="I161" i="1"/>
  <c r="J161" i="1"/>
  <c r="K161" i="1"/>
  <c r="M161" i="1"/>
  <c r="N161" i="1"/>
  <c r="P161" i="1"/>
  <c r="Q161" i="1"/>
  <c r="R161" i="1"/>
  <c r="S161" i="1"/>
  <c r="T161" i="1"/>
  <c r="Z161" i="1"/>
  <c r="AL161" i="1"/>
  <c r="A162" i="1"/>
  <c r="B162" i="1"/>
  <c r="C162" i="1"/>
  <c r="G162" i="1"/>
  <c r="H162" i="1"/>
  <c r="I162" i="1"/>
  <c r="J162" i="1"/>
  <c r="K162" i="1"/>
  <c r="M162" i="1"/>
  <c r="N162" i="1"/>
  <c r="P162" i="1"/>
  <c r="Q162" i="1"/>
  <c r="R162" i="1"/>
  <c r="S162" i="1"/>
  <c r="T162" i="1"/>
  <c r="Z162" i="1"/>
  <c r="AL162" i="1"/>
  <c r="A163" i="1"/>
  <c r="B163" i="1"/>
  <c r="C163" i="1"/>
  <c r="G163" i="1"/>
  <c r="H163" i="1"/>
  <c r="I163" i="1"/>
  <c r="J163" i="1"/>
  <c r="K163" i="1"/>
  <c r="M163" i="1"/>
  <c r="N163" i="1"/>
  <c r="P163" i="1"/>
  <c r="Q163" i="1"/>
  <c r="R163" i="1"/>
  <c r="S163" i="1"/>
  <c r="T163" i="1"/>
  <c r="Z163" i="1"/>
  <c r="AL163" i="1"/>
  <c r="A164" i="1"/>
  <c r="B164" i="1"/>
  <c r="C164" i="1"/>
  <c r="G164" i="1"/>
  <c r="H164" i="1"/>
  <c r="I164" i="1"/>
  <c r="J164" i="1"/>
  <c r="K164" i="1"/>
  <c r="M164" i="1"/>
  <c r="N164" i="1"/>
  <c r="P164" i="1"/>
  <c r="Q164" i="1"/>
  <c r="R164" i="1"/>
  <c r="S164" i="1"/>
  <c r="T164" i="1"/>
  <c r="Z164" i="1"/>
  <c r="AL164" i="1"/>
  <c r="A165" i="1"/>
  <c r="B165" i="1"/>
  <c r="C165" i="1"/>
  <c r="G165" i="1"/>
  <c r="H165" i="1"/>
  <c r="I165" i="1"/>
  <c r="J165" i="1"/>
  <c r="K165" i="1"/>
  <c r="M165" i="1"/>
  <c r="N165" i="1"/>
  <c r="P165" i="1"/>
  <c r="Q165" i="1"/>
  <c r="R165" i="1"/>
  <c r="S165" i="1"/>
  <c r="T165" i="1"/>
  <c r="Z165" i="1"/>
  <c r="AL165" i="1"/>
  <c r="A166" i="1"/>
  <c r="B166" i="1"/>
  <c r="C166" i="1"/>
  <c r="G166" i="1"/>
  <c r="H166" i="1"/>
  <c r="I166" i="1"/>
  <c r="J166" i="1"/>
  <c r="K166" i="1"/>
  <c r="M166" i="1"/>
  <c r="N166" i="1"/>
  <c r="P166" i="1"/>
  <c r="Q166" i="1"/>
  <c r="R166" i="1"/>
  <c r="S166" i="1"/>
  <c r="T166" i="1"/>
  <c r="Z166" i="1"/>
  <c r="AL166" i="1"/>
  <c r="A167" i="1"/>
  <c r="B167" i="1"/>
  <c r="C167" i="1"/>
  <c r="G167" i="1"/>
  <c r="H167" i="1"/>
  <c r="I167" i="1"/>
  <c r="J167" i="1"/>
  <c r="K167" i="1"/>
  <c r="M167" i="1"/>
  <c r="N167" i="1"/>
  <c r="P167" i="1"/>
  <c r="Q167" i="1"/>
  <c r="R167" i="1"/>
  <c r="S167" i="1"/>
  <c r="T167" i="1"/>
  <c r="Z167" i="1"/>
  <c r="AL167" i="1"/>
  <c r="A168" i="1"/>
  <c r="B168" i="1"/>
  <c r="C168" i="1"/>
  <c r="G168" i="1"/>
  <c r="H168" i="1"/>
  <c r="I168" i="1"/>
  <c r="J168" i="1"/>
  <c r="K168" i="1"/>
  <c r="M168" i="1"/>
  <c r="N168" i="1"/>
  <c r="P168" i="1"/>
  <c r="Q168" i="1"/>
  <c r="R168" i="1"/>
  <c r="S168" i="1"/>
  <c r="T168" i="1"/>
  <c r="Z168" i="1"/>
  <c r="AL168" i="1"/>
  <c r="A169" i="1"/>
  <c r="B169" i="1"/>
  <c r="C169" i="1"/>
  <c r="G169" i="1"/>
  <c r="H169" i="1"/>
  <c r="I169" i="1"/>
  <c r="J169" i="1"/>
  <c r="K169" i="1"/>
  <c r="M169" i="1"/>
  <c r="N169" i="1"/>
  <c r="P169" i="1"/>
  <c r="Q169" i="1"/>
  <c r="R169" i="1"/>
  <c r="S169" i="1"/>
  <c r="T169" i="1"/>
  <c r="Z169" i="1"/>
  <c r="AL169" i="1"/>
  <c r="A170" i="1"/>
  <c r="B170" i="1"/>
  <c r="C170" i="1"/>
  <c r="G170" i="1"/>
  <c r="H170" i="1"/>
  <c r="I170" i="1"/>
  <c r="J170" i="1"/>
  <c r="K170" i="1"/>
  <c r="M170" i="1"/>
  <c r="N170" i="1"/>
  <c r="P170" i="1"/>
  <c r="Q170" i="1"/>
  <c r="R170" i="1"/>
  <c r="S170" i="1"/>
  <c r="T170" i="1"/>
  <c r="Z170" i="1"/>
  <c r="AL170" i="1"/>
  <c r="A171" i="1"/>
  <c r="B171" i="1"/>
  <c r="C171" i="1"/>
  <c r="G171" i="1"/>
  <c r="H171" i="1"/>
  <c r="I171" i="1"/>
  <c r="J171" i="1"/>
  <c r="K171" i="1"/>
  <c r="M171" i="1"/>
  <c r="N171" i="1"/>
  <c r="P171" i="1"/>
  <c r="Q171" i="1"/>
  <c r="R171" i="1"/>
  <c r="S171" i="1"/>
  <c r="T171" i="1"/>
  <c r="Z171" i="1"/>
  <c r="AL171" i="1"/>
  <c r="A172" i="1"/>
  <c r="B172" i="1"/>
  <c r="C172" i="1"/>
  <c r="G172" i="1"/>
  <c r="H172" i="1"/>
  <c r="I172" i="1"/>
  <c r="J172" i="1"/>
  <c r="K172" i="1"/>
  <c r="M172" i="1"/>
  <c r="N172" i="1"/>
  <c r="P172" i="1"/>
  <c r="Q172" i="1"/>
  <c r="R172" i="1"/>
  <c r="S172" i="1"/>
  <c r="T172" i="1"/>
  <c r="Z172" i="1"/>
  <c r="AL172" i="1"/>
  <c r="A173" i="1"/>
  <c r="B173" i="1"/>
  <c r="C173" i="1"/>
  <c r="G173" i="1"/>
  <c r="H173" i="1"/>
  <c r="I173" i="1"/>
  <c r="J173" i="1"/>
  <c r="K173" i="1"/>
  <c r="M173" i="1"/>
  <c r="N173" i="1"/>
  <c r="P173" i="1"/>
  <c r="Q173" i="1"/>
  <c r="R173" i="1"/>
  <c r="S173" i="1"/>
  <c r="T173" i="1"/>
  <c r="Z173" i="1"/>
  <c r="AL173" i="1"/>
  <c r="A174" i="1"/>
  <c r="B174" i="1"/>
  <c r="C174" i="1"/>
  <c r="G174" i="1"/>
  <c r="H174" i="1"/>
  <c r="I174" i="1"/>
  <c r="J174" i="1"/>
  <c r="K174" i="1"/>
  <c r="M174" i="1"/>
  <c r="N174" i="1"/>
  <c r="P174" i="1"/>
  <c r="Q174" i="1"/>
  <c r="R174" i="1"/>
  <c r="S174" i="1"/>
  <c r="T174" i="1"/>
  <c r="Z174" i="1"/>
  <c r="AL174" i="1"/>
  <c r="A175" i="1"/>
  <c r="B175" i="1"/>
  <c r="C175" i="1"/>
  <c r="G175" i="1"/>
  <c r="H175" i="1"/>
  <c r="I175" i="1"/>
  <c r="J175" i="1"/>
  <c r="K175" i="1"/>
  <c r="M175" i="1"/>
  <c r="N175" i="1"/>
  <c r="P175" i="1"/>
  <c r="Q175" i="1"/>
  <c r="R175" i="1"/>
  <c r="S175" i="1"/>
  <c r="T175" i="1"/>
  <c r="Z175" i="1"/>
  <c r="AL175" i="1"/>
  <c r="A176" i="1"/>
  <c r="B176" i="1"/>
  <c r="C176" i="1"/>
  <c r="G176" i="1"/>
  <c r="H176" i="1"/>
  <c r="I176" i="1"/>
  <c r="J176" i="1"/>
  <c r="K176" i="1"/>
  <c r="M176" i="1"/>
  <c r="N176" i="1"/>
  <c r="P176" i="1"/>
  <c r="Q176" i="1"/>
  <c r="R176" i="1"/>
  <c r="S176" i="1"/>
  <c r="T176" i="1"/>
  <c r="Z176" i="1"/>
  <c r="AL176" i="1"/>
  <c r="A177" i="1"/>
  <c r="B177" i="1"/>
  <c r="C177" i="1"/>
  <c r="G177" i="1"/>
  <c r="H177" i="1"/>
  <c r="I177" i="1"/>
  <c r="J177" i="1"/>
  <c r="K177" i="1"/>
  <c r="P177" i="1"/>
  <c r="Q177" i="1"/>
  <c r="R177" i="1"/>
  <c r="S177" i="1"/>
  <c r="T177" i="1"/>
  <c r="Z177" i="1"/>
  <c r="AL177" i="1"/>
  <c r="A178" i="1"/>
  <c r="B178" i="1"/>
  <c r="C178" i="1"/>
  <c r="G178" i="1"/>
  <c r="H178" i="1"/>
  <c r="I178" i="1"/>
  <c r="J178" i="1"/>
  <c r="K178" i="1"/>
  <c r="M178" i="1"/>
  <c r="N178" i="1"/>
  <c r="P178" i="1"/>
  <c r="Q178" i="1"/>
  <c r="R178" i="1"/>
  <c r="S178" i="1"/>
  <c r="T178" i="1"/>
  <c r="Z178" i="1"/>
  <c r="AL178" i="1"/>
  <c r="A179" i="1"/>
  <c r="B179" i="1"/>
  <c r="C179" i="1"/>
  <c r="G179" i="1"/>
  <c r="H179" i="1"/>
  <c r="I179" i="1"/>
  <c r="J179" i="1"/>
  <c r="K179" i="1"/>
  <c r="M179" i="1"/>
  <c r="N179" i="1"/>
  <c r="P179" i="1"/>
  <c r="Q179" i="1"/>
  <c r="R179" i="1"/>
  <c r="S179" i="1"/>
  <c r="T179" i="1"/>
  <c r="Z179" i="1"/>
  <c r="AL179" i="1"/>
  <c r="A180" i="1"/>
  <c r="B180" i="1"/>
  <c r="C180" i="1"/>
  <c r="G180" i="1"/>
  <c r="H180" i="1"/>
  <c r="I180" i="1"/>
  <c r="J180" i="1"/>
  <c r="K180" i="1"/>
  <c r="M180" i="1"/>
  <c r="N180" i="1"/>
  <c r="P180" i="1"/>
  <c r="Q180" i="1"/>
  <c r="R180" i="1"/>
  <c r="S180" i="1"/>
  <c r="T180" i="1"/>
  <c r="Z180" i="1"/>
  <c r="AL180" i="1"/>
  <c r="A181" i="1"/>
  <c r="B181" i="1"/>
  <c r="C181" i="1"/>
  <c r="G181" i="1"/>
  <c r="H181" i="1"/>
  <c r="I181" i="1"/>
  <c r="J181" i="1"/>
  <c r="K181" i="1"/>
  <c r="M181" i="1"/>
  <c r="N181" i="1"/>
  <c r="P181" i="1"/>
  <c r="Q181" i="1"/>
  <c r="R181" i="1"/>
  <c r="S181" i="1"/>
  <c r="T181" i="1"/>
  <c r="Z181" i="1"/>
  <c r="AL181" i="1"/>
  <c r="A182" i="1"/>
  <c r="B182" i="1"/>
  <c r="C182" i="1"/>
  <c r="G182" i="1"/>
  <c r="H182" i="1"/>
  <c r="I182" i="1"/>
  <c r="J182" i="1"/>
  <c r="K182" i="1"/>
  <c r="M182" i="1"/>
  <c r="N182" i="1"/>
  <c r="P182" i="1"/>
  <c r="Q182" i="1"/>
  <c r="R182" i="1"/>
  <c r="S182" i="1"/>
  <c r="T182" i="1"/>
  <c r="Z182" i="1"/>
  <c r="AL182" i="1"/>
  <c r="A183" i="1"/>
  <c r="B183" i="1"/>
  <c r="C183" i="1"/>
  <c r="G183" i="1"/>
  <c r="H183" i="1"/>
  <c r="I183" i="1"/>
  <c r="J183" i="1"/>
  <c r="K183" i="1"/>
  <c r="M183" i="1"/>
  <c r="N183" i="1"/>
  <c r="P183" i="1"/>
  <c r="Q183" i="1"/>
  <c r="R183" i="1"/>
  <c r="S183" i="1"/>
  <c r="T183" i="1"/>
  <c r="Z183" i="1"/>
  <c r="AL183" i="1"/>
  <c r="A184" i="1"/>
  <c r="B184" i="1"/>
  <c r="C184" i="1"/>
  <c r="G184" i="1"/>
  <c r="H184" i="1"/>
  <c r="I184" i="1"/>
  <c r="J184" i="1"/>
  <c r="K184" i="1"/>
  <c r="P184" i="1"/>
  <c r="Q184" i="1"/>
  <c r="R184" i="1"/>
  <c r="S184" i="1"/>
  <c r="T184" i="1"/>
  <c r="Z184" i="1"/>
  <c r="AL184" i="1"/>
  <c r="A185" i="1"/>
  <c r="B185" i="1"/>
  <c r="C185" i="1"/>
  <c r="G185" i="1"/>
  <c r="H185" i="1"/>
  <c r="I185" i="1"/>
  <c r="J185" i="1"/>
  <c r="K185" i="1"/>
  <c r="P185" i="1"/>
  <c r="Q185" i="1"/>
  <c r="R185" i="1"/>
  <c r="S185" i="1"/>
  <c r="T185" i="1"/>
  <c r="Z185" i="1"/>
  <c r="AL185" i="1"/>
  <c r="A186" i="1"/>
  <c r="B186" i="1"/>
  <c r="C186" i="1"/>
  <c r="G186" i="1"/>
  <c r="H186" i="1"/>
  <c r="I186" i="1"/>
  <c r="J186" i="1"/>
  <c r="K186" i="1"/>
  <c r="P186" i="1"/>
  <c r="Q186" i="1"/>
  <c r="R186" i="1"/>
  <c r="S186" i="1"/>
  <c r="T186" i="1"/>
  <c r="Z186" i="1"/>
  <c r="AL186" i="1"/>
  <c r="A187" i="1"/>
  <c r="B187" i="1"/>
  <c r="C187" i="1"/>
  <c r="G187" i="1"/>
  <c r="H187" i="1"/>
  <c r="I187" i="1"/>
  <c r="J187" i="1"/>
  <c r="K187" i="1"/>
  <c r="P187" i="1"/>
  <c r="Q187" i="1"/>
  <c r="R187" i="1"/>
  <c r="S187" i="1"/>
  <c r="T187" i="1"/>
  <c r="Z187" i="1"/>
  <c r="AL187" i="1"/>
  <c r="A188" i="1"/>
  <c r="B188" i="1"/>
  <c r="C188" i="1"/>
  <c r="G188" i="1"/>
  <c r="H188" i="1"/>
  <c r="I188" i="1"/>
  <c r="J188" i="1"/>
  <c r="K188" i="1"/>
  <c r="M188" i="1"/>
  <c r="N188" i="1"/>
  <c r="P188" i="1"/>
  <c r="Q188" i="1"/>
  <c r="R188" i="1"/>
  <c r="S188" i="1"/>
  <c r="T188" i="1"/>
  <c r="Z188" i="1"/>
  <c r="AL188" i="1"/>
  <c r="A189" i="1"/>
  <c r="B189" i="1"/>
  <c r="C189" i="1"/>
  <c r="G189" i="1"/>
  <c r="H189" i="1"/>
  <c r="I189" i="1"/>
  <c r="J189" i="1"/>
  <c r="K189" i="1"/>
  <c r="M189" i="1"/>
  <c r="N189" i="1"/>
  <c r="P189" i="1"/>
  <c r="Q189" i="1"/>
  <c r="R189" i="1"/>
  <c r="S189" i="1"/>
  <c r="T189" i="1"/>
  <c r="Z189" i="1"/>
  <c r="AL189" i="1"/>
  <c r="A190" i="1"/>
  <c r="B190" i="1"/>
  <c r="C190" i="1"/>
  <c r="G190" i="1"/>
  <c r="H190" i="1"/>
  <c r="I190" i="1"/>
  <c r="J190" i="1"/>
  <c r="K190" i="1"/>
  <c r="M190" i="1"/>
  <c r="N190" i="1"/>
  <c r="P190" i="1"/>
  <c r="Q190" i="1"/>
  <c r="R190" i="1"/>
  <c r="S190" i="1"/>
  <c r="T190" i="1"/>
  <c r="Z190" i="1"/>
  <c r="AL190" i="1"/>
  <c r="A191" i="1"/>
  <c r="B191" i="1"/>
  <c r="C191" i="1"/>
  <c r="G191" i="1"/>
  <c r="H191" i="1"/>
  <c r="I191" i="1"/>
  <c r="J191" i="1"/>
  <c r="K191" i="1"/>
  <c r="M191" i="1"/>
  <c r="N191" i="1"/>
  <c r="P191" i="1"/>
  <c r="Q191" i="1"/>
  <c r="R191" i="1"/>
  <c r="S191" i="1"/>
  <c r="T191" i="1"/>
  <c r="Z191" i="1"/>
  <c r="AL191" i="1"/>
  <c r="A192" i="1"/>
  <c r="B192" i="1"/>
  <c r="C192" i="1"/>
  <c r="G192" i="1"/>
  <c r="H192" i="1"/>
  <c r="I192" i="1"/>
  <c r="J192" i="1"/>
  <c r="K192" i="1"/>
  <c r="M192" i="1"/>
  <c r="N192" i="1"/>
  <c r="P192" i="1"/>
  <c r="Q192" i="1"/>
  <c r="R192" i="1"/>
  <c r="S192" i="1"/>
  <c r="T192" i="1"/>
  <c r="Z192" i="1"/>
  <c r="AL192" i="1"/>
  <c r="A193" i="1"/>
  <c r="B193" i="1"/>
  <c r="C193" i="1"/>
  <c r="G193" i="1"/>
  <c r="H193" i="1"/>
  <c r="I193" i="1"/>
  <c r="J193" i="1"/>
  <c r="K193" i="1"/>
  <c r="M193" i="1"/>
  <c r="N193" i="1"/>
  <c r="P193" i="1"/>
  <c r="Q193" i="1"/>
  <c r="R193" i="1"/>
  <c r="S193" i="1"/>
  <c r="T193" i="1"/>
  <c r="Z193" i="1"/>
  <c r="AL193" i="1"/>
  <c r="A194" i="1"/>
  <c r="B194" i="1"/>
  <c r="C194" i="1"/>
  <c r="G194" i="1"/>
  <c r="H194" i="1"/>
  <c r="I194" i="1"/>
  <c r="J194" i="1"/>
  <c r="K194" i="1"/>
  <c r="M194" i="1"/>
  <c r="N194" i="1"/>
  <c r="P194" i="1"/>
  <c r="Q194" i="1"/>
  <c r="R194" i="1"/>
  <c r="S194" i="1"/>
  <c r="T194" i="1"/>
  <c r="Z194" i="1"/>
  <c r="AL194" i="1"/>
  <c r="A195" i="1"/>
  <c r="B195" i="1"/>
  <c r="C195" i="1"/>
  <c r="G195" i="1"/>
  <c r="H195" i="1"/>
  <c r="I195" i="1"/>
  <c r="J195" i="1"/>
  <c r="K195" i="1"/>
  <c r="M195" i="1"/>
  <c r="N195" i="1"/>
  <c r="P195" i="1"/>
  <c r="Q195" i="1"/>
  <c r="R195" i="1"/>
  <c r="S195" i="1"/>
  <c r="T195" i="1"/>
  <c r="Z195" i="1"/>
  <c r="AL195" i="1"/>
  <c r="A196" i="1"/>
  <c r="B196" i="1"/>
  <c r="C196" i="1"/>
  <c r="G196" i="1"/>
  <c r="H196" i="1"/>
  <c r="I196" i="1"/>
  <c r="J196" i="1"/>
  <c r="K196" i="1"/>
  <c r="M196" i="1"/>
  <c r="N196" i="1"/>
  <c r="P196" i="1"/>
  <c r="Q196" i="1"/>
  <c r="R196" i="1"/>
  <c r="S196" i="1"/>
  <c r="T196" i="1"/>
  <c r="Z196" i="1"/>
  <c r="AL196" i="1"/>
  <c r="A197" i="1"/>
  <c r="B197" i="1"/>
  <c r="C197" i="1"/>
  <c r="G197" i="1"/>
  <c r="H197" i="1"/>
  <c r="I197" i="1"/>
  <c r="J197" i="1"/>
  <c r="K197" i="1"/>
  <c r="M197" i="1"/>
  <c r="N197" i="1"/>
  <c r="P197" i="1"/>
  <c r="Q197" i="1"/>
  <c r="R197" i="1"/>
  <c r="S197" i="1"/>
  <c r="T197" i="1"/>
  <c r="Z197" i="1"/>
  <c r="AL197" i="1"/>
  <c r="A198" i="1"/>
  <c r="B198" i="1"/>
  <c r="C198" i="1"/>
  <c r="G198" i="1"/>
  <c r="H198" i="1"/>
  <c r="I198" i="1"/>
  <c r="J198" i="1"/>
  <c r="K198" i="1"/>
  <c r="M198" i="1"/>
  <c r="N198" i="1"/>
  <c r="P198" i="1"/>
  <c r="Q198" i="1"/>
  <c r="R198" i="1"/>
  <c r="S198" i="1"/>
  <c r="T198" i="1"/>
  <c r="Z198" i="1"/>
  <c r="AL198" i="1"/>
  <c r="A199" i="1"/>
  <c r="B199" i="1"/>
  <c r="C199" i="1"/>
  <c r="G199" i="1"/>
  <c r="H199" i="1"/>
  <c r="I199" i="1"/>
  <c r="J199" i="1"/>
  <c r="K199" i="1"/>
  <c r="M199" i="1"/>
  <c r="N199" i="1"/>
  <c r="P199" i="1"/>
  <c r="Q199" i="1"/>
  <c r="R199" i="1"/>
  <c r="S199" i="1"/>
  <c r="T199" i="1"/>
  <c r="Z199" i="1"/>
  <c r="AL199" i="1"/>
  <c r="A200" i="1"/>
  <c r="B200" i="1"/>
  <c r="C200" i="1"/>
  <c r="G200" i="1"/>
  <c r="H200" i="1"/>
  <c r="I200" i="1"/>
  <c r="J200" i="1"/>
  <c r="K200" i="1"/>
  <c r="M200" i="1"/>
  <c r="N200" i="1"/>
  <c r="P200" i="1"/>
  <c r="Q200" i="1"/>
  <c r="R200" i="1"/>
  <c r="S200" i="1"/>
  <c r="T200" i="1"/>
  <c r="Z200" i="1"/>
  <c r="AL200" i="1"/>
  <c r="A201" i="1"/>
  <c r="B201" i="1"/>
  <c r="C201" i="1"/>
  <c r="G201" i="1"/>
  <c r="H201" i="1"/>
  <c r="I201" i="1"/>
  <c r="J201" i="1"/>
  <c r="K201" i="1"/>
  <c r="M201" i="1"/>
  <c r="N201" i="1"/>
  <c r="P201" i="1"/>
  <c r="Q201" i="1"/>
  <c r="R201" i="1"/>
  <c r="S201" i="1"/>
  <c r="T201" i="1"/>
  <c r="Z201" i="1"/>
  <c r="AL201" i="1"/>
  <c r="A202" i="1"/>
  <c r="B202" i="1"/>
  <c r="C202" i="1"/>
  <c r="G202" i="1"/>
  <c r="H202" i="1"/>
  <c r="I202" i="1"/>
  <c r="J202" i="1"/>
  <c r="K202" i="1"/>
  <c r="M202" i="1"/>
  <c r="N202" i="1"/>
  <c r="P202" i="1"/>
  <c r="Q202" i="1"/>
  <c r="R202" i="1"/>
  <c r="S202" i="1"/>
  <c r="T202" i="1"/>
  <c r="Z202" i="1"/>
  <c r="AL202" i="1"/>
  <c r="A203" i="1"/>
  <c r="B203" i="1"/>
  <c r="C203" i="1"/>
  <c r="G203" i="1"/>
  <c r="H203" i="1"/>
  <c r="I203" i="1"/>
  <c r="J203" i="1"/>
  <c r="K203" i="1"/>
  <c r="M203" i="1"/>
  <c r="N203" i="1"/>
  <c r="P203" i="1"/>
  <c r="Q203" i="1"/>
  <c r="R203" i="1"/>
  <c r="S203" i="1"/>
  <c r="T203" i="1"/>
  <c r="Z203" i="1"/>
  <c r="AL203" i="1"/>
  <c r="A204" i="1"/>
  <c r="B204" i="1"/>
  <c r="C204" i="1"/>
  <c r="G204" i="1"/>
  <c r="H204" i="1"/>
  <c r="I204" i="1"/>
  <c r="J204" i="1"/>
  <c r="K204" i="1"/>
  <c r="M204" i="1"/>
  <c r="N204" i="1"/>
  <c r="P204" i="1"/>
  <c r="Q204" i="1"/>
  <c r="R204" i="1"/>
  <c r="S204" i="1"/>
  <c r="T204" i="1"/>
  <c r="Z204" i="1"/>
  <c r="AL204" i="1"/>
  <c r="A205" i="1"/>
  <c r="B205" i="1"/>
  <c r="C205" i="1"/>
  <c r="G205" i="1"/>
  <c r="H205" i="1"/>
  <c r="I205" i="1"/>
  <c r="J205" i="1"/>
  <c r="K205" i="1"/>
  <c r="M205" i="1"/>
  <c r="N205" i="1"/>
  <c r="P205" i="1"/>
  <c r="Q205" i="1"/>
  <c r="R205" i="1"/>
  <c r="S205" i="1"/>
  <c r="T205" i="1"/>
  <c r="Z205" i="1"/>
  <c r="AL205" i="1"/>
  <c r="A206" i="1"/>
  <c r="B206" i="1"/>
  <c r="C206" i="1"/>
  <c r="G206" i="1"/>
  <c r="H206" i="1"/>
  <c r="I206" i="1"/>
  <c r="J206" i="1"/>
  <c r="K206" i="1"/>
  <c r="M206" i="1"/>
  <c r="N206" i="1"/>
  <c r="P206" i="1"/>
  <c r="Q206" i="1"/>
  <c r="R206" i="1"/>
  <c r="S206" i="1"/>
  <c r="T206" i="1"/>
  <c r="Z206" i="1"/>
  <c r="AL206" i="1"/>
  <c r="A207" i="1"/>
  <c r="B207" i="1"/>
  <c r="C207" i="1"/>
  <c r="G207" i="1"/>
  <c r="H207" i="1"/>
  <c r="I207" i="1"/>
  <c r="J207" i="1"/>
  <c r="K207" i="1"/>
  <c r="M207" i="1"/>
  <c r="N207" i="1"/>
  <c r="P207" i="1"/>
  <c r="Q207" i="1"/>
  <c r="R207" i="1"/>
  <c r="S207" i="1"/>
  <c r="T207" i="1"/>
  <c r="Z207" i="1"/>
  <c r="AL207" i="1"/>
  <c r="A208" i="1"/>
  <c r="B208" i="1"/>
  <c r="C208" i="1"/>
  <c r="G208" i="1"/>
  <c r="H208" i="1"/>
  <c r="I208" i="1"/>
  <c r="J208" i="1"/>
  <c r="K208" i="1"/>
  <c r="M208" i="1"/>
  <c r="N208" i="1"/>
  <c r="P208" i="1"/>
  <c r="Q208" i="1"/>
  <c r="R208" i="1"/>
  <c r="S208" i="1"/>
  <c r="T208" i="1"/>
  <c r="Z208" i="1"/>
  <c r="AL208" i="1"/>
  <c r="A209" i="1"/>
  <c r="B209" i="1"/>
  <c r="C209" i="1"/>
  <c r="G209" i="1"/>
  <c r="H209" i="1"/>
  <c r="I209" i="1"/>
  <c r="J209" i="1"/>
  <c r="K209" i="1"/>
  <c r="M209" i="1"/>
  <c r="N209" i="1"/>
  <c r="P209" i="1"/>
  <c r="Q209" i="1"/>
  <c r="R209" i="1"/>
  <c r="S209" i="1"/>
  <c r="T209" i="1"/>
  <c r="Z209" i="1"/>
  <c r="AL209" i="1"/>
  <c r="A210" i="1"/>
  <c r="B210" i="1"/>
  <c r="C210" i="1"/>
  <c r="G210" i="1"/>
  <c r="H210" i="1"/>
  <c r="I210" i="1"/>
  <c r="J210" i="1"/>
  <c r="K210" i="1"/>
  <c r="M210" i="1"/>
  <c r="N210" i="1"/>
  <c r="P210" i="1"/>
  <c r="Q210" i="1"/>
  <c r="R210" i="1"/>
  <c r="S210" i="1"/>
  <c r="T210" i="1"/>
  <c r="Z210" i="1"/>
  <c r="AL210" i="1"/>
  <c r="A211" i="1"/>
  <c r="B211" i="1"/>
  <c r="C211" i="1"/>
  <c r="G211" i="1"/>
  <c r="H211" i="1"/>
  <c r="I211" i="1"/>
  <c r="J211" i="1"/>
  <c r="K211" i="1"/>
  <c r="M211" i="1"/>
  <c r="N211" i="1"/>
  <c r="P211" i="1"/>
  <c r="Q211" i="1"/>
  <c r="R211" i="1"/>
  <c r="S211" i="1"/>
  <c r="T211" i="1"/>
  <c r="Z211" i="1"/>
  <c r="AL211" i="1"/>
  <c r="A212" i="1"/>
  <c r="B212" i="1"/>
  <c r="C212" i="1"/>
  <c r="G212" i="1"/>
  <c r="H212" i="1"/>
  <c r="I212" i="1"/>
  <c r="J212" i="1"/>
  <c r="K212" i="1"/>
  <c r="M212" i="1"/>
  <c r="N212" i="1"/>
  <c r="P212" i="1"/>
  <c r="Q212" i="1"/>
  <c r="R212" i="1"/>
  <c r="S212" i="1"/>
  <c r="T212" i="1"/>
  <c r="Z212" i="1"/>
  <c r="AL212" i="1"/>
  <c r="A213" i="1"/>
  <c r="B213" i="1"/>
  <c r="C213" i="1"/>
  <c r="G213" i="1"/>
  <c r="H213" i="1"/>
  <c r="I213" i="1"/>
  <c r="J213" i="1"/>
  <c r="K213" i="1"/>
  <c r="M213" i="1"/>
  <c r="N213" i="1"/>
  <c r="P213" i="1"/>
  <c r="Q213" i="1"/>
  <c r="R213" i="1"/>
  <c r="S213" i="1"/>
  <c r="T213" i="1"/>
  <c r="Z213" i="1"/>
  <c r="AL213" i="1"/>
  <c r="A214" i="1"/>
  <c r="B214" i="1"/>
  <c r="C214" i="1"/>
  <c r="G214" i="1"/>
  <c r="H214" i="1"/>
  <c r="I214" i="1"/>
  <c r="J214" i="1"/>
  <c r="K214" i="1"/>
  <c r="M214" i="1"/>
  <c r="N214" i="1"/>
  <c r="P214" i="1"/>
  <c r="Q214" i="1"/>
  <c r="R214" i="1"/>
  <c r="S214" i="1"/>
  <c r="T214" i="1"/>
  <c r="Z214" i="1"/>
  <c r="AL214" i="1"/>
  <c r="A215" i="1"/>
  <c r="B215" i="1"/>
  <c r="C215" i="1"/>
  <c r="G215" i="1"/>
  <c r="H215" i="1"/>
  <c r="I215" i="1"/>
  <c r="J215" i="1"/>
  <c r="K215" i="1"/>
  <c r="M215" i="1"/>
  <c r="N215" i="1"/>
  <c r="P215" i="1"/>
  <c r="Q215" i="1"/>
  <c r="R215" i="1"/>
  <c r="S215" i="1"/>
  <c r="T215" i="1"/>
  <c r="Z215" i="1"/>
  <c r="AL215" i="1"/>
  <c r="A216" i="1"/>
  <c r="B216" i="1"/>
  <c r="C216" i="1"/>
  <c r="G216" i="1"/>
  <c r="H216" i="1"/>
  <c r="I216" i="1"/>
  <c r="J216" i="1"/>
  <c r="K216" i="1"/>
  <c r="M216" i="1"/>
  <c r="N216" i="1"/>
  <c r="P216" i="1"/>
  <c r="Q216" i="1"/>
  <c r="R216" i="1"/>
  <c r="S216" i="1"/>
  <c r="T216" i="1"/>
  <c r="Z216" i="1"/>
  <c r="AL216" i="1"/>
  <c r="A217" i="1"/>
  <c r="B217" i="1"/>
  <c r="C217" i="1"/>
  <c r="G217" i="1"/>
  <c r="H217" i="1"/>
  <c r="I217" i="1"/>
  <c r="J217" i="1"/>
  <c r="K217" i="1"/>
  <c r="M217" i="1"/>
  <c r="N217" i="1"/>
  <c r="P217" i="1"/>
  <c r="Q217" i="1"/>
  <c r="R217" i="1"/>
  <c r="S217" i="1"/>
  <c r="T217" i="1"/>
  <c r="Z217" i="1"/>
  <c r="AL217" i="1"/>
  <c r="A218" i="1"/>
  <c r="B218" i="1"/>
  <c r="C218" i="1"/>
  <c r="G218" i="1"/>
  <c r="H218" i="1"/>
  <c r="I218" i="1"/>
  <c r="J218" i="1"/>
  <c r="K218" i="1"/>
  <c r="M218" i="1"/>
  <c r="N218" i="1"/>
  <c r="P218" i="1"/>
  <c r="Q218" i="1"/>
  <c r="R218" i="1"/>
  <c r="S218" i="1"/>
  <c r="T218" i="1"/>
  <c r="Z218" i="1"/>
  <c r="AL218" i="1"/>
  <c r="A219" i="1"/>
  <c r="B219" i="1"/>
  <c r="C219" i="1"/>
  <c r="G219" i="1"/>
  <c r="H219" i="1"/>
  <c r="I219" i="1"/>
  <c r="J219" i="1"/>
  <c r="K219" i="1"/>
  <c r="M219" i="1"/>
  <c r="N219" i="1"/>
  <c r="P219" i="1"/>
  <c r="Q219" i="1"/>
  <c r="R219" i="1"/>
  <c r="S219" i="1"/>
  <c r="T219" i="1"/>
  <c r="Z219" i="1"/>
  <c r="AL219" i="1"/>
  <c r="A220" i="1"/>
  <c r="B220" i="1"/>
  <c r="C220" i="1"/>
  <c r="G220" i="1"/>
  <c r="H220" i="1"/>
  <c r="I220" i="1"/>
  <c r="J220" i="1"/>
  <c r="K220" i="1"/>
  <c r="M220" i="1"/>
  <c r="N220" i="1"/>
  <c r="P220" i="1"/>
  <c r="Q220" i="1"/>
  <c r="R220" i="1"/>
  <c r="S220" i="1"/>
  <c r="T220" i="1"/>
  <c r="Z220" i="1"/>
  <c r="AL220" i="1"/>
  <c r="A221" i="1"/>
  <c r="B221" i="1"/>
  <c r="C221" i="1"/>
  <c r="G221" i="1"/>
  <c r="H221" i="1"/>
  <c r="I221" i="1"/>
  <c r="J221" i="1"/>
  <c r="K221" i="1"/>
  <c r="M221" i="1"/>
  <c r="N221" i="1"/>
  <c r="P221" i="1"/>
  <c r="Q221" i="1"/>
  <c r="R221" i="1"/>
  <c r="S221" i="1"/>
  <c r="T221" i="1"/>
  <c r="Z221" i="1"/>
  <c r="AL221" i="1"/>
  <c r="A222" i="1"/>
  <c r="B222" i="1"/>
  <c r="C222" i="1"/>
  <c r="G222" i="1"/>
  <c r="H222" i="1"/>
  <c r="I222" i="1"/>
  <c r="J222" i="1"/>
  <c r="K222" i="1"/>
  <c r="M222" i="1"/>
  <c r="N222" i="1"/>
  <c r="P222" i="1"/>
  <c r="Q222" i="1"/>
  <c r="R222" i="1"/>
  <c r="S222" i="1"/>
  <c r="T222" i="1"/>
  <c r="Z222" i="1"/>
  <c r="AL222" i="1"/>
  <c r="A223" i="1"/>
  <c r="B223" i="1"/>
  <c r="C223" i="1"/>
  <c r="G223" i="1"/>
  <c r="H223" i="1"/>
  <c r="I223" i="1"/>
  <c r="J223" i="1"/>
  <c r="K223" i="1"/>
  <c r="M223" i="1"/>
  <c r="N223" i="1"/>
  <c r="P223" i="1"/>
  <c r="Q223" i="1"/>
  <c r="R223" i="1"/>
  <c r="S223" i="1"/>
  <c r="T223" i="1"/>
  <c r="Z223" i="1"/>
  <c r="AL223" i="1"/>
  <c r="A224" i="1"/>
  <c r="B224" i="1"/>
  <c r="C224" i="1"/>
  <c r="G224" i="1"/>
  <c r="H224" i="1"/>
  <c r="I224" i="1"/>
  <c r="J224" i="1"/>
  <c r="K224" i="1"/>
  <c r="M224" i="1"/>
  <c r="N224" i="1"/>
  <c r="P224" i="1"/>
  <c r="Q224" i="1"/>
  <c r="R224" i="1"/>
  <c r="S224" i="1"/>
  <c r="T224" i="1"/>
  <c r="Z224" i="1"/>
  <c r="AL224" i="1"/>
  <c r="A225" i="1"/>
  <c r="B225" i="1"/>
  <c r="C225" i="1"/>
  <c r="G225" i="1"/>
  <c r="H225" i="1"/>
  <c r="I225" i="1"/>
  <c r="J225" i="1"/>
  <c r="K225" i="1"/>
  <c r="M225" i="1"/>
  <c r="N225" i="1"/>
  <c r="P225" i="1"/>
  <c r="Q225" i="1"/>
  <c r="R225" i="1"/>
  <c r="S225" i="1"/>
  <c r="T225" i="1"/>
  <c r="Z225" i="1"/>
  <c r="AL225" i="1"/>
  <c r="A226" i="1"/>
  <c r="B226" i="1"/>
  <c r="C226" i="1"/>
  <c r="G226" i="1"/>
  <c r="H226" i="1"/>
  <c r="I226" i="1"/>
  <c r="J226" i="1"/>
  <c r="K226" i="1"/>
  <c r="M226" i="1"/>
  <c r="N226" i="1"/>
  <c r="P226" i="1"/>
  <c r="Q226" i="1"/>
  <c r="R226" i="1"/>
  <c r="S226" i="1"/>
  <c r="T226" i="1"/>
  <c r="Z226" i="1"/>
  <c r="AL226" i="1"/>
  <c r="A227" i="1"/>
  <c r="B227" i="1"/>
  <c r="C227" i="1"/>
  <c r="G227" i="1"/>
  <c r="H227" i="1"/>
  <c r="I227" i="1"/>
  <c r="J227" i="1"/>
  <c r="K227" i="1"/>
  <c r="M227" i="1"/>
  <c r="N227" i="1"/>
  <c r="P227" i="1"/>
  <c r="Q227" i="1"/>
  <c r="R227" i="1"/>
  <c r="S227" i="1"/>
  <c r="T227" i="1"/>
  <c r="Z227" i="1"/>
  <c r="AL227" i="1"/>
  <c r="A228" i="1"/>
  <c r="B228" i="1"/>
  <c r="C228" i="1"/>
  <c r="G228" i="1"/>
  <c r="H228" i="1"/>
  <c r="I228" i="1"/>
  <c r="J228" i="1"/>
  <c r="K228" i="1"/>
  <c r="M228" i="1"/>
  <c r="N228" i="1"/>
  <c r="P228" i="1"/>
  <c r="Q228" i="1"/>
  <c r="R228" i="1"/>
  <c r="S228" i="1"/>
  <c r="T228" i="1"/>
  <c r="Z228" i="1"/>
  <c r="AL228" i="1"/>
  <c r="A229" i="1"/>
  <c r="B229" i="1"/>
  <c r="C229" i="1"/>
  <c r="G229" i="1"/>
  <c r="H229" i="1"/>
  <c r="I229" i="1"/>
  <c r="J229" i="1"/>
  <c r="K229" i="1"/>
  <c r="M229" i="1"/>
  <c r="N229" i="1"/>
  <c r="P229" i="1"/>
  <c r="Q229" i="1"/>
  <c r="R229" i="1"/>
  <c r="S229" i="1"/>
  <c r="T229" i="1"/>
  <c r="Z229" i="1"/>
  <c r="AL229" i="1"/>
  <c r="A230" i="1"/>
  <c r="B230" i="1"/>
  <c r="C230" i="1"/>
  <c r="G230" i="1"/>
  <c r="H230" i="1"/>
  <c r="I230" i="1"/>
  <c r="J230" i="1"/>
  <c r="K230" i="1"/>
  <c r="M230" i="1"/>
  <c r="N230" i="1"/>
  <c r="P230" i="1"/>
  <c r="Q230" i="1"/>
  <c r="R230" i="1"/>
  <c r="S230" i="1"/>
  <c r="T230" i="1"/>
  <c r="Z230" i="1"/>
  <c r="AL230" i="1"/>
  <c r="A231" i="1"/>
  <c r="B231" i="1"/>
  <c r="C231" i="1"/>
  <c r="G231" i="1"/>
  <c r="H231" i="1"/>
  <c r="I231" i="1"/>
  <c r="J231" i="1"/>
  <c r="K231" i="1"/>
  <c r="M231" i="1"/>
  <c r="N231" i="1"/>
  <c r="P231" i="1"/>
  <c r="Q231" i="1"/>
  <c r="R231" i="1"/>
  <c r="S231" i="1"/>
  <c r="T231" i="1"/>
  <c r="Z231" i="1"/>
  <c r="AL231" i="1"/>
  <c r="A232" i="1"/>
  <c r="B232" i="1"/>
  <c r="C232" i="1"/>
  <c r="G232" i="1"/>
  <c r="H232" i="1"/>
  <c r="I232" i="1"/>
  <c r="J232" i="1"/>
  <c r="K232" i="1"/>
  <c r="M232" i="1"/>
  <c r="N232" i="1"/>
  <c r="P232" i="1"/>
  <c r="Q232" i="1"/>
  <c r="R232" i="1"/>
  <c r="S232" i="1"/>
  <c r="T232" i="1"/>
  <c r="Z232" i="1"/>
  <c r="AL232" i="1"/>
  <c r="A233" i="1"/>
  <c r="B233" i="1"/>
  <c r="C233" i="1"/>
  <c r="G233" i="1"/>
  <c r="H233" i="1"/>
  <c r="I233" i="1"/>
  <c r="J233" i="1"/>
  <c r="K233" i="1"/>
  <c r="M233" i="1"/>
  <c r="N233" i="1"/>
  <c r="P233" i="1"/>
  <c r="Q233" i="1"/>
  <c r="R233" i="1"/>
  <c r="S233" i="1"/>
  <c r="T233" i="1"/>
  <c r="Z233" i="1"/>
  <c r="AL233" i="1"/>
  <c r="A234" i="1"/>
  <c r="B234" i="1"/>
  <c r="C234" i="1"/>
  <c r="G234" i="1"/>
  <c r="H234" i="1"/>
  <c r="I234" i="1"/>
  <c r="J234" i="1"/>
  <c r="K234" i="1"/>
  <c r="M234" i="1"/>
  <c r="N234" i="1"/>
  <c r="P234" i="1"/>
  <c r="Q234" i="1"/>
  <c r="R234" i="1"/>
  <c r="S234" i="1"/>
  <c r="T234" i="1"/>
  <c r="Z234" i="1"/>
  <c r="AL234" i="1"/>
  <c r="A235" i="1"/>
  <c r="B235" i="1"/>
  <c r="C235" i="1"/>
  <c r="G235" i="1"/>
  <c r="H235" i="1"/>
  <c r="I235" i="1"/>
  <c r="J235" i="1"/>
  <c r="K235" i="1"/>
  <c r="M235" i="1"/>
  <c r="N235" i="1"/>
  <c r="P235" i="1"/>
  <c r="Q235" i="1"/>
  <c r="R235" i="1"/>
  <c r="S235" i="1"/>
  <c r="T235" i="1"/>
  <c r="Z235" i="1"/>
  <c r="AL235" i="1"/>
  <c r="A236" i="1"/>
  <c r="B236" i="1"/>
  <c r="C236" i="1"/>
  <c r="G236" i="1"/>
  <c r="H236" i="1"/>
  <c r="I236" i="1"/>
  <c r="J236" i="1"/>
  <c r="K236" i="1"/>
  <c r="M236" i="1"/>
  <c r="N236" i="1"/>
  <c r="P236" i="1"/>
  <c r="Q236" i="1"/>
  <c r="R236" i="1"/>
  <c r="S236" i="1"/>
  <c r="T236" i="1"/>
  <c r="Z236" i="1"/>
  <c r="AL236" i="1"/>
  <c r="A237" i="1"/>
  <c r="B237" i="1"/>
  <c r="C237" i="1"/>
  <c r="G237" i="1"/>
  <c r="H237" i="1"/>
  <c r="I237" i="1"/>
  <c r="J237" i="1"/>
  <c r="K237" i="1"/>
  <c r="P237" i="1"/>
  <c r="Q237" i="1"/>
  <c r="R237" i="1"/>
  <c r="S237" i="1"/>
  <c r="T237" i="1"/>
  <c r="Z237" i="1"/>
  <c r="AL237" i="1"/>
  <c r="A238" i="1"/>
  <c r="B238" i="1"/>
  <c r="C238" i="1"/>
  <c r="G238" i="1"/>
  <c r="H238" i="1"/>
  <c r="I238" i="1"/>
  <c r="J238" i="1"/>
  <c r="K238" i="1"/>
  <c r="M238" i="1"/>
  <c r="N238" i="1"/>
  <c r="P238" i="1"/>
  <c r="Q238" i="1"/>
  <c r="R238" i="1"/>
  <c r="S238" i="1"/>
  <c r="T238" i="1"/>
  <c r="Z238" i="1"/>
  <c r="AL238" i="1"/>
  <c r="A239" i="1"/>
  <c r="B239" i="1"/>
  <c r="C239" i="1"/>
  <c r="G239" i="1"/>
  <c r="H239" i="1"/>
  <c r="I239" i="1"/>
  <c r="J239" i="1"/>
  <c r="K239" i="1"/>
  <c r="M239" i="1"/>
  <c r="N239" i="1"/>
  <c r="P239" i="1"/>
  <c r="Q239" i="1"/>
  <c r="R239" i="1"/>
  <c r="S239" i="1"/>
  <c r="T239" i="1"/>
  <c r="Z239" i="1"/>
  <c r="AL239" i="1"/>
  <c r="A240" i="1"/>
  <c r="B240" i="1"/>
  <c r="C240" i="1"/>
  <c r="G240" i="1"/>
  <c r="H240" i="1"/>
  <c r="I240" i="1"/>
  <c r="J240" i="1"/>
  <c r="K240" i="1"/>
  <c r="M240" i="1"/>
  <c r="N240" i="1"/>
  <c r="P240" i="1"/>
  <c r="Q240" i="1"/>
  <c r="R240" i="1"/>
  <c r="S240" i="1"/>
  <c r="T240" i="1"/>
  <c r="Z240" i="1"/>
  <c r="AL240" i="1"/>
  <c r="A241" i="1"/>
  <c r="B241" i="1"/>
  <c r="C241" i="1"/>
  <c r="G241" i="1"/>
  <c r="H241" i="1"/>
  <c r="I241" i="1"/>
  <c r="J241" i="1"/>
  <c r="K241" i="1"/>
  <c r="M241" i="1"/>
  <c r="N241" i="1"/>
  <c r="P241" i="1"/>
  <c r="Q241" i="1"/>
  <c r="R241" i="1"/>
  <c r="S241" i="1"/>
  <c r="T241" i="1"/>
  <c r="Z241" i="1"/>
  <c r="AL241" i="1"/>
  <c r="A242" i="1"/>
  <c r="B242" i="1"/>
  <c r="C242" i="1"/>
  <c r="G242" i="1"/>
  <c r="H242" i="1"/>
  <c r="I242" i="1"/>
  <c r="J242" i="1"/>
  <c r="K242" i="1"/>
  <c r="M242" i="1"/>
  <c r="N242" i="1"/>
  <c r="P242" i="1"/>
  <c r="Q242" i="1"/>
  <c r="R242" i="1"/>
  <c r="S242" i="1"/>
  <c r="T242" i="1"/>
  <c r="Z242" i="1"/>
  <c r="AL242" i="1"/>
  <c r="A243" i="1"/>
  <c r="B243" i="1"/>
  <c r="C243" i="1"/>
  <c r="G243" i="1"/>
  <c r="H243" i="1"/>
  <c r="I243" i="1"/>
  <c r="J243" i="1"/>
  <c r="K243" i="1"/>
  <c r="M243" i="1"/>
  <c r="N243" i="1"/>
  <c r="P243" i="1"/>
  <c r="Q243" i="1"/>
  <c r="R243" i="1"/>
  <c r="S243" i="1"/>
  <c r="T243" i="1"/>
  <c r="Z243" i="1"/>
  <c r="AL243" i="1"/>
  <c r="A244" i="1"/>
  <c r="B244" i="1"/>
  <c r="C244" i="1"/>
  <c r="G244" i="1"/>
  <c r="H244" i="1"/>
  <c r="I244" i="1"/>
  <c r="J244" i="1"/>
  <c r="K244" i="1"/>
  <c r="M244" i="1"/>
  <c r="N244" i="1"/>
  <c r="P244" i="1"/>
  <c r="Q244" i="1"/>
  <c r="R244" i="1"/>
  <c r="S244" i="1"/>
  <c r="T244" i="1"/>
  <c r="Z244" i="1"/>
  <c r="AL244" i="1"/>
  <c r="A245" i="1"/>
  <c r="B245" i="1"/>
  <c r="C245" i="1"/>
  <c r="G245" i="1"/>
  <c r="H245" i="1"/>
  <c r="I245" i="1"/>
  <c r="J245" i="1"/>
  <c r="K245" i="1"/>
  <c r="M245" i="1"/>
  <c r="N245" i="1"/>
  <c r="P245" i="1"/>
  <c r="Q245" i="1"/>
  <c r="R245" i="1"/>
  <c r="S245" i="1"/>
  <c r="T245" i="1"/>
  <c r="Z245" i="1"/>
  <c r="AL245" i="1"/>
  <c r="A246" i="1"/>
  <c r="B246" i="1"/>
  <c r="C246" i="1"/>
  <c r="G246" i="1"/>
  <c r="H246" i="1"/>
  <c r="I246" i="1"/>
  <c r="J246" i="1"/>
  <c r="K246" i="1"/>
  <c r="M246" i="1"/>
  <c r="N246" i="1"/>
  <c r="P246" i="1"/>
  <c r="Q246" i="1"/>
  <c r="R246" i="1"/>
  <c r="S246" i="1"/>
  <c r="T246" i="1"/>
  <c r="Z246" i="1"/>
  <c r="AL246" i="1"/>
  <c r="A247" i="1"/>
  <c r="B247" i="1"/>
  <c r="C247" i="1"/>
  <c r="G247" i="1"/>
  <c r="H247" i="1"/>
  <c r="I247" i="1"/>
  <c r="J247" i="1"/>
  <c r="K247" i="1"/>
  <c r="M247" i="1"/>
  <c r="N247" i="1"/>
  <c r="P247" i="1"/>
  <c r="Q247" i="1"/>
  <c r="R247" i="1"/>
  <c r="S247" i="1"/>
  <c r="T247" i="1"/>
  <c r="Z247" i="1"/>
  <c r="AL247" i="1"/>
  <c r="A248" i="1"/>
  <c r="B248" i="1"/>
  <c r="C248" i="1"/>
  <c r="G248" i="1"/>
  <c r="H248" i="1"/>
  <c r="I248" i="1"/>
  <c r="J248" i="1"/>
  <c r="K248" i="1"/>
  <c r="M248" i="1"/>
  <c r="N248" i="1"/>
  <c r="P248" i="1"/>
  <c r="Q248" i="1"/>
  <c r="R248" i="1"/>
  <c r="S248" i="1"/>
  <c r="T248" i="1"/>
  <c r="Z248" i="1"/>
  <c r="AL248" i="1"/>
  <c r="A249" i="1"/>
  <c r="B249" i="1"/>
  <c r="C249" i="1"/>
  <c r="G249" i="1"/>
  <c r="H249" i="1"/>
  <c r="I249" i="1"/>
  <c r="J249" i="1"/>
  <c r="K249" i="1"/>
  <c r="M249" i="1"/>
  <c r="N249" i="1"/>
  <c r="P249" i="1"/>
  <c r="Q249" i="1"/>
  <c r="R249" i="1"/>
  <c r="S249" i="1"/>
  <c r="T249" i="1"/>
  <c r="Z249" i="1"/>
  <c r="AL249" i="1"/>
  <c r="A250" i="1"/>
  <c r="B250" i="1"/>
  <c r="C250" i="1"/>
  <c r="G250" i="1"/>
  <c r="H250" i="1"/>
  <c r="I250" i="1"/>
  <c r="J250" i="1"/>
  <c r="K250" i="1"/>
  <c r="M250" i="1"/>
  <c r="N250" i="1"/>
  <c r="P250" i="1"/>
  <c r="Q250" i="1"/>
  <c r="R250" i="1"/>
  <c r="S250" i="1"/>
  <c r="T250" i="1"/>
  <c r="Z250" i="1"/>
  <c r="AL250" i="1"/>
  <c r="A251" i="1"/>
  <c r="B251" i="1"/>
  <c r="C251" i="1"/>
  <c r="G251" i="1"/>
  <c r="H251" i="1"/>
  <c r="I251" i="1"/>
  <c r="J251" i="1"/>
  <c r="K251" i="1"/>
  <c r="M251" i="1"/>
  <c r="N251" i="1"/>
  <c r="P251" i="1"/>
  <c r="Q251" i="1"/>
  <c r="R251" i="1"/>
  <c r="S251" i="1"/>
  <c r="T251" i="1"/>
  <c r="Z251" i="1"/>
  <c r="AL251" i="1"/>
  <c r="A252" i="1"/>
  <c r="B252" i="1"/>
  <c r="C252" i="1"/>
  <c r="G252" i="1"/>
  <c r="H252" i="1"/>
  <c r="I252" i="1"/>
  <c r="J252" i="1"/>
  <c r="K252" i="1"/>
  <c r="M252" i="1"/>
  <c r="N252" i="1"/>
  <c r="P252" i="1"/>
  <c r="Q252" i="1"/>
  <c r="R252" i="1"/>
  <c r="S252" i="1"/>
  <c r="T252" i="1"/>
  <c r="Z252" i="1"/>
  <c r="AL252" i="1"/>
  <c r="A253" i="1"/>
  <c r="B253" i="1"/>
  <c r="C253" i="1"/>
  <c r="G253" i="1"/>
  <c r="H253" i="1"/>
  <c r="I253" i="1"/>
  <c r="J253" i="1"/>
  <c r="K253" i="1"/>
  <c r="M253" i="1"/>
  <c r="N253" i="1"/>
  <c r="P253" i="1"/>
  <c r="Q253" i="1"/>
  <c r="R253" i="1"/>
  <c r="S253" i="1"/>
  <c r="T253" i="1"/>
  <c r="Z253" i="1"/>
  <c r="AL253" i="1"/>
  <c r="A254" i="1"/>
  <c r="B254" i="1"/>
  <c r="C254" i="1"/>
  <c r="G254" i="1"/>
  <c r="H254" i="1"/>
  <c r="I254" i="1"/>
  <c r="J254" i="1"/>
  <c r="K254" i="1"/>
  <c r="M254" i="1"/>
  <c r="N254" i="1"/>
  <c r="P254" i="1"/>
  <c r="Q254" i="1"/>
  <c r="R254" i="1"/>
  <c r="S254" i="1"/>
  <c r="T254" i="1"/>
  <c r="Z254" i="1"/>
  <c r="AL254" i="1"/>
  <c r="A255" i="1"/>
  <c r="B255" i="1"/>
  <c r="C255" i="1"/>
  <c r="G255" i="1"/>
  <c r="H255" i="1"/>
  <c r="I255" i="1"/>
  <c r="J255" i="1"/>
  <c r="K255" i="1"/>
  <c r="M255" i="1"/>
  <c r="N255" i="1"/>
  <c r="P255" i="1"/>
  <c r="Q255" i="1"/>
  <c r="R255" i="1"/>
  <c r="S255" i="1"/>
  <c r="T255" i="1"/>
  <c r="Z255" i="1"/>
  <c r="AL255" i="1"/>
  <c r="A256" i="1"/>
  <c r="B256" i="1"/>
  <c r="C256" i="1"/>
  <c r="G256" i="1"/>
  <c r="H256" i="1"/>
  <c r="I256" i="1"/>
  <c r="J256" i="1"/>
  <c r="K256" i="1"/>
  <c r="M256" i="1"/>
  <c r="N256" i="1"/>
  <c r="P256" i="1"/>
  <c r="Q256" i="1"/>
  <c r="R256" i="1"/>
  <c r="S256" i="1"/>
  <c r="T256" i="1"/>
  <c r="Z256" i="1"/>
  <c r="AL256" i="1"/>
  <c r="A257" i="1"/>
  <c r="B257" i="1"/>
  <c r="C257" i="1"/>
  <c r="G257" i="1"/>
  <c r="H257" i="1"/>
  <c r="I257" i="1"/>
  <c r="J257" i="1"/>
  <c r="K257" i="1"/>
  <c r="M257" i="1"/>
  <c r="N257" i="1"/>
  <c r="P257" i="1"/>
  <c r="Q257" i="1"/>
  <c r="R257" i="1"/>
  <c r="S257" i="1"/>
  <c r="T257" i="1"/>
  <c r="Z257" i="1"/>
  <c r="AL257" i="1"/>
  <c r="A258" i="1"/>
  <c r="B258" i="1"/>
  <c r="C258" i="1"/>
  <c r="G258" i="1"/>
  <c r="H258" i="1"/>
  <c r="I258" i="1"/>
  <c r="J258" i="1"/>
  <c r="K258" i="1"/>
  <c r="M258" i="1"/>
  <c r="N258" i="1"/>
  <c r="P258" i="1"/>
  <c r="Q258" i="1"/>
  <c r="R258" i="1"/>
  <c r="S258" i="1"/>
  <c r="T258" i="1"/>
  <c r="Z258" i="1"/>
  <c r="AL258" i="1"/>
  <c r="A259" i="1"/>
  <c r="B259" i="1"/>
  <c r="C259" i="1"/>
  <c r="G259" i="1"/>
  <c r="H259" i="1"/>
  <c r="I259" i="1"/>
  <c r="J259" i="1"/>
  <c r="K259" i="1"/>
  <c r="M259" i="1"/>
  <c r="N259" i="1"/>
  <c r="P259" i="1"/>
  <c r="Q259" i="1"/>
  <c r="R259" i="1"/>
  <c r="S259" i="1"/>
  <c r="T259" i="1"/>
  <c r="Z259" i="1"/>
  <c r="AL259" i="1"/>
  <c r="A260" i="1"/>
  <c r="B260" i="1"/>
  <c r="C260" i="1"/>
  <c r="G260" i="1"/>
  <c r="H260" i="1"/>
  <c r="I260" i="1"/>
  <c r="J260" i="1"/>
  <c r="K260" i="1"/>
  <c r="M260" i="1"/>
  <c r="N260" i="1"/>
  <c r="P260" i="1"/>
  <c r="Q260" i="1"/>
  <c r="R260" i="1"/>
  <c r="S260" i="1"/>
  <c r="T260" i="1"/>
  <c r="Z260" i="1"/>
  <c r="AL260" i="1"/>
  <c r="A261" i="1"/>
  <c r="B261" i="1"/>
  <c r="C261" i="1"/>
  <c r="G261" i="1"/>
  <c r="H261" i="1"/>
  <c r="I261" i="1"/>
  <c r="J261" i="1"/>
  <c r="K261" i="1"/>
  <c r="M261" i="1"/>
  <c r="N261" i="1"/>
  <c r="P261" i="1"/>
  <c r="Q261" i="1"/>
  <c r="R261" i="1"/>
  <c r="S261" i="1"/>
  <c r="T261" i="1"/>
  <c r="Z261" i="1"/>
  <c r="AL261" i="1"/>
  <c r="A262" i="1"/>
  <c r="B262" i="1"/>
  <c r="C262" i="1"/>
  <c r="G262" i="1"/>
  <c r="H262" i="1"/>
  <c r="I262" i="1"/>
  <c r="J262" i="1"/>
  <c r="K262" i="1"/>
  <c r="M262" i="1"/>
  <c r="N262" i="1"/>
  <c r="P262" i="1"/>
  <c r="Q262" i="1"/>
  <c r="R262" i="1"/>
  <c r="S262" i="1"/>
  <c r="T262" i="1"/>
  <c r="Z262" i="1"/>
  <c r="AL262" i="1"/>
  <c r="A263" i="1"/>
  <c r="B263" i="1"/>
  <c r="C263" i="1"/>
  <c r="G263" i="1"/>
  <c r="H263" i="1"/>
  <c r="I263" i="1"/>
  <c r="J263" i="1"/>
  <c r="K263" i="1"/>
  <c r="M263" i="1"/>
  <c r="N263" i="1"/>
  <c r="P263" i="1"/>
  <c r="Q263" i="1"/>
  <c r="R263" i="1"/>
  <c r="S263" i="1"/>
  <c r="T263" i="1"/>
  <c r="Z263" i="1"/>
  <c r="AL263" i="1"/>
  <c r="A264" i="1"/>
  <c r="B264" i="1"/>
  <c r="C264" i="1"/>
  <c r="G264" i="1"/>
  <c r="H264" i="1"/>
  <c r="I264" i="1"/>
  <c r="J264" i="1"/>
  <c r="K264" i="1"/>
  <c r="M264" i="1"/>
  <c r="N264" i="1"/>
  <c r="P264" i="1"/>
  <c r="Q264" i="1"/>
  <c r="R264" i="1"/>
  <c r="S264" i="1"/>
  <c r="T264" i="1"/>
  <c r="Z264" i="1"/>
  <c r="AL264" i="1"/>
  <c r="A265" i="1"/>
  <c r="B265" i="1"/>
  <c r="C265" i="1"/>
  <c r="G265" i="1"/>
  <c r="H265" i="1"/>
  <c r="I265" i="1"/>
  <c r="J265" i="1"/>
  <c r="K265" i="1"/>
  <c r="M265" i="1"/>
  <c r="N265" i="1"/>
  <c r="P265" i="1"/>
  <c r="Q265" i="1"/>
  <c r="R265" i="1"/>
  <c r="S265" i="1"/>
  <c r="T265" i="1"/>
  <c r="Z265" i="1"/>
  <c r="AL265" i="1"/>
  <c r="A266" i="1"/>
  <c r="B266" i="1"/>
  <c r="C266" i="1"/>
  <c r="G266" i="1"/>
  <c r="H266" i="1"/>
  <c r="I266" i="1"/>
  <c r="J266" i="1"/>
  <c r="K266" i="1"/>
  <c r="M266" i="1"/>
  <c r="N266" i="1"/>
  <c r="P266" i="1"/>
  <c r="Q266" i="1"/>
  <c r="R266" i="1"/>
  <c r="S266" i="1"/>
  <c r="T266" i="1"/>
  <c r="Z266" i="1"/>
  <c r="AL266" i="1"/>
  <c r="A267" i="1"/>
  <c r="B267" i="1"/>
  <c r="C267" i="1"/>
  <c r="G267" i="1"/>
  <c r="H267" i="1"/>
  <c r="I267" i="1"/>
  <c r="J267" i="1"/>
  <c r="K267" i="1"/>
  <c r="M267" i="1"/>
  <c r="N267" i="1"/>
  <c r="P267" i="1"/>
  <c r="Q267" i="1"/>
  <c r="R267" i="1"/>
  <c r="S267" i="1"/>
  <c r="T267" i="1"/>
  <c r="Z267" i="1"/>
  <c r="AL267" i="1"/>
  <c r="A268" i="1"/>
  <c r="B268" i="1"/>
  <c r="C268" i="1"/>
  <c r="G268" i="1"/>
  <c r="H268" i="1"/>
  <c r="I268" i="1"/>
  <c r="J268" i="1"/>
  <c r="K268" i="1"/>
  <c r="M268" i="1"/>
  <c r="N268" i="1"/>
  <c r="P268" i="1"/>
  <c r="Q268" i="1"/>
  <c r="R268" i="1"/>
  <c r="S268" i="1"/>
  <c r="T268" i="1"/>
  <c r="Z268" i="1"/>
  <c r="AL268" i="1"/>
  <c r="A269" i="1"/>
  <c r="B269" i="1"/>
  <c r="C269" i="1"/>
  <c r="G269" i="1"/>
  <c r="H269" i="1"/>
  <c r="I269" i="1"/>
  <c r="J269" i="1"/>
  <c r="K269" i="1"/>
  <c r="M269" i="1"/>
  <c r="N269" i="1"/>
  <c r="P269" i="1"/>
  <c r="Q269" i="1"/>
  <c r="R269" i="1"/>
  <c r="S269" i="1"/>
  <c r="T269" i="1"/>
  <c r="Z269" i="1"/>
  <c r="AL269" i="1"/>
  <c r="A270" i="1"/>
  <c r="B270" i="1"/>
  <c r="C270" i="1"/>
  <c r="G270" i="1"/>
  <c r="H270" i="1"/>
  <c r="I270" i="1"/>
  <c r="J270" i="1"/>
  <c r="K270" i="1"/>
  <c r="M270" i="1"/>
  <c r="N270" i="1"/>
  <c r="P270" i="1"/>
  <c r="Q270" i="1"/>
  <c r="R270" i="1"/>
  <c r="S270" i="1"/>
  <c r="T270" i="1"/>
  <c r="Z270" i="1"/>
  <c r="AL270" i="1"/>
  <c r="A271" i="1"/>
  <c r="B271" i="1"/>
  <c r="C271" i="1"/>
  <c r="G271" i="1"/>
  <c r="H271" i="1"/>
  <c r="I271" i="1"/>
  <c r="J271" i="1"/>
  <c r="K271" i="1"/>
  <c r="M271" i="1"/>
  <c r="N271" i="1"/>
  <c r="P271" i="1"/>
  <c r="Q271" i="1"/>
  <c r="R271" i="1"/>
  <c r="S271" i="1"/>
  <c r="T271" i="1"/>
  <c r="Z271" i="1"/>
  <c r="AL271" i="1"/>
  <c r="A272" i="1"/>
  <c r="B272" i="1"/>
  <c r="C272" i="1"/>
  <c r="G272" i="1"/>
  <c r="H272" i="1"/>
  <c r="I272" i="1"/>
  <c r="J272" i="1"/>
  <c r="K272" i="1"/>
  <c r="M272" i="1"/>
  <c r="N272" i="1"/>
  <c r="P272" i="1"/>
  <c r="Q272" i="1"/>
  <c r="R272" i="1"/>
  <c r="S272" i="1"/>
  <c r="T272" i="1"/>
  <c r="Z272" i="1"/>
  <c r="AL272" i="1"/>
  <c r="A273" i="1"/>
  <c r="B273" i="1"/>
  <c r="C273" i="1"/>
  <c r="G273" i="1"/>
  <c r="H273" i="1"/>
  <c r="I273" i="1"/>
  <c r="J273" i="1"/>
  <c r="K273" i="1"/>
  <c r="M273" i="1"/>
  <c r="N273" i="1"/>
  <c r="P273" i="1"/>
  <c r="Q273" i="1"/>
  <c r="R273" i="1"/>
  <c r="S273" i="1"/>
  <c r="T273" i="1"/>
  <c r="Z273" i="1"/>
  <c r="AL273" i="1"/>
  <c r="A274" i="1"/>
  <c r="B274" i="1"/>
  <c r="C274" i="1"/>
  <c r="G274" i="1"/>
  <c r="H274" i="1"/>
  <c r="I274" i="1"/>
  <c r="J274" i="1"/>
  <c r="K274" i="1"/>
  <c r="M274" i="1"/>
  <c r="N274" i="1"/>
  <c r="P274" i="1"/>
  <c r="Q274" i="1"/>
  <c r="R274" i="1"/>
  <c r="S274" i="1"/>
  <c r="T274" i="1"/>
  <c r="Z274" i="1"/>
  <c r="AL274" i="1"/>
  <c r="A275" i="1"/>
  <c r="B275" i="1"/>
  <c r="C275" i="1"/>
  <c r="G275" i="1"/>
  <c r="H275" i="1"/>
  <c r="I275" i="1"/>
  <c r="J275" i="1"/>
  <c r="K275" i="1"/>
  <c r="M275" i="1"/>
  <c r="N275" i="1"/>
  <c r="P275" i="1"/>
  <c r="Q275" i="1"/>
  <c r="R275" i="1"/>
  <c r="S275" i="1"/>
  <c r="T275" i="1"/>
  <c r="Z275" i="1"/>
  <c r="AL275" i="1"/>
  <c r="A276" i="1"/>
  <c r="B276" i="1"/>
  <c r="C276" i="1"/>
  <c r="G276" i="1"/>
  <c r="H276" i="1"/>
  <c r="I276" i="1"/>
  <c r="J276" i="1"/>
  <c r="K276" i="1"/>
  <c r="M276" i="1"/>
  <c r="N276" i="1"/>
  <c r="P276" i="1"/>
  <c r="Q276" i="1"/>
  <c r="R276" i="1"/>
  <c r="S276" i="1"/>
  <c r="T276" i="1"/>
  <c r="Z276" i="1"/>
  <c r="AL276" i="1"/>
  <c r="A277" i="1"/>
  <c r="B277" i="1"/>
  <c r="C277" i="1"/>
  <c r="G277" i="1"/>
  <c r="H277" i="1"/>
  <c r="I277" i="1"/>
  <c r="J277" i="1"/>
  <c r="K277" i="1"/>
  <c r="M277" i="1"/>
  <c r="N277" i="1"/>
  <c r="P277" i="1"/>
  <c r="Q277" i="1"/>
  <c r="R277" i="1"/>
  <c r="S277" i="1"/>
  <c r="T277" i="1"/>
  <c r="Z277" i="1"/>
  <c r="AL277" i="1"/>
  <c r="A278" i="1"/>
  <c r="B278" i="1"/>
  <c r="C278" i="1"/>
  <c r="G278" i="1"/>
  <c r="H278" i="1"/>
  <c r="I278" i="1"/>
  <c r="J278" i="1"/>
  <c r="K278" i="1"/>
  <c r="M278" i="1"/>
  <c r="N278" i="1"/>
  <c r="P278" i="1"/>
  <c r="Q278" i="1"/>
  <c r="R278" i="1"/>
  <c r="S278" i="1"/>
  <c r="T278" i="1"/>
  <c r="Z278" i="1"/>
  <c r="AL278" i="1"/>
  <c r="A279" i="1"/>
  <c r="B279" i="1"/>
  <c r="C279" i="1"/>
  <c r="G279" i="1"/>
  <c r="H279" i="1"/>
  <c r="I279" i="1"/>
  <c r="J279" i="1"/>
  <c r="K279" i="1"/>
  <c r="M279" i="1"/>
  <c r="N279" i="1"/>
  <c r="P279" i="1"/>
  <c r="Q279" i="1"/>
  <c r="R279" i="1"/>
  <c r="S279" i="1"/>
  <c r="T279" i="1"/>
  <c r="Z279" i="1"/>
  <c r="AL279" i="1"/>
  <c r="A280" i="1"/>
  <c r="B280" i="1"/>
  <c r="C280" i="1"/>
  <c r="G280" i="1"/>
  <c r="H280" i="1"/>
  <c r="I280" i="1"/>
  <c r="J280" i="1"/>
  <c r="K280" i="1"/>
  <c r="M280" i="1"/>
  <c r="N280" i="1"/>
  <c r="P280" i="1"/>
  <c r="Q280" i="1"/>
  <c r="R280" i="1"/>
  <c r="S280" i="1"/>
  <c r="T280" i="1"/>
  <c r="Z280" i="1"/>
  <c r="AL280" i="1"/>
  <c r="A281" i="1"/>
  <c r="B281" i="1"/>
  <c r="C281" i="1"/>
  <c r="G281" i="1"/>
  <c r="H281" i="1"/>
  <c r="I281" i="1"/>
  <c r="J281" i="1"/>
  <c r="K281" i="1"/>
  <c r="M281" i="1"/>
  <c r="N281" i="1"/>
  <c r="P281" i="1"/>
  <c r="Q281" i="1"/>
  <c r="R281" i="1"/>
  <c r="S281" i="1"/>
  <c r="T281" i="1"/>
  <c r="Z281" i="1"/>
  <c r="AL281" i="1"/>
  <c r="A282" i="1"/>
  <c r="B282" i="1"/>
  <c r="C282" i="1"/>
  <c r="G282" i="1"/>
  <c r="H282" i="1"/>
  <c r="I282" i="1"/>
  <c r="J282" i="1"/>
  <c r="K282" i="1"/>
  <c r="M282" i="1"/>
  <c r="N282" i="1"/>
  <c r="P282" i="1"/>
  <c r="Q282" i="1"/>
  <c r="R282" i="1"/>
  <c r="S282" i="1"/>
  <c r="T282" i="1"/>
  <c r="Z282" i="1"/>
  <c r="AL282" i="1"/>
  <c r="A283" i="1"/>
  <c r="B283" i="1"/>
  <c r="C283" i="1"/>
  <c r="G283" i="1"/>
  <c r="H283" i="1"/>
  <c r="I283" i="1"/>
  <c r="J283" i="1"/>
  <c r="K283" i="1"/>
  <c r="M283" i="1"/>
  <c r="N283" i="1"/>
  <c r="P283" i="1"/>
  <c r="Q283" i="1"/>
  <c r="R283" i="1"/>
  <c r="S283" i="1"/>
  <c r="T283" i="1"/>
  <c r="Z283" i="1"/>
  <c r="AL283" i="1"/>
  <c r="A284" i="1"/>
  <c r="B284" i="1"/>
  <c r="C284" i="1"/>
  <c r="G284" i="1"/>
  <c r="H284" i="1"/>
  <c r="I284" i="1"/>
  <c r="J284" i="1"/>
  <c r="K284" i="1"/>
  <c r="M284" i="1"/>
  <c r="N284" i="1"/>
  <c r="P284" i="1"/>
  <c r="Q284" i="1"/>
  <c r="R284" i="1"/>
  <c r="S284" i="1"/>
  <c r="T284" i="1"/>
  <c r="Z284" i="1"/>
  <c r="AL284" i="1"/>
  <c r="A285" i="1"/>
  <c r="B285" i="1"/>
  <c r="C285" i="1"/>
  <c r="G285" i="1"/>
  <c r="H285" i="1"/>
  <c r="I285" i="1"/>
  <c r="J285" i="1"/>
  <c r="K285" i="1"/>
  <c r="M285" i="1"/>
  <c r="N285" i="1"/>
  <c r="P285" i="1"/>
  <c r="Q285" i="1"/>
  <c r="R285" i="1"/>
  <c r="S285" i="1"/>
  <c r="T285" i="1"/>
  <c r="Z285" i="1"/>
  <c r="AL285" i="1"/>
  <c r="A286" i="1"/>
  <c r="B286" i="1"/>
  <c r="C286" i="1"/>
  <c r="G286" i="1"/>
  <c r="H286" i="1"/>
  <c r="I286" i="1"/>
  <c r="J286" i="1"/>
  <c r="K286" i="1"/>
  <c r="M286" i="1"/>
  <c r="N286" i="1"/>
  <c r="P286" i="1"/>
  <c r="Q286" i="1"/>
  <c r="R286" i="1"/>
  <c r="S286" i="1"/>
  <c r="T286" i="1"/>
  <c r="Z286" i="1"/>
  <c r="AL286" i="1"/>
  <c r="A287" i="1"/>
  <c r="B287" i="1"/>
  <c r="C287" i="1"/>
  <c r="G287" i="1"/>
  <c r="H287" i="1"/>
  <c r="I287" i="1"/>
  <c r="J287" i="1"/>
  <c r="K287" i="1"/>
  <c r="M287" i="1"/>
  <c r="N287" i="1"/>
  <c r="P287" i="1"/>
  <c r="Q287" i="1"/>
  <c r="R287" i="1"/>
  <c r="S287" i="1"/>
  <c r="T287" i="1"/>
  <c r="Z287" i="1"/>
  <c r="AL287" i="1"/>
  <c r="A288" i="1"/>
  <c r="B288" i="1"/>
  <c r="C288" i="1"/>
  <c r="G288" i="1"/>
  <c r="H288" i="1"/>
  <c r="I288" i="1"/>
  <c r="J288" i="1"/>
  <c r="K288" i="1"/>
  <c r="M288" i="1"/>
  <c r="N288" i="1"/>
  <c r="P288" i="1"/>
  <c r="Q288" i="1"/>
  <c r="R288" i="1"/>
  <c r="S288" i="1"/>
  <c r="T288" i="1"/>
  <c r="Z288" i="1"/>
  <c r="AL288" i="1"/>
  <c r="A289" i="1"/>
  <c r="B289" i="1"/>
  <c r="C289" i="1"/>
  <c r="G289" i="1"/>
  <c r="H289" i="1"/>
  <c r="I289" i="1"/>
  <c r="J289" i="1"/>
  <c r="K289" i="1"/>
  <c r="M289" i="1"/>
  <c r="N289" i="1"/>
  <c r="P289" i="1"/>
  <c r="Q289" i="1"/>
  <c r="R289" i="1"/>
  <c r="S289" i="1"/>
  <c r="T289" i="1"/>
  <c r="Z289" i="1"/>
  <c r="AL289" i="1"/>
  <c r="A290" i="1"/>
  <c r="B290" i="1"/>
  <c r="C290" i="1"/>
  <c r="G290" i="1"/>
  <c r="H290" i="1"/>
  <c r="I290" i="1"/>
  <c r="J290" i="1"/>
  <c r="K290" i="1"/>
  <c r="M290" i="1"/>
  <c r="N290" i="1"/>
  <c r="P290" i="1"/>
  <c r="Q290" i="1"/>
  <c r="R290" i="1"/>
  <c r="S290" i="1"/>
  <c r="T290" i="1"/>
  <c r="Z290" i="1"/>
  <c r="AL290" i="1"/>
  <c r="A291" i="1"/>
  <c r="B291" i="1"/>
  <c r="C291" i="1"/>
  <c r="G291" i="1"/>
  <c r="H291" i="1"/>
  <c r="I291" i="1"/>
  <c r="J291" i="1"/>
  <c r="K291" i="1"/>
  <c r="M291" i="1"/>
  <c r="N291" i="1"/>
  <c r="P291" i="1"/>
  <c r="Q291" i="1"/>
  <c r="R291" i="1"/>
  <c r="S291" i="1"/>
  <c r="T291" i="1"/>
  <c r="Z291" i="1"/>
  <c r="AL291" i="1"/>
  <c r="A292" i="1"/>
  <c r="B292" i="1"/>
  <c r="C292" i="1"/>
  <c r="G292" i="1"/>
  <c r="H292" i="1"/>
  <c r="I292" i="1"/>
  <c r="J292" i="1"/>
  <c r="K292" i="1"/>
  <c r="M292" i="1"/>
  <c r="N292" i="1"/>
  <c r="P292" i="1"/>
  <c r="Q292" i="1"/>
  <c r="R292" i="1"/>
  <c r="S292" i="1"/>
  <c r="T292" i="1"/>
  <c r="Z292" i="1"/>
  <c r="AL292" i="1"/>
  <c r="A293" i="1"/>
  <c r="B293" i="1"/>
  <c r="C293" i="1"/>
  <c r="G293" i="1"/>
  <c r="H293" i="1"/>
  <c r="I293" i="1"/>
  <c r="J293" i="1"/>
  <c r="K293" i="1"/>
  <c r="M293" i="1"/>
  <c r="N293" i="1"/>
  <c r="P293" i="1"/>
  <c r="Q293" i="1"/>
  <c r="R293" i="1"/>
  <c r="S293" i="1"/>
  <c r="T293" i="1"/>
  <c r="Z293" i="1"/>
  <c r="AL293" i="1"/>
  <c r="A294" i="1"/>
  <c r="B294" i="1"/>
  <c r="C294" i="1"/>
  <c r="G294" i="1"/>
  <c r="H294" i="1"/>
  <c r="I294" i="1"/>
  <c r="J294" i="1"/>
  <c r="K294" i="1"/>
  <c r="M294" i="1"/>
  <c r="N294" i="1"/>
  <c r="P294" i="1"/>
  <c r="Q294" i="1"/>
  <c r="R294" i="1"/>
  <c r="S294" i="1"/>
  <c r="T294" i="1"/>
  <c r="Z294" i="1"/>
  <c r="AL294" i="1"/>
  <c r="A295" i="1"/>
  <c r="B295" i="1"/>
  <c r="C295" i="1"/>
  <c r="G295" i="1"/>
  <c r="H295" i="1"/>
  <c r="I295" i="1"/>
  <c r="J295" i="1"/>
  <c r="K295" i="1"/>
  <c r="M295" i="1"/>
  <c r="N295" i="1"/>
  <c r="P295" i="1"/>
  <c r="Q295" i="1"/>
  <c r="R295" i="1"/>
  <c r="S295" i="1"/>
  <c r="T295" i="1"/>
  <c r="Z295" i="1"/>
  <c r="AL295" i="1"/>
  <c r="A296" i="1"/>
  <c r="B296" i="1"/>
  <c r="C296" i="1"/>
  <c r="G296" i="1"/>
  <c r="H296" i="1"/>
  <c r="I296" i="1"/>
  <c r="J296" i="1"/>
  <c r="K296" i="1"/>
  <c r="M296" i="1"/>
  <c r="N296" i="1"/>
  <c r="P296" i="1"/>
  <c r="Q296" i="1"/>
  <c r="R296" i="1"/>
  <c r="S296" i="1"/>
  <c r="T296" i="1"/>
  <c r="Z296" i="1"/>
  <c r="AL296" i="1"/>
  <c r="A297" i="1"/>
  <c r="B297" i="1"/>
  <c r="C297" i="1"/>
  <c r="G297" i="1"/>
  <c r="H297" i="1"/>
  <c r="I297" i="1"/>
  <c r="J297" i="1"/>
  <c r="K297" i="1"/>
  <c r="M297" i="1"/>
  <c r="N297" i="1"/>
  <c r="P297" i="1"/>
  <c r="Q297" i="1"/>
  <c r="R297" i="1"/>
  <c r="S297" i="1"/>
  <c r="T297" i="1"/>
  <c r="Z297" i="1"/>
  <c r="AL297" i="1"/>
  <c r="A298" i="1"/>
  <c r="B298" i="1"/>
  <c r="C298" i="1"/>
  <c r="G298" i="1"/>
  <c r="H298" i="1"/>
  <c r="I298" i="1"/>
  <c r="J298" i="1"/>
  <c r="K298" i="1"/>
  <c r="M298" i="1"/>
  <c r="N298" i="1"/>
  <c r="P298" i="1"/>
  <c r="Q298" i="1"/>
  <c r="R298" i="1"/>
  <c r="S298" i="1"/>
  <c r="T298" i="1"/>
  <c r="Z298" i="1"/>
  <c r="AL298" i="1"/>
  <c r="A299" i="1"/>
  <c r="B299" i="1"/>
  <c r="C299" i="1"/>
  <c r="G299" i="1"/>
  <c r="H299" i="1"/>
  <c r="I299" i="1"/>
  <c r="J299" i="1"/>
  <c r="K299" i="1"/>
  <c r="M299" i="1"/>
  <c r="N299" i="1"/>
  <c r="P299" i="1"/>
  <c r="Q299" i="1"/>
  <c r="R299" i="1"/>
  <c r="S299" i="1"/>
  <c r="T299" i="1"/>
  <c r="Z299" i="1"/>
  <c r="AL299" i="1"/>
  <c r="A300" i="1"/>
  <c r="B300" i="1"/>
  <c r="C300" i="1"/>
  <c r="G300" i="1"/>
  <c r="H300" i="1"/>
  <c r="I300" i="1"/>
  <c r="J300" i="1"/>
  <c r="K300" i="1"/>
  <c r="M300" i="1"/>
  <c r="N300" i="1"/>
  <c r="P300" i="1"/>
  <c r="Q300" i="1"/>
  <c r="R300" i="1"/>
  <c r="S300" i="1"/>
  <c r="T300" i="1"/>
  <c r="Z300" i="1"/>
  <c r="AL300" i="1"/>
  <c r="A301" i="1"/>
  <c r="B301" i="1"/>
  <c r="C301" i="1"/>
  <c r="G301" i="1"/>
  <c r="H301" i="1"/>
  <c r="I301" i="1"/>
  <c r="J301" i="1"/>
  <c r="K301" i="1"/>
  <c r="M301" i="1"/>
  <c r="N301" i="1"/>
  <c r="P301" i="1"/>
  <c r="Q301" i="1"/>
  <c r="R301" i="1"/>
  <c r="S301" i="1"/>
  <c r="T301" i="1"/>
  <c r="Z301" i="1"/>
  <c r="AL301" i="1"/>
  <c r="A302" i="1"/>
  <c r="B302" i="1"/>
  <c r="C302" i="1"/>
  <c r="G302" i="1"/>
  <c r="H302" i="1"/>
  <c r="I302" i="1"/>
  <c r="J302" i="1"/>
  <c r="K302" i="1"/>
  <c r="M302" i="1"/>
  <c r="N302" i="1"/>
  <c r="P302" i="1"/>
  <c r="Q302" i="1"/>
  <c r="R302" i="1"/>
  <c r="S302" i="1"/>
  <c r="T302" i="1"/>
  <c r="Z302" i="1"/>
  <c r="AL302" i="1"/>
  <c r="A303" i="1"/>
  <c r="B303" i="1"/>
  <c r="C303" i="1"/>
  <c r="G303" i="1"/>
  <c r="H303" i="1"/>
  <c r="I303" i="1"/>
  <c r="J303" i="1"/>
  <c r="K303" i="1"/>
  <c r="M303" i="1"/>
  <c r="N303" i="1"/>
  <c r="P303" i="1"/>
  <c r="Q303" i="1"/>
  <c r="R303" i="1"/>
  <c r="S303" i="1"/>
  <c r="T303" i="1"/>
  <c r="Z303" i="1"/>
  <c r="AL303" i="1"/>
  <c r="A304" i="1"/>
  <c r="B304" i="1"/>
  <c r="C304" i="1"/>
  <c r="G304" i="1"/>
  <c r="H304" i="1"/>
  <c r="I304" i="1"/>
  <c r="J304" i="1"/>
  <c r="K304" i="1"/>
  <c r="M304" i="1"/>
  <c r="N304" i="1"/>
  <c r="P304" i="1"/>
  <c r="Q304" i="1"/>
  <c r="R304" i="1"/>
  <c r="S304" i="1"/>
  <c r="T304" i="1"/>
  <c r="Z304" i="1"/>
  <c r="AL304" i="1"/>
  <c r="A305" i="1"/>
  <c r="B305" i="1"/>
  <c r="C305" i="1"/>
  <c r="G305" i="1"/>
  <c r="H305" i="1"/>
  <c r="I305" i="1"/>
  <c r="J305" i="1"/>
  <c r="K305" i="1"/>
  <c r="M305" i="1"/>
  <c r="N305" i="1"/>
  <c r="P305" i="1"/>
  <c r="Q305" i="1"/>
  <c r="R305" i="1"/>
  <c r="S305" i="1"/>
  <c r="T305" i="1"/>
  <c r="Z305" i="1"/>
  <c r="AL305" i="1"/>
  <c r="A306" i="1"/>
  <c r="B306" i="1"/>
  <c r="C306" i="1"/>
  <c r="G306" i="1"/>
  <c r="H306" i="1"/>
  <c r="I306" i="1"/>
  <c r="J306" i="1"/>
  <c r="K306" i="1"/>
  <c r="M306" i="1"/>
  <c r="N306" i="1"/>
  <c r="P306" i="1"/>
  <c r="Q306" i="1"/>
  <c r="R306" i="1"/>
  <c r="S306" i="1"/>
  <c r="T306" i="1"/>
  <c r="Z306" i="1"/>
  <c r="AL306" i="1"/>
  <c r="A307" i="1"/>
  <c r="B307" i="1"/>
  <c r="C307" i="1"/>
  <c r="G307" i="1"/>
  <c r="H307" i="1"/>
  <c r="I307" i="1"/>
  <c r="J307" i="1"/>
  <c r="K307" i="1"/>
  <c r="M307" i="1"/>
  <c r="N307" i="1"/>
  <c r="P307" i="1"/>
  <c r="Q307" i="1"/>
  <c r="R307" i="1"/>
  <c r="S307" i="1"/>
  <c r="T307" i="1"/>
  <c r="Z307" i="1"/>
  <c r="AL307" i="1"/>
  <c r="A308" i="1"/>
  <c r="B308" i="1"/>
  <c r="C308" i="1"/>
  <c r="G308" i="1"/>
  <c r="H308" i="1"/>
  <c r="I308" i="1"/>
  <c r="J308" i="1"/>
  <c r="K308" i="1"/>
  <c r="M308" i="1"/>
  <c r="N308" i="1"/>
  <c r="P308" i="1"/>
  <c r="Q308" i="1"/>
  <c r="R308" i="1"/>
  <c r="S308" i="1"/>
  <c r="T308" i="1"/>
  <c r="Z308" i="1"/>
  <c r="AL308" i="1"/>
  <c r="A309" i="1"/>
  <c r="B309" i="1"/>
  <c r="C309" i="1"/>
  <c r="G309" i="1"/>
  <c r="H309" i="1"/>
  <c r="I309" i="1"/>
  <c r="J309" i="1"/>
  <c r="K309" i="1"/>
  <c r="P309" i="1"/>
  <c r="Q309" i="1"/>
  <c r="R309" i="1"/>
  <c r="S309" i="1"/>
  <c r="T309" i="1"/>
  <c r="Z309" i="1"/>
  <c r="AL309" i="1"/>
  <c r="A310" i="1"/>
  <c r="B310" i="1"/>
  <c r="C310" i="1"/>
  <c r="G310" i="1"/>
  <c r="H310" i="1"/>
  <c r="I310" i="1"/>
  <c r="J310" i="1"/>
  <c r="K310" i="1"/>
  <c r="M310" i="1"/>
  <c r="N310" i="1"/>
  <c r="P310" i="1"/>
  <c r="Q310" i="1"/>
  <c r="R310" i="1"/>
  <c r="S310" i="1"/>
  <c r="T310" i="1"/>
  <c r="Z310" i="1"/>
  <c r="AL310" i="1"/>
  <c r="A311" i="1"/>
  <c r="B311" i="1"/>
  <c r="C311" i="1"/>
  <c r="G311" i="1"/>
  <c r="H311" i="1"/>
  <c r="I311" i="1"/>
  <c r="J311" i="1"/>
  <c r="K311" i="1"/>
  <c r="M311" i="1"/>
  <c r="N311" i="1"/>
  <c r="P311" i="1"/>
  <c r="Q311" i="1"/>
  <c r="R311" i="1"/>
  <c r="S311" i="1"/>
  <c r="T311" i="1"/>
  <c r="Z311" i="1"/>
  <c r="AL311" i="1"/>
  <c r="A312" i="1"/>
  <c r="B312" i="1"/>
  <c r="C312" i="1"/>
  <c r="G312" i="1"/>
  <c r="H312" i="1"/>
  <c r="I312" i="1"/>
  <c r="J312" i="1"/>
  <c r="K312" i="1"/>
  <c r="M312" i="1"/>
  <c r="N312" i="1"/>
  <c r="P312" i="1"/>
  <c r="Q312" i="1"/>
  <c r="R312" i="1"/>
  <c r="S312" i="1"/>
  <c r="T312" i="1"/>
  <c r="Z312" i="1"/>
  <c r="AL312" i="1"/>
  <c r="A313" i="1"/>
  <c r="B313" i="1"/>
  <c r="C313" i="1"/>
  <c r="G313" i="1"/>
  <c r="H313" i="1"/>
  <c r="I313" i="1"/>
  <c r="J313" i="1"/>
  <c r="K313" i="1"/>
  <c r="M313" i="1"/>
  <c r="N313" i="1"/>
  <c r="P313" i="1"/>
  <c r="Q313" i="1"/>
  <c r="R313" i="1"/>
  <c r="S313" i="1"/>
  <c r="T313" i="1"/>
  <c r="Z313" i="1"/>
  <c r="AL313" i="1"/>
  <c r="A314" i="1"/>
  <c r="B314" i="1"/>
  <c r="C314" i="1"/>
  <c r="G314" i="1"/>
  <c r="H314" i="1"/>
  <c r="I314" i="1"/>
  <c r="J314" i="1"/>
  <c r="K314" i="1"/>
  <c r="M314" i="1"/>
  <c r="N314" i="1"/>
  <c r="P314" i="1"/>
  <c r="Q314" i="1"/>
  <c r="R314" i="1"/>
  <c r="S314" i="1"/>
  <c r="T314" i="1"/>
  <c r="Z314" i="1"/>
  <c r="AL314" i="1"/>
  <c r="A315" i="1"/>
  <c r="B315" i="1"/>
  <c r="C315" i="1"/>
  <c r="G315" i="1"/>
  <c r="H315" i="1"/>
  <c r="I315" i="1"/>
  <c r="J315" i="1"/>
  <c r="K315" i="1"/>
  <c r="P315" i="1"/>
  <c r="Q315" i="1"/>
  <c r="R315" i="1"/>
  <c r="S315" i="1"/>
  <c r="T315" i="1"/>
  <c r="Z315" i="1"/>
  <c r="AL315" i="1"/>
  <c r="A316" i="1"/>
  <c r="B316" i="1"/>
  <c r="C316" i="1"/>
  <c r="G316" i="1"/>
  <c r="H316" i="1"/>
  <c r="I316" i="1"/>
  <c r="J316" i="1"/>
  <c r="K316" i="1"/>
  <c r="P316" i="1"/>
  <c r="Q316" i="1"/>
  <c r="R316" i="1"/>
  <c r="S316" i="1"/>
  <c r="T316" i="1"/>
  <c r="Z316" i="1"/>
  <c r="AL316" i="1"/>
  <c r="A317" i="1"/>
  <c r="B317" i="1"/>
  <c r="C317" i="1"/>
  <c r="G317" i="1"/>
  <c r="H317" i="1"/>
  <c r="I317" i="1"/>
  <c r="J317" i="1"/>
  <c r="K317" i="1"/>
  <c r="M317" i="1"/>
  <c r="N317" i="1"/>
  <c r="P317" i="1"/>
  <c r="Q317" i="1"/>
  <c r="R317" i="1"/>
  <c r="S317" i="1"/>
  <c r="T317" i="1"/>
  <c r="Z317" i="1"/>
  <c r="AL317" i="1"/>
  <c r="A318" i="1"/>
  <c r="B318" i="1"/>
  <c r="C318" i="1"/>
  <c r="G318" i="1"/>
  <c r="H318" i="1"/>
  <c r="I318" i="1"/>
  <c r="J318" i="1"/>
  <c r="K318" i="1"/>
  <c r="P318" i="1"/>
  <c r="Q318" i="1"/>
  <c r="R318" i="1"/>
  <c r="S318" i="1"/>
  <c r="T318" i="1"/>
  <c r="Z318" i="1"/>
  <c r="AL318" i="1"/>
  <c r="A319" i="1"/>
  <c r="B319" i="1"/>
  <c r="C319" i="1"/>
  <c r="G319" i="1"/>
  <c r="H319" i="1"/>
  <c r="I319" i="1"/>
  <c r="J319" i="1"/>
  <c r="K319" i="1"/>
  <c r="P319" i="1"/>
  <c r="Q319" i="1"/>
  <c r="R319" i="1"/>
  <c r="S319" i="1"/>
  <c r="T319" i="1"/>
  <c r="Z319" i="1"/>
  <c r="AL319" i="1"/>
  <c r="A320" i="1"/>
  <c r="B320" i="1"/>
  <c r="C320" i="1"/>
  <c r="G320" i="1"/>
  <c r="H320" i="1"/>
  <c r="I320" i="1"/>
  <c r="J320" i="1"/>
  <c r="K320" i="1"/>
  <c r="M320" i="1"/>
  <c r="N320" i="1"/>
  <c r="P320" i="1"/>
  <c r="Q320" i="1"/>
  <c r="R320" i="1"/>
  <c r="S320" i="1"/>
  <c r="T320" i="1"/>
  <c r="Z320" i="1"/>
  <c r="AL320" i="1"/>
  <c r="A321" i="1"/>
  <c r="B321" i="1"/>
  <c r="C321" i="1"/>
  <c r="G321" i="1"/>
  <c r="H321" i="1"/>
  <c r="I321" i="1"/>
  <c r="J321" i="1"/>
  <c r="K321" i="1"/>
  <c r="M321" i="1"/>
  <c r="N321" i="1"/>
  <c r="P321" i="1"/>
  <c r="Q321" i="1"/>
  <c r="R321" i="1"/>
  <c r="S321" i="1"/>
  <c r="T321" i="1"/>
  <c r="Z321" i="1"/>
  <c r="AL321" i="1"/>
  <c r="A322" i="1"/>
  <c r="B322" i="1"/>
  <c r="C322" i="1"/>
  <c r="G322" i="1"/>
  <c r="H322" i="1"/>
  <c r="I322" i="1"/>
  <c r="J322" i="1"/>
  <c r="K322" i="1"/>
  <c r="M322" i="1"/>
  <c r="N322" i="1"/>
  <c r="P322" i="1"/>
  <c r="Q322" i="1"/>
  <c r="R322" i="1"/>
  <c r="S322" i="1"/>
  <c r="T322" i="1"/>
  <c r="Z322" i="1"/>
  <c r="AL322" i="1"/>
  <c r="A323" i="1"/>
  <c r="B323" i="1"/>
  <c r="C323" i="1"/>
  <c r="G323" i="1"/>
  <c r="H323" i="1"/>
  <c r="I323" i="1"/>
  <c r="J323" i="1"/>
  <c r="K323" i="1"/>
  <c r="M323" i="1"/>
  <c r="N323" i="1"/>
  <c r="P323" i="1"/>
  <c r="Q323" i="1"/>
  <c r="R323" i="1"/>
  <c r="S323" i="1"/>
  <c r="T323" i="1"/>
  <c r="Z323" i="1"/>
  <c r="AL323" i="1"/>
  <c r="A324" i="1"/>
  <c r="B324" i="1"/>
  <c r="C324" i="1"/>
  <c r="G324" i="1"/>
  <c r="H324" i="1"/>
  <c r="I324" i="1"/>
  <c r="J324" i="1"/>
  <c r="K324" i="1"/>
  <c r="M324" i="1"/>
  <c r="N324" i="1"/>
  <c r="P324" i="1"/>
  <c r="Q324" i="1"/>
  <c r="R324" i="1"/>
  <c r="S324" i="1"/>
  <c r="T324" i="1"/>
  <c r="Z324" i="1"/>
  <c r="AL324" i="1"/>
  <c r="A325" i="1"/>
  <c r="B325" i="1"/>
  <c r="C325" i="1"/>
  <c r="G325" i="1"/>
  <c r="H325" i="1"/>
  <c r="I325" i="1"/>
  <c r="J325" i="1"/>
  <c r="K325" i="1"/>
  <c r="M325" i="1"/>
  <c r="N325" i="1"/>
  <c r="P325" i="1"/>
  <c r="Q325" i="1"/>
  <c r="R325" i="1"/>
  <c r="S325" i="1"/>
  <c r="T325" i="1"/>
  <c r="Z325" i="1"/>
  <c r="AL325" i="1"/>
  <c r="A326" i="1"/>
  <c r="B326" i="1"/>
  <c r="C326" i="1"/>
  <c r="G326" i="1"/>
  <c r="H326" i="1"/>
  <c r="I326" i="1"/>
  <c r="J326" i="1"/>
  <c r="K326" i="1"/>
  <c r="M326" i="1"/>
  <c r="N326" i="1"/>
  <c r="P326" i="1"/>
  <c r="Q326" i="1"/>
  <c r="R326" i="1"/>
  <c r="S326" i="1"/>
  <c r="T326" i="1"/>
  <c r="Z326" i="1"/>
  <c r="AL326" i="1"/>
  <c r="A327" i="1"/>
  <c r="B327" i="1"/>
  <c r="C327" i="1"/>
  <c r="G327" i="1"/>
  <c r="H327" i="1"/>
  <c r="I327" i="1"/>
  <c r="J327" i="1"/>
  <c r="K327" i="1"/>
  <c r="M327" i="1"/>
  <c r="N327" i="1"/>
  <c r="P327" i="1"/>
  <c r="Q327" i="1"/>
  <c r="R327" i="1"/>
  <c r="S327" i="1"/>
  <c r="T327" i="1"/>
  <c r="Z327" i="1"/>
  <c r="AL327" i="1"/>
  <c r="A328" i="1"/>
  <c r="B328" i="1"/>
  <c r="C328" i="1"/>
  <c r="G328" i="1"/>
  <c r="H328" i="1"/>
  <c r="I328" i="1"/>
  <c r="J328" i="1"/>
  <c r="K328" i="1"/>
  <c r="M328" i="1"/>
  <c r="N328" i="1"/>
  <c r="P328" i="1"/>
  <c r="Q328" i="1"/>
  <c r="R328" i="1"/>
  <c r="S328" i="1"/>
  <c r="T328" i="1"/>
  <c r="Z328" i="1"/>
  <c r="AL328" i="1"/>
  <c r="A329" i="1"/>
  <c r="B329" i="1"/>
  <c r="C329" i="1"/>
  <c r="G329" i="1"/>
  <c r="H329" i="1"/>
  <c r="I329" i="1"/>
  <c r="J329" i="1"/>
  <c r="K329" i="1"/>
  <c r="M329" i="1"/>
  <c r="N329" i="1"/>
  <c r="P329" i="1"/>
  <c r="Q329" i="1"/>
  <c r="R329" i="1"/>
  <c r="S329" i="1"/>
  <c r="T329" i="1"/>
  <c r="Z329" i="1"/>
  <c r="AL329" i="1"/>
  <c r="A330" i="1"/>
  <c r="B330" i="1"/>
  <c r="C330" i="1"/>
  <c r="G330" i="1"/>
  <c r="H330" i="1"/>
  <c r="I330" i="1"/>
  <c r="J330" i="1"/>
  <c r="K330" i="1"/>
  <c r="M330" i="1"/>
  <c r="N330" i="1"/>
  <c r="P330" i="1"/>
  <c r="Q330" i="1"/>
  <c r="R330" i="1"/>
  <c r="S330" i="1"/>
  <c r="T330" i="1"/>
  <c r="Z330" i="1"/>
  <c r="AL330" i="1"/>
  <c r="A331" i="1"/>
  <c r="B331" i="1"/>
  <c r="C331" i="1"/>
  <c r="G331" i="1"/>
  <c r="H331" i="1"/>
  <c r="I331" i="1"/>
  <c r="J331" i="1"/>
  <c r="K331" i="1"/>
  <c r="P331" i="1"/>
  <c r="Q331" i="1"/>
  <c r="R331" i="1"/>
  <c r="S331" i="1"/>
  <c r="T331" i="1"/>
  <c r="Z331" i="1"/>
  <c r="AL331" i="1"/>
  <c r="A332" i="1"/>
  <c r="B332" i="1"/>
  <c r="C332" i="1"/>
  <c r="G332" i="1"/>
  <c r="H332" i="1"/>
  <c r="I332" i="1"/>
  <c r="J332" i="1"/>
  <c r="K332" i="1"/>
  <c r="P332" i="1"/>
  <c r="Q332" i="1"/>
  <c r="R332" i="1"/>
  <c r="S332" i="1"/>
  <c r="T332" i="1"/>
  <c r="Z332" i="1"/>
  <c r="AL332" i="1"/>
  <c r="A333" i="1"/>
  <c r="B333" i="1"/>
  <c r="C333" i="1"/>
  <c r="G333" i="1"/>
  <c r="H333" i="1"/>
  <c r="I333" i="1"/>
  <c r="J333" i="1"/>
  <c r="K333" i="1"/>
  <c r="P333" i="1"/>
  <c r="Q333" i="1"/>
  <c r="R333" i="1"/>
  <c r="S333" i="1"/>
  <c r="T333" i="1"/>
  <c r="Z333" i="1"/>
  <c r="AL333" i="1"/>
  <c r="A334" i="1"/>
  <c r="B334" i="1"/>
  <c r="C334" i="1"/>
  <c r="G334" i="1"/>
  <c r="H334" i="1"/>
  <c r="I334" i="1"/>
  <c r="J334" i="1"/>
  <c r="K334" i="1"/>
  <c r="M334" i="1"/>
  <c r="N334" i="1"/>
  <c r="P334" i="1"/>
  <c r="Q334" i="1"/>
  <c r="R334" i="1"/>
  <c r="S334" i="1"/>
  <c r="T334" i="1"/>
  <c r="Z334" i="1"/>
  <c r="AL334" i="1"/>
  <c r="A335" i="1"/>
  <c r="B335" i="1"/>
  <c r="C335" i="1"/>
  <c r="G335" i="1"/>
  <c r="H335" i="1"/>
  <c r="I335" i="1"/>
  <c r="J335" i="1"/>
  <c r="K335" i="1"/>
  <c r="P335" i="1"/>
  <c r="Q335" i="1"/>
  <c r="R335" i="1"/>
  <c r="S335" i="1"/>
  <c r="T335" i="1"/>
  <c r="Z335" i="1"/>
  <c r="AL335" i="1"/>
  <c r="A336" i="1"/>
  <c r="B336" i="1"/>
  <c r="C336" i="1"/>
  <c r="G336" i="1"/>
  <c r="H336" i="1"/>
  <c r="I336" i="1"/>
  <c r="J336" i="1"/>
  <c r="K336" i="1"/>
  <c r="P336" i="1"/>
  <c r="Q336" i="1"/>
  <c r="R336" i="1"/>
  <c r="S336" i="1"/>
  <c r="T336" i="1"/>
  <c r="Z336" i="1"/>
  <c r="AL336" i="1"/>
  <c r="A337" i="1"/>
  <c r="B337" i="1"/>
  <c r="C337" i="1"/>
  <c r="G337" i="1"/>
  <c r="H337" i="1"/>
  <c r="I337" i="1"/>
  <c r="J337" i="1"/>
  <c r="K337" i="1"/>
  <c r="M337" i="1"/>
  <c r="N337" i="1"/>
  <c r="P337" i="1"/>
  <c r="Q337" i="1"/>
  <c r="R337" i="1"/>
  <c r="S337" i="1"/>
  <c r="T337" i="1"/>
  <c r="Z337" i="1"/>
  <c r="AL337" i="1"/>
  <c r="A338" i="1"/>
  <c r="B338" i="1"/>
  <c r="C338" i="1"/>
  <c r="G338" i="1"/>
  <c r="H338" i="1"/>
  <c r="I338" i="1"/>
  <c r="J338" i="1"/>
  <c r="K338" i="1"/>
  <c r="M338" i="1"/>
  <c r="N338" i="1"/>
  <c r="P338" i="1"/>
  <c r="Q338" i="1"/>
  <c r="R338" i="1"/>
  <c r="S338" i="1"/>
  <c r="T338" i="1"/>
  <c r="Z338" i="1"/>
  <c r="AL338" i="1"/>
  <c r="A339" i="1"/>
  <c r="B339" i="1"/>
  <c r="C339" i="1"/>
  <c r="G339" i="1"/>
  <c r="H339" i="1"/>
  <c r="I339" i="1"/>
  <c r="J339" i="1"/>
  <c r="K339" i="1"/>
  <c r="M339" i="1"/>
  <c r="N339" i="1"/>
  <c r="P339" i="1"/>
  <c r="Q339" i="1"/>
  <c r="R339" i="1"/>
  <c r="S339" i="1"/>
  <c r="T339" i="1"/>
  <c r="Z339" i="1"/>
  <c r="AL339" i="1"/>
  <c r="A340" i="1"/>
  <c r="B340" i="1"/>
  <c r="C340" i="1"/>
  <c r="G340" i="1"/>
  <c r="H340" i="1"/>
  <c r="I340" i="1"/>
  <c r="J340" i="1"/>
  <c r="K340" i="1"/>
  <c r="M340" i="1"/>
  <c r="N340" i="1"/>
  <c r="P340" i="1"/>
  <c r="Q340" i="1"/>
  <c r="R340" i="1"/>
  <c r="S340" i="1"/>
  <c r="T340" i="1"/>
  <c r="Z340" i="1"/>
  <c r="AL340" i="1"/>
  <c r="A341" i="1"/>
  <c r="B341" i="1"/>
  <c r="C341" i="1"/>
  <c r="G341" i="1"/>
  <c r="H341" i="1"/>
  <c r="I341" i="1"/>
  <c r="J341" i="1"/>
  <c r="K341" i="1"/>
  <c r="M341" i="1"/>
  <c r="N341" i="1"/>
  <c r="P341" i="1"/>
  <c r="Q341" i="1"/>
  <c r="R341" i="1"/>
  <c r="S341" i="1"/>
  <c r="T341" i="1"/>
  <c r="Z341" i="1"/>
  <c r="AL341" i="1"/>
  <c r="A342" i="1"/>
  <c r="B342" i="1"/>
  <c r="C342" i="1"/>
  <c r="G342" i="1"/>
  <c r="H342" i="1"/>
  <c r="I342" i="1"/>
  <c r="J342" i="1"/>
  <c r="K342" i="1"/>
  <c r="M342" i="1"/>
  <c r="N342" i="1"/>
  <c r="P342" i="1"/>
  <c r="Q342" i="1"/>
  <c r="R342" i="1"/>
  <c r="S342" i="1"/>
  <c r="T342" i="1"/>
  <c r="Z342" i="1"/>
  <c r="AL342" i="1"/>
  <c r="A343" i="1"/>
  <c r="B343" i="1"/>
  <c r="C343" i="1"/>
  <c r="G343" i="1"/>
  <c r="H343" i="1"/>
  <c r="I343" i="1"/>
  <c r="J343" i="1"/>
  <c r="K343" i="1"/>
  <c r="M343" i="1"/>
  <c r="N343" i="1"/>
  <c r="P343" i="1"/>
  <c r="Q343" i="1"/>
  <c r="R343" i="1"/>
  <c r="S343" i="1"/>
  <c r="T343" i="1"/>
  <c r="Z343" i="1"/>
  <c r="AL343" i="1"/>
  <c r="A344" i="1"/>
  <c r="B344" i="1"/>
  <c r="C344" i="1"/>
  <c r="G344" i="1"/>
  <c r="H344" i="1"/>
  <c r="I344" i="1"/>
  <c r="J344" i="1"/>
  <c r="K344" i="1"/>
  <c r="M344" i="1"/>
  <c r="N344" i="1"/>
  <c r="P344" i="1"/>
  <c r="Q344" i="1"/>
  <c r="R344" i="1"/>
  <c r="S344" i="1"/>
  <c r="T344" i="1"/>
  <c r="Z344" i="1"/>
  <c r="AL344" i="1"/>
  <c r="A345" i="1"/>
  <c r="B345" i="1"/>
  <c r="C345" i="1"/>
  <c r="G345" i="1"/>
  <c r="H345" i="1"/>
  <c r="I345" i="1"/>
  <c r="J345" i="1"/>
  <c r="K345" i="1"/>
  <c r="M345" i="1"/>
  <c r="N345" i="1"/>
  <c r="P345" i="1"/>
  <c r="Q345" i="1"/>
  <c r="R345" i="1"/>
  <c r="S345" i="1"/>
  <c r="T345" i="1"/>
  <c r="Z345" i="1"/>
  <c r="AL345" i="1"/>
  <c r="A346" i="1"/>
  <c r="B346" i="1"/>
  <c r="C346" i="1"/>
  <c r="G346" i="1"/>
  <c r="H346" i="1"/>
  <c r="I346" i="1"/>
  <c r="J346" i="1"/>
  <c r="K346" i="1"/>
  <c r="M346" i="1"/>
  <c r="N346" i="1"/>
  <c r="P346" i="1"/>
  <c r="Q346" i="1"/>
  <c r="R346" i="1"/>
  <c r="S346" i="1"/>
  <c r="T346" i="1"/>
  <c r="Z346" i="1"/>
  <c r="AL346" i="1"/>
  <c r="A347" i="1"/>
  <c r="B347" i="1"/>
  <c r="C347" i="1"/>
  <c r="G347" i="1"/>
  <c r="H347" i="1"/>
  <c r="I347" i="1"/>
  <c r="J347" i="1"/>
  <c r="K347" i="1"/>
  <c r="M347" i="1"/>
  <c r="N347" i="1"/>
  <c r="P347" i="1"/>
  <c r="Q347" i="1"/>
  <c r="R347" i="1"/>
  <c r="S347" i="1"/>
  <c r="T347" i="1"/>
  <c r="Z347" i="1"/>
  <c r="AL347" i="1"/>
  <c r="A348" i="1"/>
  <c r="B348" i="1"/>
  <c r="C348" i="1"/>
  <c r="G348" i="1"/>
  <c r="H348" i="1"/>
  <c r="I348" i="1"/>
  <c r="J348" i="1"/>
  <c r="K348" i="1"/>
  <c r="M348" i="1"/>
  <c r="N348" i="1"/>
  <c r="P348" i="1"/>
  <c r="Q348" i="1"/>
  <c r="R348" i="1"/>
  <c r="S348" i="1"/>
  <c r="T348" i="1"/>
  <c r="Z348" i="1"/>
  <c r="AL348" i="1"/>
  <c r="A349" i="1"/>
  <c r="B349" i="1"/>
  <c r="C349" i="1"/>
  <c r="G349" i="1"/>
  <c r="H349" i="1"/>
  <c r="I349" i="1"/>
  <c r="J349" i="1"/>
  <c r="K349" i="1"/>
  <c r="M349" i="1"/>
  <c r="N349" i="1"/>
  <c r="P349" i="1"/>
  <c r="Q349" i="1"/>
  <c r="R349" i="1"/>
  <c r="S349" i="1"/>
  <c r="T349" i="1"/>
  <c r="Z349" i="1"/>
  <c r="AL349" i="1"/>
  <c r="A350" i="1"/>
  <c r="B350" i="1"/>
  <c r="C350" i="1"/>
  <c r="G350" i="1"/>
  <c r="H350" i="1"/>
  <c r="I350" i="1"/>
  <c r="J350" i="1"/>
  <c r="K350" i="1"/>
  <c r="M350" i="1"/>
  <c r="N350" i="1"/>
  <c r="P350" i="1"/>
  <c r="Q350" i="1"/>
  <c r="R350" i="1"/>
  <c r="S350" i="1"/>
  <c r="T350" i="1"/>
  <c r="Z350" i="1"/>
  <c r="AL350" i="1"/>
  <c r="A351" i="1"/>
  <c r="B351" i="1"/>
  <c r="C351" i="1"/>
  <c r="G351" i="1"/>
  <c r="H351" i="1"/>
  <c r="I351" i="1"/>
  <c r="J351" i="1"/>
  <c r="K351" i="1"/>
  <c r="P351" i="1"/>
  <c r="Q351" i="1"/>
  <c r="R351" i="1"/>
  <c r="S351" i="1"/>
  <c r="T351" i="1"/>
  <c r="Z351" i="1"/>
  <c r="AL351" i="1"/>
  <c r="A352" i="1"/>
  <c r="B352" i="1"/>
  <c r="C352" i="1"/>
  <c r="G352" i="1"/>
  <c r="H352" i="1"/>
  <c r="I352" i="1"/>
  <c r="J352" i="1"/>
  <c r="K352" i="1"/>
  <c r="M352" i="1"/>
  <c r="N352" i="1"/>
  <c r="P352" i="1"/>
  <c r="Q352" i="1"/>
  <c r="R352" i="1"/>
  <c r="S352" i="1"/>
  <c r="T352" i="1"/>
  <c r="Z352" i="1"/>
  <c r="AL352" i="1"/>
  <c r="A353" i="1"/>
  <c r="B353" i="1"/>
  <c r="C353" i="1"/>
  <c r="G353" i="1"/>
  <c r="H353" i="1"/>
  <c r="I353" i="1"/>
  <c r="J353" i="1"/>
  <c r="K353" i="1"/>
  <c r="M353" i="1"/>
  <c r="N353" i="1"/>
  <c r="P353" i="1"/>
  <c r="Q353" i="1"/>
  <c r="R353" i="1"/>
  <c r="S353" i="1"/>
  <c r="T353" i="1"/>
  <c r="Z353" i="1"/>
  <c r="AL353" i="1"/>
  <c r="A354" i="1"/>
  <c r="B354" i="1"/>
  <c r="C354" i="1"/>
  <c r="G354" i="1"/>
  <c r="H354" i="1"/>
  <c r="I354" i="1"/>
  <c r="J354" i="1"/>
  <c r="K354" i="1"/>
  <c r="P354" i="1"/>
  <c r="Q354" i="1"/>
  <c r="R354" i="1"/>
  <c r="S354" i="1"/>
  <c r="T354" i="1"/>
  <c r="Z354" i="1"/>
  <c r="AL354" i="1"/>
  <c r="A355" i="1"/>
  <c r="B355" i="1"/>
  <c r="C355" i="1"/>
  <c r="G355" i="1"/>
  <c r="H355" i="1"/>
  <c r="I355" i="1"/>
  <c r="J355" i="1"/>
  <c r="K355" i="1"/>
  <c r="P355" i="1"/>
  <c r="Q355" i="1"/>
  <c r="R355" i="1"/>
  <c r="S355" i="1"/>
  <c r="T355" i="1"/>
  <c r="Z355" i="1"/>
  <c r="AL355" i="1"/>
  <c r="A356" i="1"/>
  <c r="B356" i="1"/>
  <c r="C356" i="1"/>
  <c r="G356" i="1"/>
  <c r="H356" i="1"/>
  <c r="I356" i="1"/>
  <c r="J356" i="1"/>
  <c r="K356" i="1"/>
  <c r="M356" i="1"/>
  <c r="N356" i="1"/>
  <c r="P356" i="1"/>
  <c r="Q356" i="1"/>
  <c r="R356" i="1"/>
  <c r="S356" i="1"/>
  <c r="T356" i="1"/>
  <c r="Z356" i="1"/>
  <c r="AL356" i="1"/>
  <c r="A357" i="1"/>
  <c r="B357" i="1"/>
  <c r="C357" i="1"/>
  <c r="G357" i="1"/>
  <c r="H357" i="1"/>
  <c r="I357" i="1"/>
  <c r="J357" i="1"/>
  <c r="K357" i="1"/>
  <c r="M357" i="1"/>
  <c r="N357" i="1"/>
  <c r="P357" i="1"/>
  <c r="Q357" i="1"/>
  <c r="R357" i="1"/>
  <c r="S357" i="1"/>
  <c r="T357" i="1"/>
  <c r="Z357" i="1"/>
  <c r="AL357" i="1"/>
  <c r="A358" i="1"/>
  <c r="B358" i="1"/>
  <c r="C358" i="1"/>
  <c r="G358" i="1"/>
  <c r="H358" i="1"/>
  <c r="I358" i="1"/>
  <c r="J358" i="1"/>
  <c r="K358" i="1"/>
  <c r="M358" i="1"/>
  <c r="N358" i="1"/>
  <c r="P358" i="1"/>
  <c r="Q358" i="1"/>
  <c r="R358" i="1"/>
  <c r="S358" i="1"/>
  <c r="T358" i="1"/>
  <c r="Z358" i="1"/>
  <c r="AL358" i="1"/>
  <c r="A359" i="1"/>
  <c r="B359" i="1"/>
  <c r="C359" i="1"/>
  <c r="G359" i="1"/>
  <c r="H359" i="1"/>
  <c r="I359" i="1"/>
  <c r="J359" i="1"/>
  <c r="K359" i="1"/>
  <c r="M359" i="1"/>
  <c r="N359" i="1"/>
  <c r="P359" i="1"/>
  <c r="Q359" i="1"/>
  <c r="R359" i="1"/>
  <c r="S359" i="1"/>
  <c r="T359" i="1"/>
  <c r="Z359" i="1"/>
  <c r="AL359" i="1"/>
  <c r="A360" i="1"/>
  <c r="B360" i="1"/>
  <c r="C360" i="1"/>
  <c r="G360" i="1"/>
  <c r="H360" i="1"/>
  <c r="I360" i="1"/>
  <c r="J360" i="1"/>
  <c r="K360" i="1"/>
  <c r="M360" i="1"/>
  <c r="N360" i="1"/>
  <c r="P360" i="1"/>
  <c r="Q360" i="1"/>
  <c r="R360" i="1"/>
  <c r="S360" i="1"/>
  <c r="T360" i="1"/>
  <c r="Z360" i="1"/>
  <c r="AL360" i="1"/>
  <c r="A361" i="1"/>
  <c r="B361" i="1"/>
  <c r="C361" i="1"/>
  <c r="G361" i="1"/>
  <c r="H361" i="1"/>
  <c r="I361" i="1"/>
  <c r="J361" i="1"/>
  <c r="K361" i="1"/>
  <c r="M361" i="1"/>
  <c r="N361" i="1"/>
  <c r="P361" i="1"/>
  <c r="Q361" i="1"/>
  <c r="R361" i="1"/>
  <c r="S361" i="1"/>
  <c r="T361" i="1"/>
  <c r="Z361" i="1"/>
  <c r="AL361" i="1"/>
  <c r="A362" i="1"/>
  <c r="B362" i="1"/>
  <c r="C362" i="1"/>
  <c r="G362" i="1"/>
  <c r="H362" i="1"/>
  <c r="I362" i="1"/>
  <c r="J362" i="1"/>
  <c r="K362" i="1"/>
  <c r="M362" i="1"/>
  <c r="N362" i="1"/>
  <c r="P362" i="1"/>
  <c r="Q362" i="1"/>
  <c r="R362" i="1"/>
  <c r="S362" i="1"/>
  <c r="T362" i="1"/>
  <c r="Z362" i="1"/>
  <c r="AL362" i="1"/>
  <c r="A363" i="1"/>
  <c r="B363" i="1"/>
  <c r="C363" i="1"/>
  <c r="G363" i="1"/>
  <c r="H363" i="1"/>
  <c r="I363" i="1"/>
  <c r="J363" i="1"/>
  <c r="K363" i="1"/>
  <c r="M363" i="1"/>
  <c r="N363" i="1"/>
  <c r="P363" i="1"/>
  <c r="Q363" i="1"/>
  <c r="R363" i="1"/>
  <c r="S363" i="1"/>
  <c r="T363" i="1"/>
  <c r="Z363" i="1"/>
  <c r="AL363" i="1"/>
  <c r="A364" i="1"/>
  <c r="B364" i="1"/>
  <c r="C364" i="1"/>
  <c r="G364" i="1"/>
  <c r="H364" i="1"/>
  <c r="I364" i="1"/>
  <c r="J364" i="1"/>
  <c r="K364" i="1"/>
  <c r="M364" i="1"/>
  <c r="N364" i="1"/>
  <c r="P364" i="1"/>
  <c r="Q364" i="1"/>
  <c r="R364" i="1"/>
  <c r="S364" i="1"/>
  <c r="T364" i="1"/>
  <c r="Z364" i="1"/>
  <c r="AL364" i="1"/>
  <c r="A365" i="1"/>
  <c r="B365" i="1"/>
  <c r="C365" i="1"/>
  <c r="G365" i="1"/>
  <c r="H365" i="1"/>
  <c r="I365" i="1"/>
  <c r="J365" i="1"/>
  <c r="K365" i="1"/>
  <c r="M365" i="1"/>
  <c r="N365" i="1"/>
  <c r="P365" i="1"/>
  <c r="Q365" i="1"/>
  <c r="R365" i="1"/>
  <c r="S365" i="1"/>
  <c r="T365" i="1"/>
  <c r="Z365" i="1"/>
  <c r="AL365" i="1"/>
  <c r="A366" i="1"/>
  <c r="B366" i="1"/>
  <c r="C366" i="1"/>
  <c r="G366" i="1"/>
  <c r="H366" i="1"/>
  <c r="I366" i="1"/>
  <c r="J366" i="1"/>
  <c r="K366" i="1"/>
  <c r="P366" i="1"/>
  <c r="Q366" i="1"/>
  <c r="R366" i="1"/>
  <c r="S366" i="1"/>
  <c r="T366" i="1"/>
  <c r="Z366" i="1"/>
  <c r="AL366" i="1"/>
  <c r="A367" i="1"/>
  <c r="B367" i="1"/>
  <c r="C367" i="1"/>
  <c r="G367" i="1"/>
  <c r="H367" i="1"/>
  <c r="I367" i="1"/>
  <c r="J367" i="1"/>
  <c r="K367" i="1"/>
  <c r="P367" i="1"/>
  <c r="Q367" i="1"/>
  <c r="R367" i="1"/>
  <c r="S367" i="1"/>
  <c r="T367" i="1"/>
  <c r="Z367" i="1"/>
  <c r="AL367" i="1"/>
  <c r="A368" i="1"/>
  <c r="B368" i="1"/>
  <c r="C368" i="1"/>
  <c r="G368" i="1"/>
  <c r="H368" i="1"/>
  <c r="I368" i="1"/>
  <c r="J368" i="1"/>
  <c r="K368" i="1"/>
  <c r="P368" i="1"/>
  <c r="Q368" i="1"/>
  <c r="R368" i="1"/>
  <c r="S368" i="1"/>
  <c r="T368" i="1"/>
  <c r="Z368" i="1"/>
  <c r="AL368" i="1"/>
  <c r="A369" i="1"/>
  <c r="B369" i="1"/>
  <c r="C369" i="1"/>
  <c r="G369" i="1"/>
  <c r="H369" i="1"/>
  <c r="I369" i="1"/>
  <c r="J369" i="1"/>
  <c r="K369" i="1"/>
  <c r="P369" i="1"/>
  <c r="Q369" i="1"/>
  <c r="R369" i="1"/>
  <c r="S369" i="1"/>
  <c r="T369" i="1"/>
  <c r="Z369" i="1"/>
  <c r="AL369" i="1"/>
  <c r="A370" i="1"/>
  <c r="B370" i="1"/>
  <c r="C370" i="1"/>
  <c r="G370" i="1"/>
  <c r="H370" i="1"/>
  <c r="I370" i="1"/>
  <c r="J370" i="1"/>
  <c r="K370" i="1"/>
  <c r="P370" i="1"/>
  <c r="Q370" i="1"/>
  <c r="R370" i="1"/>
  <c r="S370" i="1"/>
  <c r="T370" i="1"/>
  <c r="Z370" i="1"/>
  <c r="AL370" i="1"/>
  <c r="A371" i="1"/>
  <c r="B371" i="1"/>
  <c r="C371" i="1"/>
  <c r="G371" i="1"/>
  <c r="H371" i="1"/>
  <c r="I371" i="1"/>
  <c r="J371" i="1"/>
  <c r="K371" i="1"/>
  <c r="P371" i="1"/>
  <c r="Q371" i="1"/>
  <c r="R371" i="1"/>
  <c r="S371" i="1"/>
  <c r="T371" i="1"/>
  <c r="Z371" i="1"/>
  <c r="AL371" i="1"/>
  <c r="A372" i="1"/>
  <c r="B372" i="1"/>
  <c r="C372" i="1"/>
  <c r="G372" i="1"/>
  <c r="H372" i="1"/>
  <c r="I372" i="1"/>
  <c r="J372" i="1"/>
  <c r="K372" i="1"/>
  <c r="M372" i="1"/>
  <c r="N372" i="1"/>
  <c r="P372" i="1"/>
  <c r="Q372" i="1"/>
  <c r="R372" i="1"/>
  <c r="S372" i="1"/>
  <c r="T372" i="1"/>
  <c r="Z372" i="1"/>
  <c r="AL372" i="1"/>
  <c r="A373" i="1"/>
  <c r="B373" i="1"/>
  <c r="C373" i="1"/>
  <c r="G373" i="1"/>
  <c r="H373" i="1"/>
  <c r="I373" i="1"/>
  <c r="J373" i="1"/>
  <c r="K373" i="1"/>
  <c r="M373" i="1"/>
  <c r="N373" i="1"/>
  <c r="P373" i="1"/>
  <c r="Q373" i="1"/>
  <c r="R373" i="1"/>
  <c r="S373" i="1"/>
  <c r="T373" i="1"/>
  <c r="Z373" i="1"/>
  <c r="AL373" i="1"/>
  <c r="A374" i="1"/>
  <c r="B374" i="1"/>
  <c r="C374" i="1"/>
  <c r="G374" i="1"/>
  <c r="H374" i="1"/>
  <c r="I374" i="1"/>
  <c r="J374" i="1"/>
  <c r="K374" i="1"/>
  <c r="M374" i="1"/>
  <c r="N374" i="1"/>
  <c r="P374" i="1"/>
  <c r="Q374" i="1"/>
  <c r="R374" i="1"/>
  <c r="S374" i="1"/>
  <c r="T374" i="1"/>
  <c r="Z374" i="1"/>
  <c r="AL374" i="1"/>
  <c r="A375" i="1"/>
  <c r="B375" i="1"/>
  <c r="C375" i="1"/>
  <c r="G375" i="1"/>
  <c r="H375" i="1"/>
  <c r="I375" i="1"/>
  <c r="J375" i="1"/>
  <c r="K375" i="1"/>
  <c r="M375" i="1"/>
  <c r="N375" i="1"/>
  <c r="P375" i="1"/>
  <c r="Q375" i="1"/>
  <c r="R375" i="1"/>
  <c r="S375" i="1"/>
  <c r="T375" i="1"/>
  <c r="Z375" i="1"/>
  <c r="AL375" i="1"/>
  <c r="A376" i="1"/>
  <c r="B376" i="1"/>
  <c r="C376" i="1"/>
  <c r="G376" i="1"/>
  <c r="H376" i="1"/>
  <c r="I376" i="1"/>
  <c r="J376" i="1"/>
  <c r="K376" i="1"/>
  <c r="M376" i="1"/>
  <c r="N376" i="1"/>
  <c r="P376" i="1"/>
  <c r="Q376" i="1"/>
  <c r="R376" i="1"/>
  <c r="S376" i="1"/>
  <c r="T376" i="1"/>
  <c r="Z376" i="1"/>
  <c r="AL376" i="1"/>
  <c r="A377" i="1"/>
  <c r="B377" i="1"/>
  <c r="C377" i="1"/>
  <c r="G377" i="1"/>
  <c r="H377" i="1"/>
  <c r="I377" i="1"/>
  <c r="J377" i="1"/>
  <c r="K377" i="1"/>
  <c r="M377" i="1"/>
  <c r="N377" i="1"/>
  <c r="P377" i="1"/>
  <c r="Q377" i="1"/>
  <c r="R377" i="1"/>
  <c r="S377" i="1"/>
  <c r="T377" i="1"/>
  <c r="Z377" i="1"/>
  <c r="AL377" i="1"/>
  <c r="A378" i="1"/>
  <c r="B378" i="1"/>
  <c r="C378" i="1"/>
  <c r="G378" i="1"/>
  <c r="H378" i="1"/>
  <c r="I378" i="1"/>
  <c r="J378" i="1"/>
  <c r="K378" i="1"/>
  <c r="M378" i="1"/>
  <c r="N378" i="1"/>
  <c r="P378" i="1"/>
  <c r="Q378" i="1"/>
  <c r="R378" i="1"/>
  <c r="S378" i="1"/>
  <c r="T378" i="1"/>
  <c r="Z378" i="1"/>
  <c r="AL378" i="1"/>
  <c r="A379" i="1"/>
  <c r="B379" i="1"/>
  <c r="C379" i="1"/>
  <c r="G379" i="1"/>
  <c r="H379" i="1"/>
  <c r="I379" i="1"/>
  <c r="J379" i="1"/>
  <c r="K379" i="1"/>
  <c r="M379" i="1"/>
  <c r="N379" i="1"/>
  <c r="P379" i="1"/>
  <c r="Q379" i="1"/>
  <c r="R379" i="1"/>
  <c r="S379" i="1"/>
  <c r="T379" i="1"/>
  <c r="Z379" i="1"/>
  <c r="AL379" i="1"/>
  <c r="A380" i="1"/>
  <c r="B380" i="1"/>
  <c r="C380" i="1"/>
  <c r="G380" i="1"/>
  <c r="H380" i="1"/>
  <c r="I380" i="1"/>
  <c r="J380" i="1"/>
  <c r="K380" i="1"/>
  <c r="M380" i="1"/>
  <c r="N380" i="1"/>
  <c r="P380" i="1"/>
  <c r="Q380" i="1"/>
  <c r="R380" i="1"/>
  <c r="S380" i="1"/>
  <c r="T380" i="1"/>
  <c r="Z380" i="1"/>
  <c r="AL380" i="1"/>
  <c r="A381" i="1"/>
  <c r="B381" i="1"/>
  <c r="C381" i="1"/>
  <c r="G381" i="1"/>
  <c r="H381" i="1"/>
  <c r="I381" i="1"/>
  <c r="J381" i="1"/>
  <c r="K381" i="1"/>
  <c r="M381" i="1"/>
  <c r="N381" i="1"/>
  <c r="P381" i="1"/>
  <c r="Q381" i="1"/>
  <c r="R381" i="1"/>
  <c r="S381" i="1"/>
  <c r="T381" i="1"/>
  <c r="Z381" i="1"/>
  <c r="AL381" i="1"/>
  <c r="A382" i="1"/>
  <c r="B382" i="1"/>
  <c r="C382" i="1"/>
  <c r="G382" i="1"/>
  <c r="H382" i="1"/>
  <c r="I382" i="1"/>
  <c r="J382" i="1"/>
  <c r="K382" i="1"/>
  <c r="M382" i="1"/>
  <c r="N382" i="1"/>
  <c r="P382" i="1"/>
  <c r="Q382" i="1"/>
  <c r="R382" i="1"/>
  <c r="S382" i="1"/>
  <c r="T382" i="1"/>
  <c r="Z382" i="1"/>
  <c r="AL382" i="1"/>
  <c r="A383" i="1"/>
  <c r="B383" i="1"/>
  <c r="C383" i="1"/>
  <c r="G383" i="1"/>
  <c r="H383" i="1"/>
  <c r="I383" i="1"/>
  <c r="J383" i="1"/>
  <c r="K383" i="1"/>
  <c r="M383" i="1"/>
  <c r="N383" i="1"/>
  <c r="P383" i="1"/>
  <c r="Q383" i="1"/>
  <c r="R383" i="1"/>
  <c r="S383" i="1"/>
  <c r="T383" i="1"/>
  <c r="Z383" i="1"/>
  <c r="AL383" i="1"/>
  <c r="A384" i="1"/>
  <c r="B384" i="1"/>
  <c r="C384" i="1"/>
  <c r="G384" i="1"/>
  <c r="H384" i="1"/>
  <c r="I384" i="1"/>
  <c r="J384" i="1"/>
  <c r="K384" i="1"/>
  <c r="M384" i="1"/>
  <c r="N384" i="1"/>
  <c r="P384" i="1"/>
  <c r="Q384" i="1"/>
  <c r="R384" i="1"/>
  <c r="S384" i="1"/>
  <c r="T384" i="1"/>
  <c r="Z384" i="1"/>
  <c r="AL384" i="1"/>
  <c r="A385" i="1"/>
  <c r="B385" i="1"/>
  <c r="C385" i="1"/>
  <c r="G385" i="1"/>
  <c r="H385" i="1"/>
  <c r="I385" i="1"/>
  <c r="J385" i="1"/>
  <c r="K385" i="1"/>
  <c r="M385" i="1"/>
  <c r="N385" i="1"/>
  <c r="P385" i="1"/>
  <c r="Q385" i="1"/>
  <c r="R385" i="1"/>
  <c r="S385" i="1"/>
  <c r="T385" i="1"/>
  <c r="Z385" i="1"/>
  <c r="AL385" i="1"/>
  <c r="A386" i="1"/>
  <c r="B386" i="1"/>
  <c r="C386" i="1"/>
  <c r="G386" i="1"/>
  <c r="H386" i="1"/>
  <c r="I386" i="1"/>
  <c r="J386" i="1"/>
  <c r="K386" i="1"/>
  <c r="M386" i="1"/>
  <c r="N386" i="1"/>
  <c r="P386" i="1"/>
  <c r="Q386" i="1"/>
  <c r="R386" i="1"/>
  <c r="S386" i="1"/>
  <c r="T386" i="1"/>
  <c r="AL386" i="1"/>
  <c r="A387" i="1"/>
  <c r="B387" i="1"/>
  <c r="C387" i="1"/>
  <c r="G387" i="1"/>
  <c r="H387" i="1"/>
  <c r="I387" i="1"/>
  <c r="J387" i="1"/>
  <c r="K387" i="1"/>
  <c r="P387" i="1"/>
  <c r="Q387" i="1"/>
  <c r="R387" i="1"/>
  <c r="S387" i="1"/>
  <c r="T387" i="1"/>
  <c r="Z387" i="1"/>
  <c r="AL387" i="1"/>
  <c r="A388" i="1"/>
  <c r="C388" i="1"/>
  <c r="G388" i="1"/>
  <c r="H388" i="1"/>
  <c r="J388" i="1"/>
  <c r="K388" i="1"/>
  <c r="M388" i="1"/>
  <c r="N388" i="1"/>
  <c r="P388" i="1"/>
  <c r="Q388" i="1"/>
  <c r="R388" i="1"/>
  <c r="T388" i="1"/>
  <c r="Z388" i="1"/>
  <c r="AL388" i="1"/>
  <c r="A389" i="1"/>
  <c r="B389" i="1"/>
  <c r="C389" i="1"/>
  <c r="G389" i="1"/>
  <c r="H389" i="1"/>
  <c r="I389" i="1"/>
  <c r="J389" i="1"/>
  <c r="K389" i="1"/>
  <c r="M389" i="1"/>
  <c r="N389" i="1"/>
  <c r="P389" i="1"/>
  <c r="Q389" i="1"/>
  <c r="R389" i="1"/>
  <c r="S389" i="1"/>
  <c r="T389" i="1"/>
  <c r="Z389" i="1"/>
  <c r="AL389" i="1"/>
  <c r="A390" i="1"/>
  <c r="B390" i="1"/>
  <c r="C390" i="1"/>
  <c r="G390" i="1"/>
  <c r="H390" i="1"/>
  <c r="I390" i="1"/>
  <c r="J390" i="1"/>
  <c r="K390" i="1"/>
  <c r="M390" i="1"/>
  <c r="N390" i="1"/>
  <c r="P390" i="1"/>
  <c r="Q390" i="1"/>
  <c r="R390" i="1"/>
  <c r="S390" i="1"/>
  <c r="T390" i="1"/>
  <c r="Z390" i="1"/>
  <c r="AL390" i="1"/>
  <c r="A391" i="1"/>
  <c r="B391" i="1"/>
  <c r="C391" i="1"/>
  <c r="G391" i="1"/>
  <c r="H391" i="1"/>
  <c r="I391" i="1"/>
  <c r="J391" i="1"/>
  <c r="K391" i="1"/>
  <c r="M391" i="1"/>
  <c r="N391" i="1"/>
  <c r="P391" i="1"/>
  <c r="Q391" i="1"/>
  <c r="R391" i="1"/>
  <c r="S391" i="1"/>
  <c r="T391" i="1"/>
  <c r="Z391" i="1"/>
  <c r="AL391" i="1"/>
  <c r="A392" i="1"/>
  <c r="B392" i="1"/>
  <c r="C392" i="1"/>
  <c r="G392" i="1"/>
  <c r="H392" i="1"/>
  <c r="I392" i="1"/>
  <c r="J392" i="1"/>
  <c r="K392" i="1"/>
  <c r="M392" i="1"/>
  <c r="N392" i="1"/>
  <c r="P392" i="1"/>
  <c r="Q392" i="1"/>
  <c r="R392" i="1"/>
  <c r="S392" i="1"/>
  <c r="T392" i="1"/>
  <c r="Z392" i="1"/>
  <c r="AL392" i="1"/>
  <c r="A393" i="1"/>
  <c r="B393" i="1"/>
  <c r="C393" i="1"/>
  <c r="G393" i="1"/>
  <c r="H393" i="1"/>
  <c r="I393" i="1"/>
  <c r="J393" i="1"/>
  <c r="K393" i="1"/>
  <c r="M393" i="1"/>
  <c r="N393" i="1"/>
  <c r="P393" i="1"/>
  <c r="Q393" i="1"/>
  <c r="R393" i="1"/>
  <c r="S393" i="1"/>
  <c r="T393" i="1"/>
  <c r="Z393" i="1"/>
  <c r="AL393" i="1"/>
  <c r="A394" i="1"/>
  <c r="B394" i="1"/>
  <c r="C394" i="1"/>
  <c r="G394" i="1"/>
  <c r="H394" i="1"/>
  <c r="I394" i="1"/>
  <c r="J394" i="1"/>
  <c r="K394" i="1"/>
  <c r="M394" i="1"/>
  <c r="N394" i="1"/>
  <c r="P394" i="1"/>
  <c r="Q394" i="1"/>
  <c r="R394" i="1"/>
  <c r="S394" i="1"/>
  <c r="T394" i="1"/>
  <c r="Z394" i="1"/>
  <c r="AL394" i="1"/>
  <c r="A395" i="1"/>
  <c r="B395" i="1"/>
  <c r="C395" i="1"/>
  <c r="G395" i="1"/>
  <c r="H395" i="1"/>
  <c r="I395" i="1"/>
  <c r="J395" i="1"/>
  <c r="K395" i="1"/>
  <c r="M395" i="1"/>
  <c r="N395" i="1"/>
  <c r="P395" i="1"/>
  <c r="Q395" i="1"/>
  <c r="R395" i="1"/>
  <c r="S395" i="1"/>
  <c r="T395" i="1"/>
  <c r="Z395" i="1"/>
  <c r="AL395" i="1"/>
  <c r="A396" i="1"/>
  <c r="B396" i="1"/>
  <c r="C396" i="1"/>
  <c r="G396" i="1"/>
  <c r="H396" i="1"/>
  <c r="I396" i="1"/>
  <c r="J396" i="1"/>
  <c r="K396" i="1"/>
  <c r="M396" i="1"/>
  <c r="N396" i="1"/>
  <c r="P396" i="1"/>
  <c r="Q396" i="1"/>
  <c r="R396" i="1"/>
  <c r="S396" i="1"/>
  <c r="T396" i="1"/>
  <c r="Z396" i="1"/>
  <c r="AL396" i="1"/>
  <c r="A397" i="1"/>
  <c r="B397" i="1"/>
  <c r="C397" i="1"/>
  <c r="G397" i="1"/>
  <c r="H397" i="1"/>
  <c r="I397" i="1"/>
  <c r="J397" i="1"/>
  <c r="K397" i="1"/>
  <c r="M397" i="1"/>
  <c r="N397" i="1"/>
  <c r="P397" i="1"/>
  <c r="Q397" i="1"/>
  <c r="R397" i="1"/>
  <c r="S397" i="1"/>
  <c r="T397" i="1"/>
  <c r="Z397" i="1"/>
  <c r="AL397" i="1"/>
  <c r="A398" i="1"/>
  <c r="B398" i="1"/>
  <c r="C398" i="1"/>
  <c r="G398" i="1"/>
  <c r="H398" i="1"/>
  <c r="I398" i="1"/>
  <c r="J398" i="1"/>
  <c r="K398" i="1"/>
  <c r="M398" i="1"/>
  <c r="N398" i="1"/>
  <c r="P398" i="1"/>
  <c r="Q398" i="1"/>
  <c r="R398" i="1"/>
  <c r="S398" i="1"/>
  <c r="T398" i="1"/>
  <c r="Z398" i="1"/>
  <c r="AL398" i="1"/>
  <c r="A399" i="1"/>
  <c r="B399" i="1"/>
  <c r="C399" i="1"/>
  <c r="G399" i="1"/>
  <c r="H399" i="1"/>
  <c r="I399" i="1"/>
  <c r="J399" i="1"/>
  <c r="K399" i="1"/>
  <c r="M399" i="1"/>
  <c r="N399" i="1"/>
  <c r="P399" i="1"/>
  <c r="Q399" i="1"/>
  <c r="R399" i="1"/>
  <c r="S399" i="1"/>
  <c r="T399" i="1"/>
  <c r="Z399" i="1"/>
  <c r="AL399" i="1"/>
  <c r="A400" i="1"/>
  <c r="B400" i="1"/>
  <c r="C400" i="1"/>
  <c r="G400" i="1"/>
  <c r="H400" i="1"/>
  <c r="I400" i="1"/>
  <c r="J400" i="1"/>
  <c r="K400" i="1"/>
  <c r="M400" i="1"/>
  <c r="N400" i="1"/>
  <c r="P400" i="1"/>
  <c r="Q400" i="1"/>
  <c r="R400" i="1"/>
  <c r="S400" i="1"/>
  <c r="T400" i="1"/>
  <c r="Z400" i="1"/>
  <c r="AL400" i="1"/>
  <c r="A401" i="1"/>
  <c r="B401" i="1"/>
  <c r="C401" i="1"/>
  <c r="G401" i="1"/>
  <c r="H401" i="1"/>
  <c r="I401" i="1"/>
  <c r="J401" i="1"/>
  <c r="K401" i="1"/>
  <c r="M401" i="1"/>
  <c r="N401" i="1"/>
  <c r="P401" i="1"/>
  <c r="Q401" i="1"/>
  <c r="R401" i="1"/>
  <c r="S401" i="1"/>
  <c r="T401" i="1"/>
  <c r="Z401" i="1"/>
  <c r="AL401" i="1"/>
  <c r="A402" i="1"/>
  <c r="B402" i="1"/>
  <c r="C402" i="1"/>
  <c r="G402" i="1"/>
  <c r="H402" i="1"/>
  <c r="I402" i="1"/>
  <c r="J402" i="1"/>
  <c r="K402" i="1"/>
  <c r="M402" i="1"/>
  <c r="N402" i="1"/>
  <c r="P402" i="1"/>
  <c r="Q402" i="1"/>
  <c r="R402" i="1"/>
  <c r="S402" i="1"/>
  <c r="T402" i="1"/>
  <c r="Z402" i="1"/>
  <c r="AL402" i="1"/>
  <c r="A403" i="1"/>
  <c r="B403" i="1"/>
  <c r="C403" i="1"/>
  <c r="G403" i="1"/>
  <c r="H403" i="1"/>
  <c r="I403" i="1"/>
  <c r="J403" i="1"/>
  <c r="K403" i="1"/>
  <c r="M403" i="1"/>
  <c r="N403" i="1"/>
  <c r="P403" i="1"/>
  <c r="Q403" i="1"/>
  <c r="R403" i="1"/>
  <c r="S403" i="1"/>
  <c r="T403" i="1"/>
  <c r="Z403" i="1"/>
  <c r="AL403" i="1"/>
  <c r="A404" i="1"/>
  <c r="B404" i="1"/>
  <c r="C404" i="1"/>
  <c r="G404" i="1"/>
  <c r="H404" i="1"/>
  <c r="I404" i="1"/>
  <c r="J404" i="1"/>
  <c r="K404" i="1"/>
  <c r="M404" i="1"/>
  <c r="N404" i="1"/>
  <c r="P404" i="1"/>
  <c r="Q404" i="1"/>
  <c r="R404" i="1"/>
  <c r="S404" i="1"/>
  <c r="T404" i="1"/>
  <c r="Z404" i="1"/>
  <c r="AL404" i="1"/>
  <c r="A405" i="1"/>
  <c r="B405" i="1"/>
  <c r="C405" i="1"/>
  <c r="G405" i="1"/>
  <c r="H405" i="1"/>
  <c r="I405" i="1"/>
  <c r="J405" i="1"/>
  <c r="K405" i="1"/>
  <c r="M405" i="1"/>
  <c r="N405" i="1"/>
  <c r="P405" i="1"/>
  <c r="Q405" i="1"/>
  <c r="R405" i="1"/>
  <c r="S405" i="1"/>
  <c r="T405" i="1"/>
  <c r="Z405" i="1"/>
  <c r="AL405" i="1"/>
  <c r="A406" i="1"/>
  <c r="B406" i="1"/>
  <c r="C406" i="1"/>
  <c r="G406" i="1"/>
  <c r="H406" i="1"/>
  <c r="I406" i="1"/>
  <c r="J406" i="1"/>
  <c r="K406" i="1"/>
  <c r="M406" i="1"/>
  <c r="N406" i="1"/>
  <c r="P406" i="1"/>
  <c r="Q406" i="1"/>
  <c r="R406" i="1"/>
  <c r="S406" i="1"/>
  <c r="T406" i="1"/>
  <c r="Z406" i="1"/>
  <c r="AL406" i="1"/>
  <c r="A407" i="1"/>
  <c r="B407" i="1"/>
  <c r="C407" i="1"/>
  <c r="G407" i="1"/>
  <c r="H407" i="1"/>
  <c r="I407" i="1"/>
  <c r="J407" i="1"/>
  <c r="K407" i="1"/>
  <c r="M407" i="1"/>
  <c r="N407" i="1"/>
  <c r="P407" i="1"/>
  <c r="Q407" i="1"/>
  <c r="R407" i="1"/>
  <c r="S407" i="1"/>
  <c r="T407" i="1"/>
  <c r="Z407" i="1"/>
  <c r="AL407" i="1"/>
  <c r="A408" i="1"/>
  <c r="B408" i="1"/>
  <c r="C408" i="1"/>
  <c r="G408" i="1"/>
  <c r="H408" i="1"/>
  <c r="I408" i="1"/>
  <c r="J408" i="1"/>
  <c r="K408" i="1"/>
  <c r="M408" i="1"/>
  <c r="N408" i="1"/>
  <c r="P408" i="1"/>
  <c r="Q408" i="1"/>
  <c r="R408" i="1"/>
  <c r="S408" i="1"/>
  <c r="T408" i="1"/>
  <c r="Z408" i="1"/>
  <c r="AL408" i="1"/>
  <c r="A409" i="1"/>
  <c r="B409" i="1"/>
  <c r="C409" i="1"/>
  <c r="G409" i="1"/>
  <c r="H409" i="1"/>
  <c r="I409" i="1"/>
  <c r="J409" i="1"/>
  <c r="K409" i="1"/>
  <c r="M409" i="1"/>
  <c r="N409" i="1"/>
  <c r="P409" i="1"/>
  <c r="Q409" i="1"/>
  <c r="R409" i="1"/>
  <c r="S409" i="1"/>
  <c r="T409" i="1"/>
  <c r="Z409" i="1"/>
  <c r="AL409" i="1"/>
  <c r="A410" i="1"/>
  <c r="B410" i="1"/>
  <c r="C410" i="1"/>
  <c r="G410" i="1"/>
  <c r="H410" i="1"/>
  <c r="I410" i="1"/>
  <c r="J410" i="1"/>
  <c r="K410" i="1"/>
  <c r="M410" i="1"/>
  <c r="N410" i="1"/>
  <c r="P410" i="1"/>
  <c r="Q410" i="1"/>
  <c r="R410" i="1"/>
  <c r="S410" i="1"/>
  <c r="T410" i="1"/>
  <c r="Z410" i="1"/>
  <c r="AL410" i="1"/>
  <c r="A411" i="1"/>
  <c r="B411" i="1"/>
  <c r="C411" i="1"/>
  <c r="G411" i="1"/>
  <c r="H411" i="1"/>
  <c r="I411" i="1"/>
  <c r="J411" i="1"/>
  <c r="K411" i="1"/>
  <c r="M411" i="1"/>
  <c r="N411" i="1"/>
  <c r="P411" i="1"/>
  <c r="Q411" i="1"/>
  <c r="R411" i="1"/>
  <c r="S411" i="1"/>
  <c r="T411" i="1"/>
  <c r="Z411" i="1"/>
  <c r="AL411" i="1"/>
  <c r="A412" i="1"/>
  <c r="B412" i="1"/>
  <c r="C412" i="1"/>
  <c r="G412" i="1"/>
  <c r="H412" i="1"/>
  <c r="I412" i="1"/>
  <c r="J412" i="1"/>
  <c r="K412" i="1"/>
  <c r="M412" i="1"/>
  <c r="N412" i="1"/>
  <c r="P412" i="1"/>
  <c r="Q412" i="1"/>
  <c r="R412" i="1"/>
  <c r="S412" i="1"/>
  <c r="T412" i="1"/>
  <c r="Z412" i="1"/>
  <c r="AL412" i="1"/>
  <c r="A413" i="1"/>
  <c r="B413" i="1"/>
  <c r="C413" i="1"/>
  <c r="G413" i="1"/>
  <c r="H413" i="1"/>
  <c r="I413" i="1"/>
  <c r="J413" i="1"/>
  <c r="K413" i="1"/>
  <c r="M413" i="1"/>
  <c r="N413" i="1"/>
  <c r="P413" i="1"/>
  <c r="Q413" i="1"/>
  <c r="R413" i="1"/>
  <c r="S413" i="1"/>
  <c r="T413" i="1"/>
  <c r="Z413" i="1"/>
  <c r="AL413" i="1"/>
  <c r="A414" i="1"/>
  <c r="B414" i="1"/>
  <c r="C414" i="1"/>
  <c r="G414" i="1"/>
  <c r="H414" i="1"/>
  <c r="I414" i="1"/>
  <c r="J414" i="1"/>
  <c r="K414" i="1"/>
  <c r="M414" i="1"/>
  <c r="N414" i="1"/>
  <c r="P414" i="1"/>
  <c r="Q414" i="1"/>
  <c r="R414" i="1"/>
  <c r="S414" i="1"/>
  <c r="T414" i="1"/>
  <c r="Z414" i="1"/>
  <c r="AL414" i="1"/>
  <c r="A415" i="1"/>
  <c r="B415" i="1"/>
  <c r="C415" i="1"/>
  <c r="G415" i="1"/>
  <c r="H415" i="1"/>
  <c r="I415" i="1"/>
  <c r="J415" i="1"/>
  <c r="K415" i="1"/>
  <c r="M415" i="1"/>
  <c r="N415" i="1"/>
  <c r="P415" i="1"/>
  <c r="Q415" i="1"/>
  <c r="R415" i="1"/>
  <c r="S415" i="1"/>
  <c r="T415" i="1"/>
  <c r="Z415" i="1"/>
  <c r="AL415" i="1"/>
  <c r="A416" i="1"/>
  <c r="B416" i="1"/>
  <c r="C416" i="1"/>
  <c r="G416" i="1"/>
  <c r="H416" i="1"/>
  <c r="I416" i="1"/>
  <c r="J416" i="1"/>
  <c r="K416" i="1"/>
  <c r="M416" i="1"/>
  <c r="N416" i="1"/>
  <c r="P416" i="1"/>
  <c r="Q416" i="1"/>
  <c r="R416" i="1"/>
  <c r="S416" i="1"/>
  <c r="T416" i="1"/>
  <c r="Z416" i="1"/>
  <c r="AL416" i="1"/>
  <c r="A417" i="1"/>
  <c r="B417" i="1"/>
  <c r="C417" i="1"/>
  <c r="G417" i="1"/>
  <c r="H417" i="1"/>
  <c r="I417" i="1"/>
  <c r="J417" i="1"/>
  <c r="K417" i="1"/>
  <c r="P417" i="1"/>
  <c r="Q417" i="1"/>
  <c r="R417" i="1"/>
  <c r="S417" i="1"/>
  <c r="T417" i="1"/>
  <c r="Z417" i="1"/>
  <c r="AL417" i="1"/>
  <c r="A418" i="1"/>
  <c r="B418" i="1"/>
  <c r="C418" i="1"/>
  <c r="G418" i="1"/>
  <c r="H418" i="1"/>
  <c r="I418" i="1"/>
  <c r="J418" i="1"/>
  <c r="K418" i="1"/>
  <c r="P418" i="1"/>
  <c r="Q418" i="1"/>
  <c r="R418" i="1"/>
  <c r="S418" i="1"/>
  <c r="T418" i="1"/>
  <c r="Z418" i="1"/>
  <c r="AL418" i="1"/>
  <c r="A419" i="1"/>
  <c r="B419" i="1"/>
  <c r="C419" i="1"/>
  <c r="G419" i="1"/>
  <c r="H419" i="1"/>
  <c r="I419" i="1"/>
  <c r="J419" i="1"/>
  <c r="K419" i="1"/>
  <c r="P419" i="1"/>
  <c r="Q419" i="1"/>
  <c r="R419" i="1"/>
  <c r="S419" i="1"/>
  <c r="T419" i="1"/>
  <c r="Z419" i="1"/>
  <c r="AL419" i="1"/>
  <c r="A420" i="1"/>
  <c r="B420" i="1"/>
  <c r="C420" i="1"/>
  <c r="G420" i="1"/>
  <c r="H420" i="1"/>
  <c r="I420" i="1"/>
  <c r="J420" i="1"/>
  <c r="K420" i="1"/>
  <c r="P420" i="1"/>
  <c r="Q420" i="1"/>
  <c r="R420" i="1"/>
  <c r="S420" i="1"/>
  <c r="T420" i="1"/>
  <c r="Z420" i="1"/>
  <c r="AL420" i="1"/>
  <c r="A421" i="1"/>
  <c r="B421" i="1"/>
  <c r="C421" i="1"/>
  <c r="G421" i="1"/>
  <c r="H421" i="1"/>
  <c r="I421" i="1"/>
  <c r="J421" i="1"/>
  <c r="K421" i="1"/>
  <c r="M421" i="1"/>
  <c r="N421" i="1"/>
  <c r="P421" i="1"/>
  <c r="Q421" i="1"/>
  <c r="R421" i="1"/>
  <c r="S421" i="1"/>
  <c r="T421" i="1"/>
  <c r="Z421" i="1"/>
  <c r="AL421" i="1"/>
  <c r="A422" i="1"/>
  <c r="B422" i="1"/>
  <c r="C422" i="1"/>
  <c r="G422" i="1"/>
  <c r="H422" i="1"/>
  <c r="I422" i="1"/>
  <c r="J422" i="1"/>
  <c r="K422" i="1"/>
  <c r="M422" i="1"/>
  <c r="N422" i="1"/>
  <c r="P422" i="1"/>
  <c r="Q422" i="1"/>
  <c r="R422" i="1"/>
  <c r="S422" i="1"/>
  <c r="T422" i="1"/>
  <c r="Z422" i="1"/>
  <c r="AL422" i="1"/>
  <c r="A423" i="1"/>
  <c r="B423" i="1"/>
  <c r="C423" i="1"/>
  <c r="G423" i="1"/>
  <c r="H423" i="1"/>
  <c r="I423" i="1"/>
  <c r="J423" i="1"/>
  <c r="K423" i="1"/>
  <c r="M423" i="1"/>
  <c r="N423" i="1"/>
  <c r="P423" i="1"/>
  <c r="Q423" i="1"/>
  <c r="R423" i="1"/>
  <c r="S423" i="1"/>
  <c r="T423" i="1"/>
  <c r="Z423" i="1"/>
  <c r="AL423" i="1"/>
  <c r="A424" i="1"/>
  <c r="B424" i="1"/>
  <c r="C424" i="1"/>
  <c r="G424" i="1"/>
  <c r="H424" i="1"/>
  <c r="I424" i="1"/>
  <c r="J424" i="1"/>
  <c r="K424" i="1"/>
  <c r="M424" i="1"/>
  <c r="N424" i="1"/>
  <c r="P424" i="1"/>
  <c r="Q424" i="1"/>
  <c r="R424" i="1"/>
  <c r="S424" i="1"/>
  <c r="T424" i="1"/>
  <c r="Z424" i="1"/>
  <c r="AL424" i="1"/>
  <c r="A425" i="1"/>
  <c r="B425" i="1"/>
  <c r="C425" i="1"/>
  <c r="G425" i="1"/>
  <c r="H425" i="1"/>
  <c r="I425" i="1"/>
  <c r="J425" i="1"/>
  <c r="K425" i="1"/>
  <c r="M425" i="1"/>
  <c r="N425" i="1"/>
  <c r="P425" i="1"/>
  <c r="Q425" i="1"/>
  <c r="R425" i="1"/>
  <c r="S425" i="1"/>
  <c r="T425" i="1"/>
  <c r="Z425" i="1"/>
  <c r="AL425" i="1"/>
  <c r="A426" i="1"/>
  <c r="B426" i="1"/>
  <c r="C426" i="1"/>
  <c r="G426" i="1"/>
  <c r="H426" i="1"/>
  <c r="I426" i="1"/>
  <c r="J426" i="1"/>
  <c r="K426" i="1"/>
  <c r="M426" i="1"/>
  <c r="N426" i="1"/>
  <c r="P426" i="1"/>
  <c r="Q426" i="1"/>
  <c r="R426" i="1"/>
  <c r="S426" i="1"/>
  <c r="T426" i="1"/>
  <c r="Z426" i="1"/>
  <c r="AL426" i="1"/>
  <c r="A427" i="1"/>
  <c r="B427" i="1"/>
  <c r="C427" i="1"/>
  <c r="G427" i="1"/>
  <c r="H427" i="1"/>
  <c r="I427" i="1"/>
  <c r="J427" i="1"/>
  <c r="K427" i="1"/>
  <c r="M427" i="1"/>
  <c r="N427" i="1"/>
  <c r="P427" i="1"/>
  <c r="Q427" i="1"/>
  <c r="R427" i="1"/>
  <c r="S427" i="1"/>
  <c r="T427" i="1"/>
  <c r="Z427" i="1"/>
  <c r="AL427" i="1"/>
  <c r="A428" i="1"/>
  <c r="B428" i="1"/>
  <c r="C428" i="1"/>
  <c r="G428" i="1"/>
  <c r="H428" i="1"/>
  <c r="I428" i="1"/>
  <c r="J428" i="1"/>
  <c r="K428" i="1"/>
  <c r="M428" i="1"/>
  <c r="N428" i="1"/>
  <c r="P428" i="1"/>
  <c r="Q428" i="1"/>
  <c r="R428" i="1"/>
  <c r="S428" i="1"/>
  <c r="T428" i="1"/>
  <c r="Z428" i="1"/>
  <c r="AL428" i="1"/>
  <c r="A429" i="1"/>
  <c r="B429" i="1"/>
  <c r="C429" i="1"/>
  <c r="G429" i="1"/>
  <c r="H429" i="1"/>
  <c r="I429" i="1"/>
  <c r="J429" i="1"/>
  <c r="K429" i="1"/>
  <c r="M429" i="1"/>
  <c r="N429" i="1"/>
  <c r="P429" i="1"/>
  <c r="Q429" i="1"/>
  <c r="R429" i="1"/>
  <c r="S429" i="1"/>
  <c r="T429" i="1"/>
  <c r="Z429" i="1"/>
  <c r="AL429" i="1"/>
  <c r="A430" i="1"/>
  <c r="B430" i="1"/>
  <c r="C430" i="1"/>
  <c r="G430" i="1"/>
  <c r="H430" i="1"/>
  <c r="I430" i="1"/>
  <c r="J430" i="1"/>
  <c r="K430" i="1"/>
  <c r="M430" i="1"/>
  <c r="N430" i="1"/>
  <c r="P430" i="1"/>
  <c r="Q430" i="1"/>
  <c r="R430" i="1"/>
  <c r="S430" i="1"/>
  <c r="T430" i="1"/>
  <c r="Z430" i="1"/>
  <c r="AL430" i="1"/>
  <c r="A431" i="1"/>
  <c r="B431" i="1"/>
  <c r="C431" i="1"/>
  <c r="G431" i="1"/>
  <c r="H431" i="1"/>
  <c r="I431" i="1"/>
  <c r="J431" i="1"/>
  <c r="K431" i="1"/>
  <c r="M431" i="1"/>
  <c r="N431" i="1"/>
  <c r="P431" i="1"/>
  <c r="Q431" i="1"/>
  <c r="R431" i="1"/>
  <c r="S431" i="1"/>
  <c r="T431" i="1"/>
  <c r="Z431" i="1"/>
  <c r="AL431" i="1"/>
  <c r="A432" i="1"/>
  <c r="B432" i="1"/>
  <c r="C432" i="1"/>
  <c r="G432" i="1"/>
  <c r="H432" i="1"/>
  <c r="I432" i="1"/>
  <c r="J432" i="1"/>
  <c r="K432" i="1"/>
  <c r="M432" i="1"/>
  <c r="N432" i="1"/>
  <c r="P432" i="1"/>
  <c r="Q432" i="1"/>
  <c r="R432" i="1"/>
  <c r="S432" i="1"/>
  <c r="T432" i="1"/>
  <c r="Z432" i="1"/>
  <c r="AL432" i="1"/>
  <c r="A433" i="1"/>
  <c r="B433" i="1"/>
  <c r="C433" i="1"/>
  <c r="G433" i="1"/>
  <c r="H433" i="1"/>
  <c r="I433" i="1"/>
  <c r="J433" i="1"/>
  <c r="K433" i="1"/>
  <c r="M433" i="1"/>
  <c r="N433" i="1"/>
  <c r="P433" i="1"/>
  <c r="Q433" i="1"/>
  <c r="R433" i="1"/>
  <c r="S433" i="1"/>
  <c r="T433" i="1"/>
  <c r="Z433" i="1"/>
  <c r="AL433" i="1"/>
  <c r="A434" i="1"/>
  <c r="B434" i="1"/>
  <c r="C434" i="1"/>
  <c r="G434" i="1"/>
  <c r="H434" i="1"/>
  <c r="I434" i="1"/>
  <c r="J434" i="1"/>
  <c r="K434" i="1"/>
  <c r="M434" i="1"/>
  <c r="N434" i="1"/>
  <c r="P434" i="1"/>
  <c r="Q434" i="1"/>
  <c r="R434" i="1"/>
  <c r="S434" i="1"/>
  <c r="T434" i="1"/>
  <c r="Z434" i="1"/>
  <c r="AL434" i="1"/>
  <c r="A435" i="1"/>
  <c r="B435" i="1"/>
  <c r="C435" i="1"/>
  <c r="G435" i="1"/>
  <c r="H435" i="1"/>
  <c r="I435" i="1"/>
  <c r="J435" i="1"/>
  <c r="K435" i="1"/>
  <c r="M435" i="1"/>
  <c r="N435" i="1"/>
  <c r="P435" i="1"/>
  <c r="Q435" i="1"/>
  <c r="R435" i="1"/>
  <c r="S435" i="1"/>
  <c r="T435" i="1"/>
  <c r="Z435" i="1"/>
  <c r="AL435" i="1"/>
  <c r="A436" i="1"/>
  <c r="B436" i="1"/>
  <c r="C436" i="1"/>
  <c r="G436" i="1"/>
  <c r="H436" i="1"/>
  <c r="I436" i="1"/>
  <c r="J436" i="1"/>
  <c r="K436" i="1"/>
  <c r="M436" i="1"/>
  <c r="N436" i="1"/>
  <c r="P436" i="1"/>
  <c r="Q436" i="1"/>
  <c r="R436" i="1"/>
  <c r="S436" i="1"/>
  <c r="T436" i="1"/>
  <c r="Z436" i="1"/>
  <c r="AL436" i="1"/>
  <c r="A437" i="1"/>
  <c r="B437" i="1"/>
  <c r="C437" i="1"/>
  <c r="G437" i="1"/>
  <c r="H437" i="1"/>
  <c r="I437" i="1"/>
  <c r="J437" i="1"/>
  <c r="K437" i="1"/>
  <c r="M437" i="1"/>
  <c r="N437" i="1"/>
  <c r="P437" i="1"/>
  <c r="Q437" i="1"/>
  <c r="R437" i="1"/>
  <c r="S437" i="1"/>
  <c r="T437" i="1"/>
  <c r="Z437" i="1"/>
  <c r="AL437" i="1"/>
  <c r="A438" i="1"/>
  <c r="B438" i="1"/>
  <c r="C438" i="1"/>
  <c r="G438" i="1"/>
  <c r="H438" i="1"/>
  <c r="I438" i="1"/>
  <c r="J438" i="1"/>
  <c r="K438" i="1"/>
  <c r="M438" i="1"/>
  <c r="N438" i="1"/>
  <c r="P438" i="1"/>
  <c r="Q438" i="1"/>
  <c r="R438" i="1"/>
  <c r="S438" i="1"/>
  <c r="T438" i="1"/>
  <c r="Z438" i="1"/>
  <c r="AL438" i="1"/>
  <c r="A439" i="1"/>
  <c r="B439" i="1"/>
  <c r="C439" i="1"/>
  <c r="G439" i="1"/>
  <c r="H439" i="1"/>
  <c r="I439" i="1"/>
  <c r="J439" i="1"/>
  <c r="K439" i="1"/>
  <c r="M439" i="1"/>
  <c r="N439" i="1"/>
  <c r="P439" i="1"/>
  <c r="Q439" i="1"/>
  <c r="R439" i="1"/>
  <c r="S439" i="1"/>
  <c r="T439" i="1"/>
  <c r="Z439" i="1"/>
  <c r="AL439" i="1"/>
  <c r="A440" i="1"/>
  <c r="B440" i="1"/>
  <c r="C440" i="1"/>
  <c r="G440" i="1"/>
  <c r="H440" i="1"/>
  <c r="I440" i="1"/>
  <c r="J440" i="1"/>
  <c r="K440" i="1"/>
  <c r="M440" i="1"/>
  <c r="N440" i="1"/>
  <c r="P440" i="1"/>
  <c r="Q440" i="1"/>
  <c r="R440" i="1"/>
  <c r="S440" i="1"/>
  <c r="T440" i="1"/>
  <c r="Z440" i="1"/>
  <c r="AL440" i="1"/>
  <c r="A441" i="1"/>
  <c r="B441" i="1"/>
  <c r="C441" i="1"/>
  <c r="G441" i="1"/>
  <c r="H441" i="1"/>
  <c r="I441" i="1"/>
  <c r="J441" i="1"/>
  <c r="K441" i="1"/>
  <c r="M441" i="1"/>
  <c r="N441" i="1"/>
  <c r="P441" i="1"/>
  <c r="Q441" i="1"/>
  <c r="R441" i="1"/>
  <c r="S441" i="1"/>
  <c r="T441" i="1"/>
  <c r="Z441" i="1"/>
  <c r="AL441" i="1"/>
  <c r="A442" i="1"/>
  <c r="B442" i="1"/>
  <c r="C442" i="1"/>
  <c r="G442" i="1"/>
  <c r="H442" i="1"/>
  <c r="I442" i="1"/>
  <c r="J442" i="1"/>
  <c r="K442" i="1"/>
  <c r="M442" i="1"/>
  <c r="N442" i="1"/>
  <c r="P442" i="1"/>
  <c r="Q442" i="1"/>
  <c r="R442" i="1"/>
  <c r="S442" i="1"/>
  <c r="T442" i="1"/>
  <c r="Z442" i="1"/>
  <c r="AL442" i="1"/>
  <c r="A443" i="1"/>
  <c r="B443" i="1"/>
  <c r="C443" i="1"/>
  <c r="G443" i="1"/>
  <c r="H443" i="1"/>
  <c r="I443" i="1"/>
  <c r="J443" i="1"/>
  <c r="K443" i="1"/>
  <c r="M443" i="1"/>
  <c r="N443" i="1"/>
  <c r="P443" i="1"/>
  <c r="Q443" i="1"/>
  <c r="R443" i="1"/>
  <c r="S443" i="1"/>
  <c r="T443" i="1"/>
  <c r="Z443" i="1"/>
  <c r="AL443" i="1"/>
  <c r="A444" i="1"/>
  <c r="B444" i="1"/>
  <c r="C444" i="1"/>
  <c r="G444" i="1"/>
  <c r="H444" i="1"/>
  <c r="I444" i="1"/>
  <c r="J444" i="1"/>
  <c r="K444" i="1"/>
  <c r="M444" i="1"/>
  <c r="N444" i="1"/>
  <c r="P444" i="1"/>
  <c r="Q444" i="1"/>
  <c r="R444" i="1"/>
  <c r="S444" i="1"/>
  <c r="T444" i="1"/>
  <c r="Z444" i="1"/>
  <c r="AL444" i="1"/>
  <c r="A445" i="1"/>
  <c r="B445" i="1"/>
  <c r="C445" i="1"/>
  <c r="G445" i="1"/>
  <c r="H445" i="1"/>
  <c r="I445" i="1"/>
  <c r="J445" i="1"/>
  <c r="K445" i="1"/>
  <c r="M445" i="1"/>
  <c r="N445" i="1"/>
  <c r="P445" i="1"/>
  <c r="Q445" i="1"/>
  <c r="R445" i="1"/>
  <c r="S445" i="1"/>
  <c r="T445" i="1"/>
  <c r="Z445" i="1"/>
  <c r="AL445" i="1"/>
  <c r="A446" i="1"/>
  <c r="B446" i="1"/>
  <c r="C446" i="1"/>
  <c r="G446" i="1"/>
  <c r="H446" i="1"/>
  <c r="I446" i="1"/>
  <c r="J446" i="1"/>
  <c r="K446" i="1"/>
  <c r="M446" i="1"/>
  <c r="N446" i="1"/>
  <c r="P446" i="1"/>
  <c r="Q446" i="1"/>
  <c r="R446" i="1"/>
  <c r="S446" i="1"/>
  <c r="T446" i="1"/>
  <c r="Z446" i="1"/>
  <c r="AL446" i="1"/>
  <c r="A447" i="1"/>
  <c r="B447" i="1"/>
  <c r="C447" i="1"/>
  <c r="G447" i="1"/>
  <c r="H447" i="1"/>
  <c r="I447" i="1"/>
  <c r="J447" i="1"/>
  <c r="K447" i="1"/>
  <c r="M447" i="1"/>
  <c r="N447" i="1"/>
  <c r="P447" i="1"/>
  <c r="Q447" i="1"/>
  <c r="R447" i="1"/>
  <c r="S447" i="1"/>
  <c r="T447" i="1"/>
  <c r="Z447" i="1"/>
  <c r="AL447" i="1"/>
  <c r="A448" i="1"/>
  <c r="B448" i="1"/>
  <c r="C448" i="1"/>
  <c r="G448" i="1"/>
  <c r="H448" i="1"/>
  <c r="I448" i="1"/>
  <c r="J448" i="1"/>
  <c r="K448" i="1"/>
  <c r="M448" i="1"/>
  <c r="N448" i="1"/>
  <c r="P448" i="1"/>
  <c r="Q448" i="1"/>
  <c r="R448" i="1"/>
  <c r="S448" i="1"/>
  <c r="T448" i="1"/>
  <c r="Z448" i="1"/>
  <c r="AL448" i="1"/>
  <c r="A449" i="1"/>
  <c r="B449" i="1"/>
  <c r="C449" i="1"/>
  <c r="G449" i="1"/>
  <c r="H449" i="1"/>
  <c r="I449" i="1"/>
  <c r="J449" i="1"/>
  <c r="K449" i="1"/>
  <c r="M449" i="1"/>
  <c r="N449" i="1"/>
  <c r="P449" i="1"/>
  <c r="Q449" i="1"/>
  <c r="R449" i="1"/>
  <c r="S449" i="1"/>
  <c r="T449" i="1"/>
  <c r="Z449" i="1"/>
  <c r="AL449" i="1"/>
  <c r="A450" i="1"/>
  <c r="B450" i="1"/>
  <c r="C450" i="1"/>
  <c r="G450" i="1"/>
  <c r="H450" i="1"/>
  <c r="I450" i="1"/>
  <c r="J450" i="1"/>
  <c r="K450" i="1"/>
  <c r="M450" i="1"/>
  <c r="N450" i="1"/>
  <c r="P450" i="1"/>
  <c r="Q450" i="1"/>
  <c r="R450" i="1"/>
  <c r="S450" i="1"/>
  <c r="T450" i="1"/>
  <c r="Z450" i="1"/>
  <c r="AL450" i="1"/>
  <c r="A451" i="1"/>
  <c r="B451" i="1"/>
  <c r="C451" i="1"/>
  <c r="G451" i="1"/>
  <c r="H451" i="1"/>
  <c r="I451" i="1"/>
  <c r="J451" i="1"/>
  <c r="K451" i="1"/>
  <c r="M451" i="1"/>
  <c r="N451" i="1"/>
  <c r="P451" i="1"/>
  <c r="Q451" i="1"/>
  <c r="R451" i="1"/>
  <c r="S451" i="1"/>
  <c r="T451" i="1"/>
  <c r="Z451" i="1"/>
  <c r="AL451" i="1"/>
  <c r="A452" i="1"/>
  <c r="B452" i="1"/>
  <c r="C452" i="1"/>
  <c r="G452" i="1"/>
  <c r="H452" i="1"/>
  <c r="I452" i="1"/>
  <c r="J452" i="1"/>
  <c r="K452" i="1"/>
  <c r="M452" i="1"/>
  <c r="N452" i="1"/>
  <c r="P452" i="1"/>
  <c r="Q452" i="1"/>
  <c r="R452" i="1"/>
  <c r="S452" i="1"/>
  <c r="T452" i="1"/>
  <c r="Z452" i="1"/>
  <c r="AL452" i="1"/>
  <c r="A453" i="1"/>
  <c r="B453" i="1"/>
  <c r="C453" i="1"/>
  <c r="G453" i="1"/>
  <c r="H453" i="1"/>
  <c r="I453" i="1"/>
  <c r="J453" i="1"/>
  <c r="K453" i="1"/>
  <c r="M453" i="1"/>
  <c r="N453" i="1"/>
  <c r="P453" i="1"/>
  <c r="Q453" i="1"/>
  <c r="R453" i="1"/>
  <c r="S453" i="1"/>
  <c r="T453" i="1"/>
  <c r="Z453" i="1"/>
  <c r="AL453" i="1"/>
  <c r="A454" i="1"/>
  <c r="B454" i="1"/>
  <c r="C454" i="1"/>
  <c r="G454" i="1"/>
  <c r="H454" i="1"/>
  <c r="I454" i="1"/>
  <c r="J454" i="1"/>
  <c r="K454" i="1"/>
  <c r="M454" i="1"/>
  <c r="N454" i="1"/>
  <c r="P454" i="1"/>
  <c r="Q454" i="1"/>
  <c r="R454" i="1"/>
  <c r="S454" i="1"/>
  <c r="T454" i="1"/>
  <c r="Z454" i="1"/>
  <c r="AL454" i="1"/>
  <c r="A455" i="1"/>
  <c r="B455" i="1"/>
  <c r="C455" i="1"/>
  <c r="G455" i="1"/>
  <c r="H455" i="1"/>
  <c r="I455" i="1"/>
  <c r="J455" i="1"/>
  <c r="K455" i="1"/>
  <c r="M455" i="1"/>
  <c r="N455" i="1"/>
  <c r="P455" i="1"/>
  <c r="Q455" i="1"/>
  <c r="R455" i="1"/>
  <c r="S455" i="1"/>
  <c r="T455" i="1"/>
  <c r="Z455" i="1"/>
  <c r="AL455" i="1"/>
  <c r="A456" i="1"/>
  <c r="B456" i="1"/>
  <c r="C456" i="1"/>
  <c r="G456" i="1"/>
  <c r="H456" i="1"/>
  <c r="I456" i="1"/>
  <c r="J456" i="1"/>
  <c r="K456" i="1"/>
  <c r="M456" i="1"/>
  <c r="N456" i="1"/>
  <c r="P456" i="1"/>
  <c r="Q456" i="1"/>
  <c r="R456" i="1"/>
  <c r="S456" i="1"/>
  <c r="T456" i="1"/>
  <c r="Z456" i="1"/>
  <c r="AL456" i="1"/>
  <c r="A457" i="1"/>
  <c r="B457" i="1"/>
  <c r="C457" i="1"/>
  <c r="G457" i="1"/>
  <c r="H457" i="1"/>
  <c r="I457" i="1"/>
  <c r="J457" i="1"/>
  <c r="K457" i="1"/>
  <c r="M457" i="1"/>
  <c r="N457" i="1"/>
  <c r="P457" i="1"/>
  <c r="Q457" i="1"/>
  <c r="R457" i="1"/>
  <c r="S457" i="1"/>
  <c r="T457" i="1"/>
  <c r="Z457" i="1"/>
  <c r="AL457" i="1"/>
  <c r="A458" i="1"/>
  <c r="B458" i="1"/>
  <c r="C458" i="1"/>
  <c r="G458" i="1"/>
  <c r="H458" i="1"/>
  <c r="I458" i="1"/>
  <c r="J458" i="1"/>
  <c r="K458" i="1"/>
  <c r="M458" i="1"/>
  <c r="N458" i="1"/>
  <c r="P458" i="1"/>
  <c r="Q458" i="1"/>
  <c r="R458" i="1"/>
  <c r="S458" i="1"/>
  <c r="T458" i="1"/>
  <c r="Z458" i="1"/>
  <c r="AL458" i="1"/>
  <c r="A459" i="1"/>
  <c r="B459" i="1"/>
  <c r="C459" i="1"/>
  <c r="G459" i="1"/>
  <c r="H459" i="1"/>
  <c r="I459" i="1"/>
  <c r="J459" i="1"/>
  <c r="K459" i="1"/>
  <c r="M459" i="1"/>
  <c r="N459" i="1"/>
  <c r="P459" i="1"/>
  <c r="Q459" i="1"/>
  <c r="R459" i="1"/>
  <c r="S459" i="1"/>
  <c r="T459" i="1"/>
  <c r="Z459" i="1"/>
  <c r="AL459" i="1"/>
  <c r="A460" i="1"/>
  <c r="B460" i="1"/>
  <c r="C460" i="1"/>
  <c r="G460" i="1"/>
  <c r="H460" i="1"/>
  <c r="I460" i="1"/>
  <c r="J460" i="1"/>
  <c r="K460" i="1"/>
  <c r="M460" i="1"/>
  <c r="N460" i="1"/>
  <c r="P460" i="1"/>
  <c r="Q460" i="1"/>
  <c r="R460" i="1"/>
  <c r="S460" i="1"/>
  <c r="T460" i="1"/>
  <c r="Z460" i="1"/>
  <c r="AL460" i="1"/>
  <c r="A461" i="1"/>
  <c r="B461" i="1"/>
  <c r="C461" i="1"/>
  <c r="G461" i="1"/>
  <c r="H461" i="1"/>
  <c r="I461" i="1"/>
  <c r="J461" i="1"/>
  <c r="K461" i="1"/>
  <c r="M461" i="1"/>
  <c r="N461" i="1"/>
  <c r="P461" i="1"/>
  <c r="Q461" i="1"/>
  <c r="R461" i="1"/>
  <c r="S461" i="1"/>
  <c r="T461" i="1"/>
  <c r="Z461" i="1"/>
  <c r="AL461" i="1"/>
  <c r="A462" i="1"/>
  <c r="B462" i="1"/>
  <c r="C462" i="1"/>
  <c r="G462" i="1"/>
  <c r="H462" i="1"/>
  <c r="I462" i="1"/>
  <c r="J462" i="1"/>
  <c r="K462" i="1"/>
  <c r="M462" i="1"/>
  <c r="N462" i="1"/>
  <c r="P462" i="1"/>
  <c r="Q462" i="1"/>
  <c r="R462" i="1"/>
  <c r="S462" i="1"/>
  <c r="T462" i="1"/>
  <c r="Z462" i="1"/>
  <c r="AL462" i="1"/>
  <c r="A463" i="1"/>
  <c r="B463" i="1"/>
  <c r="C463" i="1"/>
  <c r="G463" i="1"/>
  <c r="H463" i="1"/>
  <c r="I463" i="1"/>
  <c r="J463" i="1"/>
  <c r="K463" i="1"/>
  <c r="M463" i="1"/>
  <c r="N463" i="1"/>
  <c r="P463" i="1"/>
  <c r="Q463" i="1"/>
  <c r="R463" i="1"/>
  <c r="S463" i="1"/>
  <c r="T463" i="1"/>
  <c r="Z463" i="1"/>
  <c r="AL463" i="1"/>
  <c r="A464" i="1"/>
  <c r="B464" i="1"/>
  <c r="C464" i="1"/>
  <c r="G464" i="1"/>
  <c r="H464" i="1"/>
  <c r="I464" i="1"/>
  <c r="J464" i="1"/>
  <c r="K464" i="1"/>
  <c r="M464" i="1"/>
  <c r="N464" i="1"/>
  <c r="P464" i="1"/>
  <c r="Q464" i="1"/>
  <c r="R464" i="1"/>
  <c r="S464" i="1"/>
  <c r="T464" i="1"/>
  <c r="Z464" i="1"/>
  <c r="AL464" i="1"/>
  <c r="A465" i="1"/>
  <c r="B465" i="1"/>
  <c r="C465" i="1"/>
  <c r="G465" i="1"/>
  <c r="H465" i="1"/>
  <c r="I465" i="1"/>
  <c r="J465" i="1"/>
  <c r="K465" i="1"/>
  <c r="M465" i="1"/>
  <c r="N465" i="1"/>
  <c r="P465" i="1"/>
  <c r="Q465" i="1"/>
  <c r="R465" i="1"/>
  <c r="S465" i="1"/>
  <c r="T465" i="1"/>
  <c r="Z465" i="1"/>
  <c r="AL465" i="1"/>
  <c r="A466" i="1"/>
  <c r="B466" i="1"/>
  <c r="C466" i="1"/>
  <c r="G466" i="1"/>
  <c r="H466" i="1"/>
  <c r="I466" i="1"/>
  <c r="J466" i="1"/>
  <c r="K466" i="1"/>
  <c r="M466" i="1"/>
  <c r="N466" i="1"/>
  <c r="P466" i="1"/>
  <c r="Q466" i="1"/>
  <c r="R466" i="1"/>
  <c r="S466" i="1"/>
  <c r="T466" i="1"/>
  <c r="Z466" i="1"/>
  <c r="AL466" i="1"/>
  <c r="A467" i="1"/>
  <c r="B467" i="1"/>
  <c r="C467" i="1"/>
  <c r="G467" i="1"/>
  <c r="H467" i="1"/>
  <c r="I467" i="1"/>
  <c r="J467" i="1"/>
  <c r="K467" i="1"/>
  <c r="M467" i="1"/>
  <c r="N467" i="1"/>
  <c r="P467" i="1"/>
  <c r="Q467" i="1"/>
  <c r="R467" i="1"/>
  <c r="S467" i="1"/>
  <c r="T467" i="1"/>
  <c r="Z467" i="1"/>
  <c r="AL467" i="1"/>
  <c r="A468" i="1"/>
  <c r="B468" i="1"/>
  <c r="C468" i="1"/>
  <c r="G468" i="1"/>
  <c r="H468" i="1"/>
  <c r="I468" i="1"/>
  <c r="J468" i="1"/>
  <c r="K468" i="1"/>
  <c r="M468" i="1"/>
  <c r="N468" i="1"/>
  <c r="P468" i="1"/>
  <c r="Q468" i="1"/>
  <c r="R468" i="1"/>
  <c r="S468" i="1"/>
  <c r="T468" i="1"/>
  <c r="Z468" i="1"/>
  <c r="AL468" i="1"/>
  <c r="A469" i="1"/>
  <c r="B469" i="1"/>
  <c r="C469" i="1"/>
  <c r="G469" i="1"/>
  <c r="H469" i="1"/>
  <c r="I469" i="1"/>
  <c r="J469" i="1"/>
  <c r="K469" i="1"/>
  <c r="M469" i="1"/>
  <c r="N469" i="1"/>
  <c r="P469" i="1"/>
  <c r="Q469" i="1"/>
  <c r="R469" i="1"/>
  <c r="S469" i="1"/>
  <c r="T469" i="1"/>
  <c r="Z469" i="1"/>
  <c r="AL469" i="1"/>
  <c r="A470" i="1"/>
  <c r="B470" i="1"/>
  <c r="C470" i="1"/>
  <c r="G470" i="1"/>
  <c r="H470" i="1"/>
  <c r="I470" i="1"/>
  <c r="J470" i="1"/>
  <c r="K470" i="1"/>
  <c r="M470" i="1"/>
  <c r="N470" i="1"/>
  <c r="P470" i="1"/>
  <c r="Q470" i="1"/>
  <c r="R470" i="1"/>
  <c r="S470" i="1"/>
  <c r="T470" i="1"/>
  <c r="Z470" i="1"/>
  <c r="AL470" i="1"/>
  <c r="A471" i="1"/>
  <c r="B471" i="1"/>
  <c r="C471" i="1"/>
  <c r="G471" i="1"/>
  <c r="H471" i="1"/>
  <c r="I471" i="1"/>
  <c r="J471" i="1"/>
  <c r="K471" i="1"/>
  <c r="M471" i="1"/>
  <c r="N471" i="1"/>
  <c r="P471" i="1"/>
  <c r="Q471" i="1"/>
  <c r="R471" i="1"/>
  <c r="S471" i="1"/>
  <c r="T471" i="1"/>
  <c r="Z471" i="1"/>
  <c r="AL471" i="1"/>
  <c r="A472" i="1"/>
  <c r="B472" i="1"/>
  <c r="C472" i="1"/>
  <c r="G472" i="1"/>
  <c r="H472" i="1"/>
  <c r="I472" i="1"/>
  <c r="J472" i="1"/>
  <c r="K472" i="1"/>
  <c r="M472" i="1"/>
  <c r="N472" i="1"/>
  <c r="P472" i="1"/>
  <c r="Q472" i="1"/>
  <c r="R472" i="1"/>
  <c r="S472" i="1"/>
  <c r="T472" i="1"/>
  <c r="Z472" i="1"/>
  <c r="AL472" i="1"/>
  <c r="A473" i="1"/>
  <c r="B473" i="1"/>
  <c r="C473" i="1"/>
  <c r="G473" i="1"/>
  <c r="H473" i="1"/>
  <c r="I473" i="1"/>
  <c r="J473" i="1"/>
  <c r="K473" i="1"/>
  <c r="M473" i="1"/>
  <c r="N473" i="1"/>
  <c r="P473" i="1"/>
  <c r="Q473" i="1"/>
  <c r="R473" i="1"/>
  <c r="S473" i="1"/>
  <c r="T473" i="1"/>
  <c r="Z473" i="1"/>
  <c r="AL473" i="1"/>
  <c r="A474" i="1"/>
  <c r="B474" i="1"/>
  <c r="C474" i="1"/>
  <c r="G474" i="1"/>
  <c r="H474" i="1"/>
  <c r="I474" i="1"/>
  <c r="J474" i="1"/>
  <c r="K474" i="1"/>
  <c r="M474" i="1"/>
  <c r="N474" i="1"/>
  <c r="P474" i="1"/>
  <c r="Q474" i="1"/>
  <c r="R474" i="1"/>
  <c r="S474" i="1"/>
  <c r="T474" i="1"/>
  <c r="Z474" i="1"/>
  <c r="AL474" i="1"/>
  <c r="A475" i="1"/>
  <c r="B475" i="1"/>
  <c r="C475" i="1"/>
  <c r="G475" i="1"/>
  <c r="H475" i="1"/>
  <c r="I475" i="1"/>
  <c r="J475" i="1"/>
  <c r="K475" i="1"/>
  <c r="M475" i="1"/>
  <c r="N475" i="1"/>
  <c r="P475" i="1"/>
  <c r="Q475" i="1"/>
  <c r="R475" i="1"/>
  <c r="S475" i="1"/>
  <c r="T475" i="1"/>
  <c r="Z475" i="1"/>
  <c r="AL475" i="1"/>
  <c r="A476" i="1"/>
  <c r="B476" i="1"/>
  <c r="C476" i="1"/>
  <c r="G476" i="1"/>
  <c r="H476" i="1"/>
  <c r="I476" i="1"/>
  <c r="J476" i="1"/>
  <c r="K476" i="1"/>
  <c r="M476" i="1"/>
  <c r="N476" i="1"/>
  <c r="P476" i="1"/>
  <c r="Q476" i="1"/>
  <c r="R476" i="1"/>
  <c r="S476" i="1"/>
  <c r="T476" i="1"/>
  <c r="Z476" i="1"/>
  <c r="AL476" i="1"/>
  <c r="A477" i="1"/>
  <c r="B477" i="1"/>
  <c r="C477" i="1"/>
  <c r="G477" i="1"/>
  <c r="H477" i="1"/>
  <c r="I477" i="1"/>
  <c r="J477" i="1"/>
  <c r="K477" i="1"/>
  <c r="M477" i="1"/>
  <c r="N477" i="1"/>
  <c r="P477" i="1"/>
  <c r="Q477" i="1"/>
  <c r="R477" i="1"/>
  <c r="S477" i="1"/>
  <c r="T477" i="1"/>
  <c r="Z477" i="1"/>
  <c r="AL477" i="1"/>
  <c r="A478" i="1"/>
  <c r="B478" i="1"/>
  <c r="C478" i="1"/>
  <c r="G478" i="1"/>
  <c r="H478" i="1"/>
  <c r="I478" i="1"/>
  <c r="J478" i="1"/>
  <c r="K478" i="1"/>
  <c r="M478" i="1"/>
  <c r="N478" i="1"/>
  <c r="P478" i="1"/>
  <c r="Q478" i="1"/>
  <c r="R478" i="1"/>
  <c r="S478" i="1"/>
  <c r="T478" i="1"/>
  <c r="Z478" i="1"/>
  <c r="AL478" i="1"/>
  <c r="A479" i="1"/>
  <c r="B479" i="1"/>
  <c r="C479" i="1"/>
  <c r="G479" i="1"/>
  <c r="H479" i="1"/>
  <c r="I479" i="1"/>
  <c r="J479" i="1"/>
  <c r="K479" i="1"/>
  <c r="M479" i="1"/>
  <c r="N479" i="1"/>
  <c r="P479" i="1"/>
  <c r="Q479" i="1"/>
  <c r="R479" i="1"/>
  <c r="S479" i="1"/>
  <c r="T479" i="1"/>
  <c r="Z479" i="1"/>
  <c r="AL479" i="1"/>
  <c r="A480" i="1"/>
  <c r="B480" i="1"/>
  <c r="C480" i="1"/>
  <c r="G480" i="1"/>
  <c r="H480" i="1"/>
  <c r="I480" i="1"/>
  <c r="J480" i="1"/>
  <c r="K480" i="1"/>
  <c r="M480" i="1"/>
  <c r="N480" i="1"/>
  <c r="P480" i="1"/>
  <c r="Q480" i="1"/>
  <c r="R480" i="1"/>
  <c r="S480" i="1"/>
  <c r="T480" i="1"/>
  <c r="Z480" i="1"/>
  <c r="AL480" i="1"/>
  <c r="A481" i="1"/>
  <c r="B481" i="1"/>
  <c r="C481" i="1"/>
  <c r="G481" i="1"/>
  <c r="H481" i="1"/>
  <c r="I481" i="1"/>
  <c r="J481" i="1"/>
  <c r="K481" i="1"/>
  <c r="M481" i="1"/>
  <c r="N481" i="1"/>
  <c r="P481" i="1"/>
  <c r="Q481" i="1"/>
  <c r="R481" i="1"/>
  <c r="S481" i="1"/>
  <c r="T481" i="1"/>
  <c r="Z481" i="1"/>
  <c r="AL481" i="1"/>
  <c r="A482" i="1"/>
  <c r="B482" i="1"/>
  <c r="C482" i="1"/>
  <c r="G482" i="1"/>
  <c r="H482" i="1"/>
  <c r="I482" i="1"/>
  <c r="J482" i="1"/>
  <c r="K482" i="1"/>
  <c r="M482" i="1"/>
  <c r="N482" i="1"/>
  <c r="P482" i="1"/>
  <c r="Q482" i="1"/>
  <c r="R482" i="1"/>
  <c r="S482" i="1"/>
  <c r="T482" i="1"/>
  <c r="Z482" i="1"/>
  <c r="AL482" i="1"/>
  <c r="A483" i="1"/>
  <c r="B483" i="1"/>
  <c r="C483" i="1"/>
  <c r="G483" i="1"/>
  <c r="H483" i="1"/>
  <c r="I483" i="1"/>
  <c r="J483" i="1"/>
  <c r="K483" i="1"/>
  <c r="M483" i="1"/>
  <c r="N483" i="1"/>
  <c r="P483" i="1"/>
  <c r="Q483" i="1"/>
  <c r="R483" i="1"/>
  <c r="S483" i="1"/>
  <c r="T483" i="1"/>
  <c r="Z483" i="1"/>
  <c r="AL483" i="1"/>
  <c r="A484" i="1"/>
  <c r="B484" i="1"/>
  <c r="C484" i="1"/>
  <c r="G484" i="1"/>
  <c r="H484" i="1"/>
  <c r="I484" i="1"/>
  <c r="J484" i="1"/>
  <c r="K484" i="1"/>
  <c r="M484" i="1"/>
  <c r="N484" i="1"/>
  <c r="P484" i="1"/>
  <c r="Q484" i="1"/>
  <c r="R484" i="1"/>
  <c r="S484" i="1"/>
  <c r="T484" i="1"/>
  <c r="Z484" i="1"/>
  <c r="AL484" i="1"/>
  <c r="A485" i="1"/>
  <c r="B485" i="1"/>
  <c r="C485" i="1"/>
  <c r="G485" i="1"/>
  <c r="H485" i="1"/>
  <c r="I485" i="1"/>
  <c r="J485" i="1"/>
  <c r="K485" i="1"/>
  <c r="M485" i="1"/>
  <c r="N485" i="1"/>
  <c r="P485" i="1"/>
  <c r="Q485" i="1"/>
  <c r="R485" i="1"/>
  <c r="S485" i="1"/>
  <c r="T485" i="1"/>
  <c r="Z485" i="1"/>
  <c r="AL485" i="1"/>
  <c r="A486" i="1"/>
  <c r="B486" i="1"/>
  <c r="C486" i="1"/>
  <c r="G486" i="1"/>
  <c r="H486" i="1"/>
  <c r="I486" i="1"/>
  <c r="J486" i="1"/>
  <c r="K486" i="1"/>
  <c r="M486" i="1"/>
  <c r="N486" i="1"/>
  <c r="P486" i="1"/>
  <c r="Q486" i="1"/>
  <c r="R486" i="1"/>
  <c r="S486" i="1"/>
  <c r="T486" i="1"/>
  <c r="Z486" i="1"/>
  <c r="AL486" i="1"/>
  <c r="A487" i="1"/>
  <c r="B487" i="1"/>
  <c r="C487" i="1"/>
  <c r="G487" i="1"/>
  <c r="H487" i="1"/>
  <c r="I487" i="1"/>
  <c r="J487" i="1"/>
  <c r="K487" i="1"/>
  <c r="M487" i="1"/>
  <c r="N487" i="1"/>
  <c r="P487" i="1"/>
  <c r="Q487" i="1"/>
  <c r="R487" i="1"/>
  <c r="S487" i="1"/>
  <c r="T487" i="1"/>
  <c r="Z487" i="1"/>
  <c r="AL487" i="1"/>
  <c r="A488" i="1"/>
  <c r="B488" i="1"/>
  <c r="C488" i="1"/>
  <c r="G488" i="1"/>
  <c r="H488" i="1"/>
  <c r="I488" i="1"/>
  <c r="J488" i="1"/>
  <c r="K488" i="1"/>
  <c r="M488" i="1"/>
  <c r="N488" i="1"/>
  <c r="P488" i="1"/>
  <c r="Q488" i="1"/>
  <c r="R488" i="1"/>
  <c r="S488" i="1"/>
  <c r="T488" i="1"/>
  <c r="Z488" i="1"/>
  <c r="AL488" i="1"/>
  <c r="A489" i="1"/>
  <c r="B489" i="1"/>
  <c r="C489" i="1"/>
  <c r="G489" i="1"/>
  <c r="H489" i="1"/>
  <c r="I489" i="1"/>
  <c r="J489" i="1"/>
  <c r="K489" i="1"/>
  <c r="M489" i="1"/>
  <c r="N489" i="1"/>
  <c r="P489" i="1"/>
  <c r="Q489" i="1"/>
  <c r="R489" i="1"/>
  <c r="S489" i="1"/>
  <c r="T489" i="1"/>
  <c r="Z489" i="1"/>
  <c r="AL489" i="1"/>
  <c r="A490" i="1"/>
  <c r="B490" i="1"/>
  <c r="C490" i="1"/>
  <c r="G490" i="1"/>
  <c r="H490" i="1"/>
  <c r="I490" i="1"/>
  <c r="J490" i="1"/>
  <c r="K490" i="1"/>
  <c r="M490" i="1"/>
  <c r="N490" i="1"/>
  <c r="P490" i="1"/>
  <c r="Q490" i="1"/>
  <c r="R490" i="1"/>
  <c r="S490" i="1"/>
  <c r="T490" i="1"/>
  <c r="Z490" i="1"/>
  <c r="AL490" i="1"/>
  <c r="A491" i="1"/>
  <c r="B491" i="1"/>
  <c r="C491" i="1"/>
  <c r="G491" i="1"/>
  <c r="H491" i="1"/>
  <c r="I491" i="1"/>
  <c r="J491" i="1"/>
  <c r="K491" i="1"/>
  <c r="M491" i="1"/>
  <c r="N491" i="1"/>
  <c r="P491" i="1"/>
  <c r="Q491" i="1"/>
  <c r="R491" i="1"/>
  <c r="S491" i="1"/>
  <c r="T491" i="1"/>
  <c r="Z491" i="1"/>
  <c r="AL491" i="1"/>
  <c r="A492" i="1"/>
  <c r="B492" i="1"/>
  <c r="C492" i="1"/>
  <c r="G492" i="1"/>
  <c r="H492" i="1"/>
  <c r="I492" i="1"/>
  <c r="J492" i="1"/>
  <c r="K492" i="1"/>
  <c r="M492" i="1"/>
  <c r="N492" i="1"/>
  <c r="P492" i="1"/>
  <c r="Q492" i="1"/>
  <c r="R492" i="1"/>
  <c r="S492" i="1"/>
  <c r="T492" i="1"/>
  <c r="Z492" i="1"/>
  <c r="AL492" i="1"/>
  <c r="A493" i="1"/>
  <c r="B493" i="1"/>
  <c r="C493" i="1"/>
  <c r="G493" i="1"/>
  <c r="H493" i="1"/>
  <c r="I493" i="1"/>
  <c r="J493" i="1"/>
  <c r="K493" i="1"/>
  <c r="M493" i="1"/>
  <c r="N493" i="1"/>
  <c r="P493" i="1"/>
  <c r="Q493" i="1"/>
  <c r="R493" i="1"/>
  <c r="S493" i="1"/>
  <c r="T493" i="1"/>
  <c r="Z493" i="1"/>
  <c r="AL493" i="1"/>
  <c r="A494" i="1"/>
  <c r="B494" i="1"/>
  <c r="C494" i="1"/>
  <c r="G494" i="1"/>
  <c r="H494" i="1"/>
  <c r="I494" i="1"/>
  <c r="J494" i="1"/>
  <c r="K494" i="1"/>
  <c r="M494" i="1"/>
  <c r="N494" i="1"/>
  <c r="P494" i="1"/>
  <c r="Q494" i="1"/>
  <c r="R494" i="1"/>
  <c r="S494" i="1"/>
  <c r="T494" i="1"/>
  <c r="Z494" i="1"/>
  <c r="AL494" i="1"/>
  <c r="A495" i="1"/>
  <c r="B495" i="1"/>
  <c r="C495" i="1"/>
  <c r="G495" i="1"/>
  <c r="H495" i="1"/>
  <c r="I495" i="1"/>
  <c r="J495" i="1"/>
  <c r="K495" i="1"/>
  <c r="M495" i="1"/>
  <c r="N495" i="1"/>
  <c r="P495" i="1"/>
  <c r="Q495" i="1"/>
  <c r="R495" i="1"/>
  <c r="S495" i="1"/>
  <c r="T495" i="1"/>
  <c r="Z495" i="1"/>
  <c r="AL495" i="1"/>
  <c r="A496" i="1"/>
  <c r="B496" i="1"/>
  <c r="C496" i="1"/>
  <c r="G496" i="1"/>
  <c r="H496" i="1"/>
  <c r="I496" i="1"/>
  <c r="J496" i="1"/>
  <c r="K496" i="1"/>
  <c r="M496" i="1"/>
  <c r="N496" i="1"/>
  <c r="P496" i="1"/>
  <c r="Q496" i="1"/>
  <c r="R496" i="1"/>
  <c r="S496" i="1"/>
  <c r="T496" i="1"/>
  <c r="Z496" i="1"/>
  <c r="AL496" i="1"/>
  <c r="A497" i="1"/>
  <c r="B497" i="1"/>
  <c r="C497" i="1"/>
  <c r="G497" i="1"/>
  <c r="H497" i="1"/>
  <c r="I497" i="1"/>
  <c r="J497" i="1"/>
  <c r="K497" i="1"/>
  <c r="M497" i="1"/>
  <c r="N497" i="1"/>
  <c r="P497" i="1"/>
  <c r="Q497" i="1"/>
  <c r="R497" i="1"/>
  <c r="S497" i="1"/>
  <c r="T497" i="1"/>
  <c r="Z497" i="1"/>
  <c r="AL497" i="1"/>
  <c r="A498" i="1"/>
  <c r="B498" i="1"/>
  <c r="C498" i="1"/>
  <c r="G498" i="1"/>
  <c r="H498" i="1"/>
  <c r="I498" i="1"/>
  <c r="J498" i="1"/>
  <c r="K498" i="1"/>
  <c r="M498" i="1"/>
  <c r="N498" i="1"/>
  <c r="P498" i="1"/>
  <c r="Q498" i="1"/>
  <c r="R498" i="1"/>
  <c r="S498" i="1"/>
  <c r="T498" i="1"/>
  <c r="Z498" i="1"/>
  <c r="AL498" i="1"/>
  <c r="A499" i="1"/>
  <c r="B499" i="1"/>
  <c r="C499" i="1"/>
  <c r="G499" i="1"/>
  <c r="H499" i="1"/>
  <c r="I499" i="1"/>
  <c r="J499" i="1"/>
  <c r="K499" i="1"/>
  <c r="M499" i="1"/>
  <c r="N499" i="1"/>
  <c r="P499" i="1"/>
  <c r="Q499" i="1"/>
  <c r="R499" i="1"/>
  <c r="S499" i="1"/>
  <c r="T499" i="1"/>
  <c r="Z499" i="1"/>
  <c r="AL499" i="1"/>
  <c r="A500" i="1"/>
  <c r="B500" i="1"/>
  <c r="C500" i="1"/>
  <c r="G500" i="1"/>
  <c r="H500" i="1"/>
  <c r="I500" i="1"/>
  <c r="J500" i="1"/>
  <c r="K500" i="1"/>
  <c r="M500" i="1"/>
  <c r="N500" i="1"/>
  <c r="P500" i="1"/>
  <c r="Q500" i="1"/>
  <c r="R500" i="1"/>
  <c r="S500" i="1"/>
  <c r="T500" i="1"/>
  <c r="Z500" i="1"/>
  <c r="AL500" i="1"/>
  <c r="A501" i="1"/>
  <c r="B501" i="1"/>
  <c r="C501" i="1"/>
  <c r="G501" i="1"/>
  <c r="H501" i="1"/>
  <c r="I501" i="1"/>
  <c r="J501" i="1"/>
  <c r="K501" i="1"/>
  <c r="M501" i="1"/>
  <c r="N501" i="1"/>
  <c r="P501" i="1"/>
  <c r="Q501" i="1"/>
  <c r="R501" i="1"/>
  <c r="S501" i="1"/>
  <c r="T501" i="1"/>
  <c r="Z501" i="1"/>
  <c r="AL501" i="1"/>
  <c r="A502" i="1"/>
  <c r="B502" i="1"/>
  <c r="C502" i="1"/>
  <c r="G502" i="1"/>
  <c r="H502" i="1"/>
  <c r="I502" i="1"/>
  <c r="J502" i="1"/>
  <c r="K502" i="1"/>
  <c r="M502" i="1"/>
  <c r="N502" i="1"/>
  <c r="P502" i="1"/>
  <c r="Q502" i="1"/>
  <c r="R502" i="1"/>
  <c r="S502" i="1"/>
  <c r="T502" i="1"/>
  <c r="Z502" i="1"/>
  <c r="AL502" i="1"/>
  <c r="A503" i="1"/>
  <c r="B503" i="1"/>
  <c r="C503" i="1"/>
  <c r="G503" i="1"/>
  <c r="H503" i="1"/>
  <c r="I503" i="1"/>
  <c r="J503" i="1"/>
  <c r="K503" i="1"/>
  <c r="M503" i="1"/>
  <c r="N503" i="1"/>
  <c r="P503" i="1"/>
  <c r="Q503" i="1"/>
  <c r="R503" i="1"/>
  <c r="S503" i="1"/>
  <c r="T503" i="1"/>
  <c r="Z503" i="1"/>
  <c r="AL503" i="1"/>
  <c r="A504" i="1"/>
  <c r="B504" i="1"/>
  <c r="C504" i="1"/>
  <c r="G504" i="1"/>
  <c r="H504" i="1"/>
  <c r="I504" i="1"/>
  <c r="J504" i="1"/>
  <c r="K504" i="1"/>
  <c r="M504" i="1"/>
  <c r="N504" i="1"/>
  <c r="P504" i="1"/>
  <c r="Q504" i="1"/>
  <c r="R504" i="1"/>
  <c r="S504" i="1"/>
  <c r="T504" i="1"/>
  <c r="Z504" i="1"/>
  <c r="AL504" i="1"/>
  <c r="A505" i="1"/>
  <c r="B505" i="1"/>
  <c r="C505" i="1"/>
  <c r="G505" i="1"/>
  <c r="H505" i="1"/>
  <c r="I505" i="1"/>
  <c r="J505" i="1"/>
  <c r="K505" i="1"/>
  <c r="M505" i="1"/>
  <c r="N505" i="1"/>
  <c r="P505" i="1"/>
  <c r="Q505" i="1"/>
  <c r="R505" i="1"/>
  <c r="S505" i="1"/>
  <c r="T505" i="1"/>
  <c r="Z505" i="1"/>
  <c r="AL505" i="1"/>
  <c r="A506" i="1"/>
  <c r="B506" i="1"/>
  <c r="C506" i="1"/>
  <c r="G506" i="1"/>
  <c r="H506" i="1"/>
  <c r="I506" i="1"/>
  <c r="J506" i="1"/>
  <c r="K506" i="1"/>
  <c r="M506" i="1"/>
  <c r="N506" i="1"/>
  <c r="P506" i="1"/>
  <c r="Q506" i="1"/>
  <c r="R506" i="1"/>
  <c r="S506" i="1"/>
  <c r="T506" i="1"/>
  <c r="Z506" i="1"/>
  <c r="AL506" i="1"/>
  <c r="A507" i="1"/>
  <c r="B507" i="1"/>
  <c r="C507" i="1"/>
  <c r="G507" i="1"/>
  <c r="H507" i="1"/>
  <c r="I507" i="1"/>
  <c r="J507" i="1"/>
  <c r="K507" i="1"/>
  <c r="M507" i="1"/>
  <c r="N507" i="1"/>
  <c r="P507" i="1"/>
  <c r="Q507" i="1"/>
  <c r="R507" i="1"/>
  <c r="S507" i="1"/>
  <c r="T507" i="1"/>
  <c r="Z507" i="1"/>
  <c r="AL507" i="1"/>
  <c r="A508" i="1"/>
  <c r="B508" i="1"/>
  <c r="C508" i="1"/>
  <c r="G508" i="1"/>
  <c r="H508" i="1"/>
  <c r="I508" i="1"/>
  <c r="J508" i="1"/>
  <c r="K508" i="1"/>
  <c r="M508" i="1"/>
  <c r="N508" i="1"/>
  <c r="P508" i="1"/>
  <c r="Q508" i="1"/>
  <c r="R508" i="1"/>
  <c r="S508" i="1"/>
  <c r="T508" i="1"/>
  <c r="Z508" i="1"/>
  <c r="AL508" i="1"/>
  <c r="A509" i="1"/>
  <c r="B509" i="1"/>
  <c r="C509" i="1"/>
  <c r="G509" i="1"/>
  <c r="H509" i="1"/>
  <c r="I509" i="1"/>
  <c r="J509" i="1"/>
  <c r="K509" i="1"/>
  <c r="M509" i="1"/>
  <c r="N509" i="1"/>
  <c r="P509" i="1"/>
  <c r="Q509" i="1"/>
  <c r="R509" i="1"/>
  <c r="S509" i="1"/>
  <c r="T509" i="1"/>
  <c r="Z509" i="1"/>
  <c r="AL509" i="1"/>
  <c r="A510" i="1"/>
  <c r="B510" i="1"/>
  <c r="C510" i="1"/>
  <c r="G510" i="1"/>
  <c r="H510" i="1"/>
  <c r="I510" i="1"/>
  <c r="J510" i="1"/>
  <c r="K510" i="1"/>
  <c r="M510" i="1"/>
  <c r="N510" i="1"/>
  <c r="P510" i="1"/>
  <c r="Q510" i="1"/>
  <c r="R510" i="1"/>
  <c r="S510" i="1"/>
  <c r="T510" i="1"/>
  <c r="Z510" i="1"/>
  <c r="AL510" i="1"/>
  <c r="A511" i="1"/>
  <c r="B511" i="1"/>
  <c r="C511" i="1"/>
  <c r="G511" i="1"/>
  <c r="H511" i="1"/>
  <c r="I511" i="1"/>
  <c r="J511" i="1"/>
  <c r="K511" i="1"/>
  <c r="M511" i="1"/>
  <c r="N511" i="1"/>
  <c r="P511" i="1"/>
  <c r="Q511" i="1"/>
  <c r="R511" i="1"/>
  <c r="S511" i="1"/>
  <c r="T511" i="1"/>
  <c r="Z511" i="1"/>
  <c r="AL511" i="1"/>
  <c r="A512" i="1"/>
  <c r="B512" i="1"/>
  <c r="C512" i="1"/>
  <c r="G512" i="1"/>
  <c r="H512" i="1"/>
  <c r="I512" i="1"/>
  <c r="J512" i="1"/>
  <c r="K512" i="1"/>
  <c r="M512" i="1"/>
  <c r="N512" i="1"/>
  <c r="P512" i="1"/>
  <c r="Q512" i="1"/>
  <c r="R512" i="1"/>
  <c r="S512" i="1"/>
  <c r="T512" i="1"/>
  <c r="Z512" i="1"/>
  <c r="AL512" i="1"/>
  <c r="A513" i="1"/>
  <c r="B513" i="1"/>
  <c r="C513" i="1"/>
  <c r="G513" i="1"/>
  <c r="H513" i="1"/>
  <c r="I513" i="1"/>
  <c r="J513" i="1"/>
  <c r="K513" i="1"/>
  <c r="M513" i="1"/>
  <c r="N513" i="1"/>
  <c r="P513" i="1"/>
  <c r="Q513" i="1"/>
  <c r="R513" i="1"/>
  <c r="S513" i="1"/>
  <c r="T513" i="1"/>
  <c r="Z513" i="1"/>
  <c r="AL513" i="1"/>
  <c r="A514" i="1"/>
  <c r="B514" i="1"/>
  <c r="C514" i="1"/>
  <c r="G514" i="1"/>
  <c r="H514" i="1"/>
  <c r="I514" i="1"/>
  <c r="J514" i="1"/>
  <c r="K514" i="1"/>
  <c r="M514" i="1"/>
  <c r="N514" i="1"/>
  <c r="P514" i="1"/>
  <c r="Q514" i="1"/>
  <c r="R514" i="1"/>
  <c r="S514" i="1"/>
  <c r="T514" i="1"/>
  <c r="Z514" i="1"/>
  <c r="AL514" i="1"/>
  <c r="A515" i="1"/>
  <c r="B515" i="1"/>
  <c r="C515" i="1"/>
  <c r="G515" i="1"/>
  <c r="H515" i="1"/>
  <c r="I515" i="1"/>
  <c r="J515" i="1"/>
  <c r="K515" i="1"/>
  <c r="M515" i="1"/>
  <c r="N515" i="1"/>
  <c r="P515" i="1"/>
  <c r="Q515" i="1"/>
  <c r="R515" i="1"/>
  <c r="S515" i="1"/>
  <c r="T515" i="1"/>
  <c r="Z515" i="1"/>
  <c r="AL515" i="1"/>
  <c r="A516" i="1"/>
  <c r="B516" i="1"/>
  <c r="C516" i="1"/>
  <c r="G516" i="1"/>
  <c r="H516" i="1"/>
  <c r="I516" i="1"/>
  <c r="J516" i="1"/>
  <c r="K516" i="1"/>
  <c r="M516" i="1"/>
  <c r="N516" i="1"/>
  <c r="P516" i="1"/>
  <c r="Q516" i="1"/>
  <c r="R516" i="1"/>
  <c r="S516" i="1"/>
  <c r="T516" i="1"/>
  <c r="Z516" i="1"/>
  <c r="AL516" i="1"/>
  <c r="A517" i="1"/>
  <c r="B517" i="1"/>
  <c r="C517" i="1"/>
  <c r="G517" i="1"/>
  <c r="H517" i="1"/>
  <c r="I517" i="1"/>
  <c r="J517" i="1"/>
  <c r="K517" i="1"/>
  <c r="M517" i="1"/>
  <c r="N517" i="1"/>
  <c r="P517" i="1"/>
  <c r="Q517" i="1"/>
  <c r="R517" i="1"/>
  <c r="S517" i="1"/>
  <c r="T517" i="1"/>
  <c r="Z517" i="1"/>
  <c r="AL517" i="1"/>
  <c r="A518" i="1"/>
  <c r="B518" i="1"/>
  <c r="C518" i="1"/>
  <c r="G518" i="1"/>
  <c r="H518" i="1"/>
  <c r="I518" i="1"/>
  <c r="J518" i="1"/>
  <c r="K518" i="1"/>
  <c r="P518" i="1"/>
  <c r="Q518" i="1"/>
  <c r="R518" i="1"/>
  <c r="S518" i="1"/>
  <c r="T518" i="1"/>
  <c r="Z518" i="1"/>
  <c r="AL518" i="1"/>
  <c r="A519" i="1"/>
  <c r="B519" i="1"/>
  <c r="C519" i="1"/>
  <c r="G519" i="1"/>
  <c r="H519" i="1"/>
  <c r="I519" i="1"/>
  <c r="J519" i="1"/>
  <c r="K519" i="1"/>
  <c r="M519" i="1"/>
  <c r="N519" i="1"/>
  <c r="P519" i="1"/>
  <c r="Q519" i="1"/>
  <c r="R519" i="1"/>
  <c r="S519" i="1"/>
  <c r="T519" i="1"/>
  <c r="Z519" i="1"/>
  <c r="AL519" i="1"/>
  <c r="A520" i="1"/>
  <c r="B520" i="1"/>
  <c r="C520" i="1"/>
  <c r="G520" i="1"/>
  <c r="H520" i="1"/>
  <c r="I520" i="1"/>
  <c r="J520" i="1"/>
  <c r="K520" i="1"/>
  <c r="M520" i="1"/>
  <c r="N520" i="1"/>
  <c r="P520" i="1"/>
  <c r="Q520" i="1"/>
  <c r="R520" i="1"/>
  <c r="S520" i="1"/>
  <c r="T520" i="1"/>
  <c r="Z520" i="1"/>
  <c r="AL520" i="1"/>
  <c r="A521" i="1"/>
  <c r="B521" i="1"/>
  <c r="C521" i="1"/>
  <c r="G521" i="1"/>
  <c r="H521" i="1"/>
  <c r="I521" i="1"/>
  <c r="J521" i="1"/>
  <c r="K521" i="1"/>
  <c r="M521" i="1"/>
  <c r="N521" i="1"/>
  <c r="P521" i="1"/>
  <c r="Q521" i="1"/>
  <c r="R521" i="1"/>
  <c r="S521" i="1"/>
  <c r="T521" i="1"/>
  <c r="Z521" i="1"/>
  <c r="AL521" i="1"/>
  <c r="A522" i="1"/>
  <c r="B522" i="1"/>
  <c r="C522" i="1"/>
  <c r="G522" i="1"/>
  <c r="H522" i="1"/>
  <c r="I522" i="1"/>
  <c r="J522" i="1"/>
  <c r="K522" i="1"/>
  <c r="M522" i="1"/>
  <c r="N522" i="1"/>
  <c r="P522" i="1"/>
  <c r="Q522" i="1"/>
  <c r="R522" i="1"/>
  <c r="S522" i="1"/>
  <c r="T522" i="1"/>
  <c r="Z522" i="1"/>
  <c r="AL522" i="1"/>
  <c r="A523" i="1"/>
  <c r="B523" i="1"/>
  <c r="C523" i="1"/>
  <c r="G523" i="1"/>
  <c r="H523" i="1"/>
  <c r="I523" i="1"/>
  <c r="J523" i="1"/>
  <c r="K523" i="1"/>
  <c r="M523" i="1"/>
  <c r="N523" i="1"/>
  <c r="P523" i="1"/>
  <c r="Q523" i="1"/>
  <c r="R523" i="1"/>
  <c r="S523" i="1"/>
  <c r="T523" i="1"/>
  <c r="Z523" i="1"/>
  <c r="AL523" i="1"/>
  <c r="A524" i="1"/>
  <c r="B524" i="1"/>
  <c r="C524" i="1"/>
  <c r="G524" i="1"/>
  <c r="H524" i="1"/>
  <c r="I524" i="1"/>
  <c r="J524" i="1"/>
  <c r="K524" i="1"/>
  <c r="M524" i="1"/>
  <c r="N524" i="1"/>
  <c r="P524" i="1"/>
  <c r="Q524" i="1"/>
  <c r="R524" i="1"/>
  <c r="S524" i="1"/>
  <c r="T524" i="1"/>
  <c r="Z524" i="1"/>
  <c r="AL524" i="1"/>
  <c r="A525" i="1"/>
  <c r="B525" i="1"/>
  <c r="C525" i="1"/>
  <c r="G525" i="1"/>
  <c r="H525" i="1"/>
  <c r="I525" i="1"/>
  <c r="J525" i="1"/>
  <c r="K525" i="1"/>
  <c r="M525" i="1"/>
  <c r="N525" i="1"/>
  <c r="P525" i="1"/>
  <c r="Q525" i="1"/>
  <c r="R525" i="1"/>
  <c r="S525" i="1"/>
  <c r="T525" i="1"/>
  <c r="Z525" i="1"/>
  <c r="AL525" i="1"/>
  <c r="A526" i="1"/>
  <c r="B526" i="1"/>
  <c r="C526" i="1"/>
  <c r="G526" i="1"/>
  <c r="H526" i="1"/>
  <c r="I526" i="1"/>
  <c r="J526" i="1"/>
  <c r="K526" i="1"/>
  <c r="M526" i="1"/>
  <c r="N526" i="1"/>
  <c r="P526" i="1"/>
  <c r="Q526" i="1"/>
  <c r="R526" i="1"/>
  <c r="S526" i="1"/>
  <c r="T526" i="1"/>
  <c r="Z526" i="1"/>
  <c r="AL526" i="1"/>
  <c r="A527" i="1"/>
  <c r="B527" i="1"/>
  <c r="C527" i="1"/>
  <c r="G527" i="1"/>
  <c r="H527" i="1"/>
  <c r="I527" i="1"/>
  <c r="J527" i="1"/>
  <c r="K527" i="1"/>
  <c r="M527" i="1"/>
  <c r="N527" i="1"/>
  <c r="P527" i="1"/>
  <c r="Q527" i="1"/>
  <c r="R527" i="1"/>
  <c r="S527" i="1"/>
  <c r="T527" i="1"/>
  <c r="Z527" i="1"/>
  <c r="AL527" i="1"/>
  <c r="A528" i="1"/>
  <c r="B528" i="1"/>
  <c r="C528" i="1"/>
  <c r="G528" i="1"/>
  <c r="H528" i="1"/>
  <c r="I528" i="1"/>
  <c r="J528" i="1"/>
  <c r="K528" i="1"/>
  <c r="M528" i="1"/>
  <c r="N528" i="1"/>
  <c r="P528" i="1"/>
  <c r="Q528" i="1"/>
  <c r="R528" i="1"/>
  <c r="S528" i="1"/>
  <c r="T528" i="1"/>
  <c r="Z528" i="1"/>
  <c r="AL528" i="1"/>
  <c r="A529" i="1"/>
  <c r="B529" i="1"/>
  <c r="C529" i="1"/>
  <c r="G529" i="1"/>
  <c r="H529" i="1"/>
  <c r="I529" i="1"/>
  <c r="J529" i="1"/>
  <c r="K529" i="1"/>
  <c r="M529" i="1"/>
  <c r="N529" i="1"/>
  <c r="P529" i="1"/>
  <c r="Q529" i="1"/>
  <c r="R529" i="1"/>
  <c r="S529" i="1"/>
  <c r="T529" i="1"/>
  <c r="Z529" i="1"/>
  <c r="AL529" i="1"/>
  <c r="A530" i="1"/>
  <c r="B530" i="1"/>
  <c r="C530" i="1"/>
  <c r="G530" i="1"/>
  <c r="H530" i="1"/>
  <c r="I530" i="1"/>
  <c r="J530" i="1"/>
  <c r="K530" i="1"/>
  <c r="M530" i="1"/>
  <c r="N530" i="1"/>
  <c r="P530" i="1"/>
  <c r="Q530" i="1"/>
  <c r="R530" i="1"/>
  <c r="S530" i="1"/>
  <c r="T530" i="1"/>
  <c r="Z530" i="1"/>
  <c r="AL530" i="1"/>
  <c r="A531" i="1"/>
  <c r="B531" i="1"/>
  <c r="C531" i="1"/>
  <c r="G531" i="1"/>
  <c r="H531" i="1"/>
  <c r="I531" i="1"/>
  <c r="J531" i="1"/>
  <c r="K531" i="1"/>
  <c r="M531" i="1"/>
  <c r="N531" i="1"/>
  <c r="P531" i="1"/>
  <c r="Q531" i="1"/>
  <c r="R531" i="1"/>
  <c r="S531" i="1"/>
  <c r="T531" i="1"/>
  <c r="Z531" i="1"/>
  <c r="AL531" i="1"/>
  <c r="A532" i="1"/>
  <c r="B532" i="1"/>
  <c r="C532" i="1"/>
  <c r="G532" i="1"/>
  <c r="H532" i="1"/>
  <c r="I532" i="1"/>
  <c r="J532" i="1"/>
  <c r="K532" i="1"/>
  <c r="M532" i="1"/>
  <c r="N532" i="1"/>
  <c r="P532" i="1"/>
  <c r="Q532" i="1"/>
  <c r="R532" i="1"/>
  <c r="S532" i="1"/>
  <c r="T532" i="1"/>
  <c r="Z532" i="1"/>
  <c r="AL532" i="1"/>
  <c r="A533" i="1"/>
  <c r="B533" i="1"/>
  <c r="C533" i="1"/>
  <c r="G533" i="1"/>
  <c r="H533" i="1"/>
  <c r="I533" i="1"/>
  <c r="J533" i="1"/>
  <c r="K533" i="1"/>
  <c r="M533" i="1"/>
  <c r="N533" i="1"/>
  <c r="P533" i="1"/>
  <c r="Q533" i="1"/>
  <c r="R533" i="1"/>
  <c r="S533" i="1"/>
  <c r="T533" i="1"/>
  <c r="Z533" i="1"/>
  <c r="AL533" i="1"/>
  <c r="A534" i="1"/>
  <c r="B534" i="1"/>
  <c r="C534" i="1"/>
  <c r="G534" i="1"/>
  <c r="H534" i="1"/>
  <c r="I534" i="1"/>
  <c r="J534" i="1"/>
  <c r="K534" i="1"/>
  <c r="M534" i="1"/>
  <c r="N534" i="1"/>
  <c r="P534" i="1"/>
  <c r="Q534" i="1"/>
  <c r="R534" i="1"/>
  <c r="S534" i="1"/>
  <c r="T534" i="1"/>
  <c r="Z534" i="1"/>
  <c r="AL534" i="1"/>
  <c r="A535" i="1"/>
  <c r="B535" i="1"/>
  <c r="C535" i="1"/>
  <c r="G535" i="1"/>
  <c r="H535" i="1"/>
  <c r="I535" i="1"/>
  <c r="J535" i="1"/>
  <c r="K535" i="1"/>
  <c r="M535" i="1"/>
  <c r="N535" i="1"/>
  <c r="P535" i="1"/>
  <c r="Q535" i="1"/>
  <c r="R535" i="1"/>
  <c r="S535" i="1"/>
  <c r="T535" i="1"/>
  <c r="Z535" i="1"/>
  <c r="AL535" i="1"/>
  <c r="A536" i="1"/>
  <c r="B536" i="1"/>
  <c r="C536" i="1"/>
  <c r="G536" i="1"/>
  <c r="H536" i="1"/>
  <c r="I536" i="1"/>
  <c r="J536" i="1"/>
  <c r="K536" i="1"/>
  <c r="M536" i="1"/>
  <c r="N536" i="1"/>
  <c r="P536" i="1"/>
  <c r="Q536" i="1"/>
  <c r="R536" i="1"/>
  <c r="S536" i="1"/>
  <c r="T536" i="1"/>
  <c r="Z536" i="1"/>
  <c r="AL536" i="1"/>
  <c r="A537" i="1"/>
  <c r="B537" i="1"/>
  <c r="C537" i="1"/>
  <c r="G537" i="1"/>
  <c r="H537" i="1"/>
  <c r="I537" i="1"/>
  <c r="J537" i="1"/>
  <c r="K537" i="1"/>
  <c r="M537" i="1"/>
  <c r="N537" i="1"/>
  <c r="P537" i="1"/>
  <c r="Q537" i="1"/>
  <c r="R537" i="1"/>
  <c r="S537" i="1"/>
  <c r="T537" i="1"/>
  <c r="Z537" i="1"/>
  <c r="AL537" i="1"/>
  <c r="A538" i="1"/>
  <c r="B538" i="1"/>
  <c r="C538" i="1"/>
  <c r="G538" i="1"/>
  <c r="H538" i="1"/>
  <c r="I538" i="1"/>
  <c r="J538" i="1"/>
  <c r="K538" i="1"/>
  <c r="M538" i="1"/>
  <c r="N538" i="1"/>
  <c r="P538" i="1"/>
  <c r="Q538" i="1"/>
  <c r="R538" i="1"/>
  <c r="S538" i="1"/>
  <c r="T538" i="1"/>
  <c r="Z538" i="1"/>
  <c r="AL538" i="1"/>
  <c r="A539" i="1"/>
  <c r="B539" i="1"/>
  <c r="C539" i="1"/>
  <c r="G539" i="1"/>
  <c r="H539" i="1"/>
  <c r="I539" i="1"/>
  <c r="J539" i="1"/>
  <c r="K539" i="1"/>
  <c r="M539" i="1"/>
  <c r="N539" i="1"/>
  <c r="P539" i="1"/>
  <c r="Q539" i="1"/>
  <c r="R539" i="1"/>
  <c r="S539" i="1"/>
  <c r="T539" i="1"/>
  <c r="Z539" i="1"/>
  <c r="AL539" i="1"/>
  <c r="A540" i="1"/>
  <c r="B540" i="1"/>
  <c r="C540" i="1"/>
  <c r="G540" i="1"/>
  <c r="H540" i="1"/>
  <c r="I540" i="1"/>
  <c r="J540" i="1"/>
  <c r="K540" i="1"/>
  <c r="M540" i="1"/>
  <c r="N540" i="1"/>
  <c r="P540" i="1"/>
  <c r="Q540" i="1"/>
  <c r="R540" i="1"/>
  <c r="S540" i="1"/>
  <c r="T540" i="1"/>
  <c r="Z540" i="1"/>
  <c r="AL540" i="1"/>
  <c r="A541" i="1"/>
  <c r="B541" i="1"/>
  <c r="C541" i="1"/>
  <c r="G541" i="1"/>
  <c r="H541" i="1"/>
  <c r="I541" i="1"/>
  <c r="J541" i="1"/>
  <c r="K541" i="1"/>
  <c r="M541" i="1"/>
  <c r="N541" i="1"/>
  <c r="P541" i="1"/>
  <c r="Q541" i="1"/>
  <c r="R541" i="1"/>
  <c r="S541" i="1"/>
  <c r="T541" i="1"/>
  <c r="Z541" i="1"/>
  <c r="AL541" i="1"/>
  <c r="A542" i="1"/>
  <c r="B542" i="1"/>
  <c r="C542" i="1"/>
  <c r="G542" i="1"/>
  <c r="H542" i="1"/>
  <c r="I542" i="1"/>
  <c r="J542" i="1"/>
  <c r="K542" i="1"/>
  <c r="M542" i="1"/>
  <c r="N542" i="1"/>
  <c r="P542" i="1"/>
  <c r="Q542" i="1"/>
  <c r="R542" i="1"/>
  <c r="S542" i="1"/>
  <c r="T542" i="1"/>
  <c r="Z542" i="1"/>
  <c r="AL542" i="1"/>
  <c r="A543" i="1"/>
  <c r="B543" i="1"/>
  <c r="C543" i="1"/>
  <c r="G543" i="1"/>
  <c r="H543" i="1"/>
  <c r="I543" i="1"/>
  <c r="J543" i="1"/>
  <c r="K543" i="1"/>
  <c r="M543" i="1"/>
  <c r="N543" i="1"/>
  <c r="P543" i="1"/>
  <c r="Q543" i="1"/>
  <c r="R543" i="1"/>
  <c r="S543" i="1"/>
  <c r="T543" i="1"/>
  <c r="Z543" i="1"/>
  <c r="AL543" i="1"/>
  <c r="A544" i="1"/>
  <c r="B544" i="1"/>
  <c r="C544" i="1"/>
  <c r="G544" i="1"/>
  <c r="H544" i="1"/>
  <c r="I544" i="1"/>
  <c r="J544" i="1"/>
  <c r="K544" i="1"/>
  <c r="M544" i="1"/>
  <c r="N544" i="1"/>
  <c r="P544" i="1"/>
  <c r="Q544" i="1"/>
  <c r="R544" i="1"/>
  <c r="S544" i="1"/>
  <c r="T544" i="1"/>
  <c r="Z544" i="1"/>
  <c r="AL544" i="1"/>
  <c r="A545" i="1"/>
  <c r="B545" i="1"/>
  <c r="C545" i="1"/>
  <c r="G545" i="1"/>
  <c r="H545" i="1"/>
  <c r="I545" i="1"/>
  <c r="J545" i="1"/>
  <c r="K545" i="1"/>
  <c r="M545" i="1"/>
  <c r="N545" i="1"/>
  <c r="P545" i="1"/>
  <c r="Q545" i="1"/>
  <c r="R545" i="1"/>
  <c r="S545" i="1"/>
  <c r="T545" i="1"/>
  <c r="Z545" i="1"/>
  <c r="AL545" i="1"/>
  <c r="A546" i="1"/>
  <c r="B546" i="1"/>
  <c r="C546" i="1"/>
  <c r="G546" i="1"/>
  <c r="H546" i="1"/>
  <c r="I546" i="1"/>
  <c r="J546" i="1"/>
  <c r="K546" i="1"/>
  <c r="M546" i="1"/>
  <c r="N546" i="1"/>
  <c r="P546" i="1"/>
  <c r="Q546" i="1"/>
  <c r="R546" i="1"/>
  <c r="S546" i="1"/>
  <c r="T546" i="1"/>
  <c r="Z546" i="1"/>
  <c r="AL546" i="1"/>
  <c r="A547" i="1"/>
  <c r="B547" i="1"/>
  <c r="C547" i="1"/>
  <c r="G547" i="1"/>
  <c r="H547" i="1"/>
  <c r="I547" i="1"/>
  <c r="J547" i="1"/>
  <c r="K547" i="1"/>
  <c r="M547" i="1"/>
  <c r="N547" i="1"/>
  <c r="P547" i="1"/>
  <c r="Q547" i="1"/>
  <c r="R547" i="1"/>
  <c r="S547" i="1"/>
  <c r="T547" i="1"/>
  <c r="Z547" i="1"/>
  <c r="AL547" i="1"/>
  <c r="A548" i="1"/>
  <c r="B548" i="1"/>
  <c r="C548" i="1"/>
  <c r="G548" i="1"/>
  <c r="H548" i="1"/>
  <c r="I548" i="1"/>
  <c r="J548" i="1"/>
  <c r="K548" i="1"/>
  <c r="M548" i="1"/>
  <c r="N548" i="1"/>
  <c r="P548" i="1"/>
  <c r="Q548" i="1"/>
  <c r="R548" i="1"/>
  <c r="S548" i="1"/>
  <c r="T548" i="1"/>
  <c r="Z548" i="1"/>
  <c r="AL548" i="1"/>
  <c r="A549" i="1"/>
  <c r="B549" i="1"/>
  <c r="C549" i="1"/>
  <c r="G549" i="1"/>
  <c r="H549" i="1"/>
  <c r="I549" i="1"/>
  <c r="J549" i="1"/>
  <c r="K549" i="1"/>
  <c r="M549" i="1"/>
  <c r="N549" i="1"/>
  <c r="P549" i="1"/>
  <c r="Q549" i="1"/>
  <c r="R549" i="1"/>
  <c r="S549" i="1"/>
  <c r="T549" i="1"/>
  <c r="Z549" i="1"/>
  <c r="AL549" i="1"/>
  <c r="A550" i="1"/>
  <c r="B550" i="1"/>
  <c r="C550" i="1"/>
  <c r="G550" i="1"/>
  <c r="H550" i="1"/>
  <c r="I550" i="1"/>
  <c r="J550" i="1"/>
  <c r="K550" i="1"/>
  <c r="M550" i="1"/>
  <c r="N550" i="1"/>
  <c r="P550" i="1"/>
  <c r="Q550" i="1"/>
  <c r="R550" i="1"/>
  <c r="S550" i="1"/>
  <c r="T550" i="1"/>
  <c r="Z550" i="1"/>
  <c r="AL550" i="1"/>
  <c r="A551" i="1"/>
  <c r="B551" i="1"/>
  <c r="C551" i="1"/>
  <c r="G551" i="1"/>
  <c r="H551" i="1"/>
  <c r="I551" i="1"/>
  <c r="J551" i="1"/>
  <c r="K551" i="1"/>
  <c r="M551" i="1"/>
  <c r="N551" i="1"/>
  <c r="P551" i="1"/>
  <c r="Q551" i="1"/>
  <c r="R551" i="1"/>
  <c r="S551" i="1"/>
  <c r="T551" i="1"/>
  <c r="Z551" i="1"/>
  <c r="AL551" i="1"/>
  <c r="A552" i="1"/>
  <c r="B552" i="1"/>
  <c r="C552" i="1"/>
  <c r="G552" i="1"/>
  <c r="H552" i="1"/>
  <c r="I552" i="1"/>
  <c r="J552" i="1"/>
  <c r="K552" i="1"/>
  <c r="M552" i="1"/>
  <c r="N552" i="1"/>
  <c r="P552" i="1"/>
  <c r="Q552" i="1"/>
  <c r="R552" i="1"/>
  <c r="S552" i="1"/>
  <c r="T552" i="1"/>
  <c r="Z552" i="1"/>
  <c r="AL552" i="1"/>
  <c r="A553" i="1"/>
  <c r="B553" i="1"/>
  <c r="C553" i="1"/>
  <c r="G553" i="1"/>
  <c r="H553" i="1"/>
  <c r="I553" i="1"/>
  <c r="J553" i="1"/>
  <c r="K553" i="1"/>
  <c r="M553" i="1"/>
  <c r="N553" i="1"/>
  <c r="P553" i="1"/>
  <c r="Q553" i="1"/>
  <c r="R553" i="1"/>
  <c r="S553" i="1"/>
  <c r="T553" i="1"/>
  <c r="Z553" i="1"/>
  <c r="AL553" i="1"/>
  <c r="A554" i="1"/>
  <c r="B554" i="1"/>
  <c r="C554" i="1"/>
  <c r="G554" i="1"/>
  <c r="H554" i="1"/>
  <c r="I554" i="1"/>
  <c r="J554" i="1"/>
  <c r="K554" i="1"/>
  <c r="M554" i="1"/>
  <c r="N554" i="1"/>
  <c r="P554" i="1"/>
  <c r="Q554" i="1"/>
  <c r="R554" i="1"/>
  <c r="S554" i="1"/>
  <c r="T554" i="1"/>
  <c r="Z554" i="1"/>
  <c r="AL554" i="1"/>
  <c r="A555" i="1"/>
  <c r="B555" i="1"/>
  <c r="C555" i="1"/>
  <c r="G555" i="1"/>
  <c r="H555" i="1"/>
  <c r="I555" i="1"/>
  <c r="J555" i="1"/>
  <c r="K555" i="1"/>
  <c r="M555" i="1"/>
  <c r="N555" i="1"/>
  <c r="P555" i="1"/>
  <c r="Q555" i="1"/>
  <c r="R555" i="1"/>
  <c r="S555" i="1"/>
  <c r="T555" i="1"/>
  <c r="Z555" i="1"/>
  <c r="AL555" i="1"/>
  <c r="A556" i="1"/>
  <c r="B556" i="1"/>
  <c r="C556" i="1"/>
  <c r="G556" i="1"/>
  <c r="H556" i="1"/>
  <c r="I556" i="1"/>
  <c r="J556" i="1"/>
  <c r="K556" i="1"/>
  <c r="M556" i="1"/>
  <c r="N556" i="1"/>
  <c r="P556" i="1"/>
  <c r="Q556" i="1"/>
  <c r="R556" i="1"/>
  <c r="S556" i="1"/>
  <c r="T556" i="1"/>
  <c r="Z556" i="1"/>
  <c r="AL556" i="1"/>
  <c r="A557" i="1"/>
  <c r="B557" i="1"/>
  <c r="C557" i="1"/>
  <c r="G557" i="1"/>
  <c r="H557" i="1"/>
  <c r="I557" i="1"/>
  <c r="J557" i="1"/>
  <c r="K557" i="1"/>
  <c r="M557" i="1"/>
  <c r="N557" i="1"/>
  <c r="P557" i="1"/>
  <c r="Q557" i="1"/>
  <c r="R557" i="1"/>
  <c r="S557" i="1"/>
  <c r="T557" i="1"/>
  <c r="Z557" i="1"/>
  <c r="AL557" i="1"/>
  <c r="A558" i="1"/>
  <c r="B558" i="1"/>
  <c r="C558" i="1"/>
  <c r="G558" i="1"/>
  <c r="H558" i="1"/>
  <c r="I558" i="1"/>
  <c r="J558" i="1"/>
  <c r="K558" i="1"/>
  <c r="M558" i="1"/>
  <c r="N558" i="1"/>
  <c r="P558" i="1"/>
  <c r="Q558" i="1"/>
  <c r="R558" i="1"/>
  <c r="S558" i="1"/>
  <c r="T558" i="1"/>
  <c r="Z558" i="1"/>
  <c r="AL558" i="1"/>
  <c r="A559" i="1"/>
  <c r="B559" i="1"/>
  <c r="C559" i="1"/>
  <c r="G559" i="1"/>
  <c r="H559" i="1"/>
  <c r="I559" i="1"/>
  <c r="J559" i="1"/>
  <c r="K559" i="1"/>
  <c r="M559" i="1"/>
  <c r="N559" i="1"/>
  <c r="P559" i="1"/>
  <c r="Q559" i="1"/>
  <c r="R559" i="1"/>
  <c r="S559" i="1"/>
  <c r="T559" i="1"/>
  <c r="Z559" i="1"/>
  <c r="AL559" i="1"/>
  <c r="A560" i="1"/>
  <c r="B560" i="1"/>
  <c r="C560" i="1"/>
  <c r="G560" i="1"/>
  <c r="H560" i="1"/>
  <c r="I560" i="1"/>
  <c r="J560" i="1"/>
  <c r="K560" i="1"/>
  <c r="M560" i="1"/>
  <c r="N560" i="1"/>
  <c r="P560" i="1"/>
  <c r="Q560" i="1"/>
  <c r="R560" i="1"/>
  <c r="S560" i="1"/>
  <c r="T560" i="1"/>
  <c r="Z560" i="1"/>
  <c r="AL560" i="1"/>
  <c r="A561" i="1"/>
  <c r="B561" i="1"/>
  <c r="C561" i="1"/>
  <c r="G561" i="1"/>
  <c r="H561" i="1"/>
  <c r="I561" i="1"/>
  <c r="J561" i="1"/>
  <c r="K561" i="1"/>
  <c r="M561" i="1"/>
  <c r="N561" i="1"/>
  <c r="P561" i="1"/>
  <c r="Q561" i="1"/>
  <c r="R561" i="1"/>
  <c r="S561" i="1"/>
  <c r="T561" i="1"/>
  <c r="Z561" i="1"/>
  <c r="AL561" i="1"/>
  <c r="A562" i="1"/>
  <c r="B562" i="1"/>
  <c r="C562" i="1"/>
  <c r="G562" i="1"/>
  <c r="H562" i="1"/>
  <c r="I562" i="1"/>
  <c r="J562" i="1"/>
  <c r="K562" i="1"/>
  <c r="M562" i="1"/>
  <c r="N562" i="1"/>
  <c r="P562" i="1"/>
  <c r="Q562" i="1"/>
  <c r="R562" i="1"/>
  <c r="S562" i="1"/>
  <c r="T562" i="1"/>
  <c r="Z562" i="1"/>
  <c r="AL562" i="1"/>
  <c r="A563" i="1"/>
  <c r="B563" i="1"/>
  <c r="C563" i="1"/>
  <c r="G563" i="1"/>
  <c r="H563" i="1"/>
  <c r="I563" i="1"/>
  <c r="J563" i="1"/>
  <c r="K563" i="1"/>
  <c r="M563" i="1"/>
  <c r="N563" i="1"/>
  <c r="P563" i="1"/>
  <c r="Q563" i="1"/>
  <c r="R563" i="1"/>
  <c r="S563" i="1"/>
  <c r="T563" i="1"/>
  <c r="Z563" i="1"/>
  <c r="AL563" i="1"/>
  <c r="A564" i="1"/>
  <c r="B564" i="1"/>
  <c r="C564" i="1"/>
  <c r="G564" i="1"/>
  <c r="H564" i="1"/>
  <c r="I564" i="1"/>
  <c r="J564" i="1"/>
  <c r="K564" i="1"/>
  <c r="M564" i="1"/>
  <c r="N564" i="1"/>
  <c r="P564" i="1"/>
  <c r="Q564" i="1"/>
  <c r="R564" i="1"/>
  <c r="S564" i="1"/>
  <c r="T564" i="1"/>
  <c r="Z564" i="1"/>
  <c r="AL564" i="1"/>
  <c r="A565" i="1"/>
  <c r="B565" i="1"/>
  <c r="C565" i="1"/>
  <c r="G565" i="1"/>
  <c r="H565" i="1"/>
  <c r="I565" i="1"/>
  <c r="J565" i="1"/>
  <c r="K565" i="1"/>
  <c r="M565" i="1"/>
  <c r="N565" i="1"/>
  <c r="P565" i="1"/>
  <c r="Q565" i="1"/>
  <c r="R565" i="1"/>
  <c r="S565" i="1"/>
  <c r="T565" i="1"/>
  <c r="Z565" i="1"/>
  <c r="AL565" i="1"/>
  <c r="A566" i="1"/>
  <c r="B566" i="1"/>
  <c r="C566" i="1"/>
  <c r="G566" i="1"/>
  <c r="H566" i="1"/>
  <c r="I566" i="1"/>
  <c r="J566" i="1"/>
  <c r="K566" i="1"/>
  <c r="P566" i="1"/>
  <c r="Q566" i="1"/>
  <c r="R566" i="1"/>
  <c r="S566" i="1"/>
  <c r="T566" i="1"/>
  <c r="Z566" i="1"/>
  <c r="AL566" i="1"/>
  <c r="A567" i="1"/>
  <c r="B567" i="1"/>
  <c r="C567" i="1"/>
  <c r="G567" i="1"/>
  <c r="H567" i="1"/>
  <c r="I567" i="1"/>
  <c r="J567" i="1"/>
  <c r="K567" i="1"/>
  <c r="M567" i="1"/>
  <c r="N567" i="1"/>
  <c r="P567" i="1"/>
  <c r="Q567" i="1"/>
  <c r="R567" i="1"/>
  <c r="S567" i="1"/>
  <c r="T567" i="1"/>
  <c r="Z567" i="1"/>
  <c r="AL567" i="1"/>
  <c r="A568" i="1"/>
  <c r="B568" i="1"/>
  <c r="C568" i="1"/>
  <c r="G568" i="1"/>
  <c r="H568" i="1"/>
  <c r="I568" i="1"/>
  <c r="J568" i="1"/>
  <c r="K568" i="1"/>
  <c r="M568" i="1"/>
  <c r="N568" i="1"/>
  <c r="P568" i="1"/>
  <c r="Q568" i="1"/>
  <c r="R568" i="1"/>
  <c r="S568" i="1"/>
  <c r="T568" i="1"/>
  <c r="Z568" i="1"/>
  <c r="AL568" i="1"/>
  <c r="A569" i="1"/>
  <c r="B569" i="1"/>
  <c r="C569" i="1"/>
  <c r="G569" i="1"/>
  <c r="H569" i="1"/>
  <c r="I569" i="1"/>
  <c r="J569" i="1"/>
  <c r="K569" i="1"/>
  <c r="M569" i="1"/>
  <c r="N569" i="1"/>
  <c r="P569" i="1"/>
  <c r="Q569" i="1"/>
  <c r="R569" i="1"/>
  <c r="S569" i="1"/>
  <c r="T569" i="1"/>
  <c r="Z569" i="1"/>
  <c r="AL569" i="1"/>
  <c r="A570" i="1"/>
  <c r="B570" i="1"/>
  <c r="C570" i="1"/>
  <c r="G570" i="1"/>
  <c r="H570" i="1"/>
  <c r="I570" i="1"/>
  <c r="J570" i="1"/>
  <c r="K570" i="1"/>
  <c r="M570" i="1"/>
  <c r="N570" i="1"/>
  <c r="P570" i="1"/>
  <c r="Q570" i="1"/>
  <c r="R570" i="1"/>
  <c r="S570" i="1"/>
  <c r="T570" i="1"/>
  <c r="Z570" i="1"/>
  <c r="AL570" i="1"/>
  <c r="A571" i="1"/>
  <c r="B571" i="1"/>
  <c r="C571" i="1"/>
  <c r="G571" i="1"/>
  <c r="H571" i="1"/>
  <c r="I571" i="1"/>
  <c r="J571" i="1"/>
  <c r="K571" i="1"/>
  <c r="M571" i="1"/>
  <c r="N571" i="1"/>
  <c r="P571" i="1"/>
  <c r="Q571" i="1"/>
  <c r="R571" i="1"/>
  <c r="S571" i="1"/>
  <c r="T571" i="1"/>
  <c r="Z571" i="1"/>
  <c r="AL571" i="1"/>
  <c r="A572" i="1"/>
  <c r="B572" i="1"/>
  <c r="C572" i="1"/>
  <c r="G572" i="1"/>
  <c r="H572" i="1"/>
  <c r="I572" i="1"/>
  <c r="J572" i="1"/>
  <c r="K572" i="1"/>
  <c r="M572" i="1"/>
  <c r="N572" i="1"/>
  <c r="P572" i="1"/>
  <c r="Q572" i="1"/>
  <c r="R572" i="1"/>
  <c r="S572" i="1"/>
  <c r="T572" i="1"/>
  <c r="Z572" i="1"/>
  <c r="AL572" i="1"/>
  <c r="A573" i="1"/>
  <c r="B573" i="1"/>
  <c r="C573" i="1"/>
  <c r="G573" i="1"/>
  <c r="H573" i="1"/>
  <c r="I573" i="1"/>
  <c r="J573" i="1"/>
  <c r="K573" i="1"/>
  <c r="M573" i="1"/>
  <c r="N573" i="1"/>
  <c r="P573" i="1"/>
  <c r="Q573" i="1"/>
  <c r="R573" i="1"/>
  <c r="S573" i="1"/>
  <c r="T573" i="1"/>
  <c r="Z573" i="1"/>
  <c r="AL573" i="1"/>
  <c r="A574" i="1"/>
  <c r="B574" i="1"/>
  <c r="C574" i="1"/>
  <c r="G574" i="1"/>
  <c r="H574" i="1"/>
  <c r="I574" i="1"/>
  <c r="J574" i="1"/>
  <c r="K574" i="1"/>
  <c r="M574" i="1"/>
  <c r="N574" i="1"/>
  <c r="P574" i="1"/>
  <c r="Q574" i="1"/>
  <c r="R574" i="1"/>
  <c r="S574" i="1"/>
  <c r="T574" i="1"/>
  <c r="Z574" i="1"/>
  <c r="AL574" i="1"/>
  <c r="A575" i="1"/>
  <c r="B575" i="1"/>
  <c r="C575" i="1"/>
  <c r="G575" i="1"/>
  <c r="H575" i="1"/>
  <c r="I575" i="1"/>
  <c r="J575" i="1"/>
  <c r="K575" i="1"/>
  <c r="M575" i="1"/>
  <c r="N575" i="1"/>
  <c r="P575" i="1"/>
  <c r="Q575" i="1"/>
  <c r="R575" i="1"/>
  <c r="S575" i="1"/>
  <c r="T575" i="1"/>
  <c r="Z575" i="1"/>
  <c r="AL575" i="1"/>
  <c r="A576" i="1"/>
  <c r="B576" i="1"/>
  <c r="C576" i="1"/>
  <c r="G576" i="1"/>
  <c r="H576" i="1"/>
  <c r="I576" i="1"/>
  <c r="J576" i="1"/>
  <c r="K576" i="1"/>
  <c r="M576" i="1"/>
  <c r="N576" i="1"/>
  <c r="P576" i="1"/>
  <c r="Q576" i="1"/>
  <c r="R576" i="1"/>
  <c r="S576" i="1"/>
  <c r="T576" i="1"/>
  <c r="Z576" i="1"/>
  <c r="AL576" i="1"/>
  <c r="A577" i="1"/>
  <c r="B577" i="1"/>
  <c r="C577" i="1"/>
  <c r="G577" i="1"/>
  <c r="H577" i="1"/>
  <c r="I577" i="1"/>
  <c r="J577" i="1"/>
  <c r="K577" i="1"/>
  <c r="M577" i="1"/>
  <c r="N577" i="1"/>
  <c r="P577" i="1"/>
  <c r="Q577" i="1"/>
  <c r="R577" i="1"/>
  <c r="S577" i="1"/>
  <c r="T577" i="1"/>
  <c r="Z577" i="1"/>
  <c r="AL577" i="1"/>
  <c r="A578" i="1"/>
  <c r="B578" i="1"/>
  <c r="C578" i="1"/>
  <c r="G578" i="1"/>
  <c r="H578" i="1"/>
  <c r="I578" i="1"/>
  <c r="J578" i="1"/>
  <c r="K578" i="1"/>
  <c r="M578" i="1"/>
  <c r="N578" i="1"/>
  <c r="P578" i="1"/>
  <c r="Q578" i="1"/>
  <c r="R578" i="1"/>
  <c r="S578" i="1"/>
  <c r="T578" i="1"/>
  <c r="Z578" i="1"/>
  <c r="AL578" i="1"/>
  <c r="A579" i="1"/>
  <c r="B579" i="1"/>
  <c r="C579" i="1"/>
  <c r="G579" i="1"/>
  <c r="H579" i="1"/>
  <c r="I579" i="1"/>
  <c r="J579" i="1"/>
  <c r="K579" i="1"/>
  <c r="M579" i="1"/>
  <c r="N579" i="1"/>
  <c r="P579" i="1"/>
  <c r="Q579" i="1"/>
  <c r="R579" i="1"/>
  <c r="S579" i="1"/>
  <c r="T579" i="1"/>
  <c r="Z579" i="1"/>
  <c r="AL579" i="1"/>
  <c r="A580" i="1"/>
  <c r="B580" i="1"/>
  <c r="C580" i="1"/>
  <c r="G580" i="1"/>
  <c r="H580" i="1"/>
  <c r="I580" i="1"/>
  <c r="J580" i="1"/>
  <c r="K580" i="1"/>
  <c r="M580" i="1"/>
  <c r="N580" i="1"/>
  <c r="P580" i="1"/>
  <c r="Q580" i="1"/>
  <c r="R580" i="1"/>
  <c r="S580" i="1"/>
  <c r="T580" i="1"/>
  <c r="Z580" i="1"/>
  <c r="AL580" i="1"/>
  <c r="A581" i="1"/>
  <c r="B581" i="1"/>
  <c r="C581" i="1"/>
  <c r="G581" i="1"/>
  <c r="H581" i="1"/>
  <c r="I581" i="1"/>
  <c r="J581" i="1"/>
  <c r="K581" i="1"/>
  <c r="M581" i="1"/>
  <c r="N581" i="1"/>
  <c r="P581" i="1"/>
  <c r="Q581" i="1"/>
  <c r="R581" i="1"/>
  <c r="S581" i="1"/>
  <c r="T581" i="1"/>
  <c r="Z581" i="1"/>
  <c r="AL581" i="1"/>
  <c r="A582" i="1"/>
  <c r="B582" i="1"/>
  <c r="C582" i="1"/>
  <c r="G582" i="1"/>
  <c r="H582" i="1"/>
  <c r="I582" i="1"/>
  <c r="J582" i="1"/>
  <c r="K582" i="1"/>
  <c r="M582" i="1"/>
  <c r="N582" i="1"/>
  <c r="P582" i="1"/>
  <c r="Q582" i="1"/>
  <c r="R582" i="1"/>
  <c r="S582" i="1"/>
  <c r="T582" i="1"/>
  <c r="Z582" i="1"/>
  <c r="AL582" i="1"/>
  <c r="A583" i="1"/>
  <c r="B583" i="1"/>
  <c r="C583" i="1"/>
  <c r="G583" i="1"/>
  <c r="H583" i="1"/>
  <c r="I583" i="1"/>
  <c r="J583" i="1"/>
  <c r="K583" i="1"/>
  <c r="M583" i="1"/>
  <c r="N583" i="1"/>
  <c r="P583" i="1"/>
  <c r="Q583" i="1"/>
  <c r="R583" i="1"/>
  <c r="S583" i="1"/>
  <c r="T583" i="1"/>
  <c r="Z583" i="1"/>
  <c r="AL583" i="1"/>
  <c r="A584" i="1"/>
  <c r="B584" i="1"/>
  <c r="C584" i="1"/>
  <c r="G584" i="1"/>
  <c r="H584" i="1"/>
  <c r="I584" i="1"/>
  <c r="J584" i="1"/>
  <c r="K584" i="1"/>
  <c r="M584" i="1"/>
  <c r="N584" i="1"/>
  <c r="P584" i="1"/>
  <c r="Q584" i="1"/>
  <c r="R584" i="1"/>
  <c r="S584" i="1"/>
  <c r="T584" i="1"/>
  <c r="Z584" i="1"/>
  <c r="AL584" i="1"/>
  <c r="A585" i="1"/>
  <c r="B585" i="1"/>
  <c r="C585" i="1"/>
  <c r="G585" i="1"/>
  <c r="H585" i="1"/>
  <c r="I585" i="1"/>
  <c r="J585" i="1"/>
  <c r="K585" i="1"/>
  <c r="M585" i="1"/>
  <c r="N585" i="1"/>
  <c r="P585" i="1"/>
  <c r="Q585" i="1"/>
  <c r="R585" i="1"/>
  <c r="S585" i="1"/>
  <c r="T585" i="1"/>
  <c r="Z585" i="1"/>
  <c r="AL585" i="1"/>
  <c r="A586" i="1"/>
  <c r="B586" i="1"/>
  <c r="C586" i="1"/>
  <c r="G586" i="1"/>
  <c r="H586" i="1"/>
  <c r="I586" i="1"/>
  <c r="J586" i="1"/>
  <c r="K586" i="1"/>
  <c r="M586" i="1"/>
  <c r="N586" i="1"/>
  <c r="P586" i="1"/>
  <c r="Q586" i="1"/>
  <c r="R586" i="1"/>
  <c r="S586" i="1"/>
  <c r="T586" i="1"/>
  <c r="Z586" i="1"/>
  <c r="AL586" i="1"/>
  <c r="A587" i="1"/>
  <c r="B587" i="1"/>
  <c r="C587" i="1"/>
  <c r="G587" i="1"/>
  <c r="H587" i="1"/>
  <c r="I587" i="1"/>
  <c r="J587" i="1"/>
  <c r="K587" i="1"/>
  <c r="M587" i="1"/>
  <c r="N587" i="1"/>
  <c r="P587" i="1"/>
  <c r="Q587" i="1"/>
  <c r="R587" i="1"/>
  <c r="S587" i="1"/>
  <c r="T587" i="1"/>
  <c r="Z587" i="1"/>
  <c r="AL587" i="1"/>
  <c r="A588" i="1"/>
  <c r="B588" i="1"/>
  <c r="C588" i="1"/>
  <c r="G588" i="1"/>
  <c r="H588" i="1"/>
  <c r="I588" i="1"/>
  <c r="J588" i="1"/>
  <c r="K588" i="1"/>
  <c r="M588" i="1"/>
  <c r="N588" i="1"/>
  <c r="P588" i="1"/>
  <c r="Q588" i="1"/>
  <c r="R588" i="1"/>
  <c r="S588" i="1"/>
  <c r="T588" i="1"/>
  <c r="Z588" i="1"/>
  <c r="AL588" i="1"/>
  <c r="A589" i="1"/>
  <c r="B589" i="1"/>
  <c r="C589" i="1"/>
  <c r="G589" i="1"/>
  <c r="H589" i="1"/>
  <c r="I589" i="1"/>
  <c r="J589" i="1"/>
  <c r="K589" i="1"/>
  <c r="M589" i="1"/>
  <c r="N589" i="1"/>
  <c r="P589" i="1"/>
  <c r="Q589" i="1"/>
  <c r="R589" i="1"/>
  <c r="S589" i="1"/>
  <c r="T589" i="1"/>
  <c r="Z589" i="1"/>
  <c r="AL589" i="1"/>
  <c r="A590" i="1"/>
  <c r="B590" i="1"/>
  <c r="C590" i="1"/>
  <c r="G590" i="1"/>
  <c r="H590" i="1"/>
  <c r="I590" i="1"/>
  <c r="J590" i="1"/>
  <c r="K590" i="1"/>
  <c r="M590" i="1"/>
  <c r="N590" i="1"/>
  <c r="P590" i="1"/>
  <c r="Q590" i="1"/>
  <c r="R590" i="1"/>
  <c r="S590" i="1"/>
  <c r="T590" i="1"/>
  <c r="Z590" i="1"/>
  <c r="AL590" i="1"/>
  <c r="A591" i="1"/>
  <c r="B591" i="1"/>
  <c r="C591" i="1"/>
  <c r="G591" i="1"/>
  <c r="H591" i="1"/>
  <c r="I591" i="1"/>
  <c r="J591" i="1"/>
  <c r="K591" i="1"/>
  <c r="M591" i="1"/>
  <c r="N591" i="1"/>
  <c r="P591" i="1"/>
  <c r="Q591" i="1"/>
  <c r="R591" i="1"/>
  <c r="S591" i="1"/>
  <c r="T591" i="1"/>
  <c r="Z591" i="1"/>
  <c r="AL591" i="1"/>
  <c r="A592" i="1"/>
  <c r="B592" i="1"/>
  <c r="C592" i="1"/>
  <c r="G592" i="1"/>
  <c r="H592" i="1"/>
  <c r="I592" i="1"/>
  <c r="J592" i="1"/>
  <c r="K592" i="1"/>
  <c r="M592" i="1"/>
  <c r="N592" i="1"/>
  <c r="P592" i="1"/>
  <c r="Q592" i="1"/>
  <c r="R592" i="1"/>
  <c r="S592" i="1"/>
  <c r="T592" i="1"/>
  <c r="Z592" i="1"/>
  <c r="AL592" i="1"/>
  <c r="A593" i="1"/>
  <c r="B593" i="1"/>
  <c r="C593" i="1"/>
  <c r="G593" i="1"/>
  <c r="H593" i="1"/>
  <c r="I593" i="1"/>
  <c r="J593" i="1"/>
  <c r="K593" i="1"/>
  <c r="M593" i="1"/>
  <c r="N593" i="1"/>
  <c r="P593" i="1"/>
  <c r="Q593" i="1"/>
  <c r="R593" i="1"/>
  <c r="S593" i="1"/>
  <c r="T593" i="1"/>
  <c r="Z593" i="1"/>
  <c r="AL593" i="1"/>
  <c r="A594" i="1"/>
  <c r="B594" i="1"/>
  <c r="C594" i="1"/>
  <c r="G594" i="1"/>
  <c r="H594" i="1"/>
  <c r="I594" i="1"/>
  <c r="J594" i="1"/>
  <c r="K594" i="1"/>
  <c r="M594" i="1"/>
  <c r="N594" i="1"/>
  <c r="P594" i="1"/>
  <c r="Q594" i="1"/>
  <c r="R594" i="1"/>
  <c r="S594" i="1"/>
  <c r="T594" i="1"/>
  <c r="Z594" i="1"/>
  <c r="AL594" i="1"/>
  <c r="A595" i="1"/>
  <c r="B595" i="1"/>
  <c r="C595" i="1"/>
  <c r="G595" i="1"/>
  <c r="H595" i="1"/>
  <c r="I595" i="1"/>
  <c r="J595" i="1"/>
  <c r="K595" i="1"/>
  <c r="M595" i="1"/>
  <c r="N595" i="1"/>
  <c r="P595" i="1"/>
  <c r="Q595" i="1"/>
  <c r="R595" i="1"/>
  <c r="S595" i="1"/>
  <c r="T595" i="1"/>
  <c r="Z595" i="1"/>
  <c r="AL595" i="1"/>
  <c r="A596" i="1"/>
  <c r="B596" i="1"/>
  <c r="C596" i="1"/>
  <c r="D596" i="1"/>
  <c r="G596" i="1"/>
  <c r="H596" i="1"/>
  <c r="I596" i="1"/>
  <c r="J596" i="1"/>
  <c r="K596" i="1"/>
  <c r="M596" i="1"/>
  <c r="N596" i="1"/>
  <c r="P596" i="1"/>
  <c r="Q596" i="1"/>
  <c r="R596" i="1"/>
  <c r="S596" i="1"/>
  <c r="T596" i="1"/>
  <c r="Z596" i="1"/>
  <c r="AL596" i="1"/>
  <c r="A597" i="1"/>
  <c r="B597" i="1"/>
  <c r="C597" i="1"/>
  <c r="G597" i="1"/>
  <c r="H597" i="1"/>
  <c r="I597" i="1"/>
  <c r="J597" i="1"/>
  <c r="K597" i="1"/>
  <c r="M597" i="1"/>
  <c r="N597" i="1"/>
  <c r="P597" i="1"/>
  <c r="Q597" i="1"/>
  <c r="R597" i="1"/>
  <c r="S597" i="1"/>
  <c r="T597" i="1"/>
  <c r="Z597" i="1"/>
  <c r="AL597" i="1"/>
  <c r="A598" i="1"/>
  <c r="B598" i="1"/>
  <c r="C598" i="1"/>
  <c r="G598" i="1"/>
  <c r="H598" i="1"/>
  <c r="I598" i="1"/>
  <c r="J598" i="1"/>
  <c r="K598" i="1"/>
  <c r="M598" i="1"/>
  <c r="N598" i="1"/>
  <c r="P598" i="1"/>
  <c r="Q598" i="1"/>
  <c r="R598" i="1"/>
  <c r="S598" i="1"/>
  <c r="T598" i="1"/>
  <c r="Z598" i="1"/>
  <c r="AL598" i="1"/>
  <c r="A599" i="1"/>
  <c r="B599" i="1"/>
  <c r="C599" i="1"/>
  <c r="G599" i="1"/>
  <c r="H599" i="1"/>
  <c r="I599" i="1"/>
  <c r="J599" i="1"/>
  <c r="K599" i="1"/>
  <c r="M599" i="1"/>
  <c r="N599" i="1"/>
  <c r="P599" i="1"/>
  <c r="Q599" i="1"/>
  <c r="R599" i="1"/>
  <c r="S599" i="1"/>
  <c r="T599" i="1"/>
  <c r="Z599" i="1"/>
  <c r="AL599" i="1"/>
  <c r="A600" i="1"/>
  <c r="B600" i="1"/>
  <c r="C600" i="1"/>
  <c r="G600" i="1"/>
  <c r="H600" i="1"/>
  <c r="I600" i="1"/>
  <c r="J600" i="1"/>
  <c r="K600" i="1"/>
  <c r="M600" i="1"/>
  <c r="N600" i="1"/>
  <c r="P600" i="1"/>
  <c r="Q600" i="1"/>
  <c r="R600" i="1"/>
  <c r="S600" i="1"/>
  <c r="T600" i="1"/>
  <c r="Z600" i="1"/>
  <c r="AL600" i="1"/>
  <c r="A601" i="1"/>
  <c r="B601" i="1"/>
  <c r="C601" i="1"/>
  <c r="G601" i="1"/>
  <c r="H601" i="1"/>
  <c r="I601" i="1"/>
  <c r="J601" i="1"/>
  <c r="K601" i="1"/>
  <c r="M601" i="1"/>
  <c r="N601" i="1"/>
  <c r="P601" i="1"/>
  <c r="Q601" i="1"/>
  <c r="R601" i="1"/>
  <c r="S601" i="1"/>
  <c r="T601" i="1"/>
  <c r="Z601" i="1"/>
  <c r="AL601" i="1"/>
  <c r="A602" i="1"/>
  <c r="B602" i="1"/>
  <c r="C602" i="1"/>
  <c r="G602" i="1"/>
  <c r="H602" i="1"/>
  <c r="I602" i="1"/>
  <c r="J602" i="1"/>
  <c r="K602" i="1"/>
  <c r="M602" i="1"/>
  <c r="N602" i="1"/>
  <c r="P602" i="1"/>
  <c r="Q602" i="1"/>
  <c r="R602" i="1"/>
  <c r="S602" i="1"/>
  <c r="T602" i="1"/>
  <c r="Z602" i="1"/>
  <c r="AL602" i="1"/>
  <c r="A603" i="1"/>
  <c r="B603" i="1"/>
  <c r="C603" i="1"/>
  <c r="G603" i="1"/>
  <c r="H603" i="1"/>
  <c r="I603" i="1"/>
  <c r="J603" i="1"/>
  <c r="K603" i="1"/>
  <c r="M603" i="1"/>
  <c r="N603" i="1"/>
  <c r="P603" i="1"/>
  <c r="Q603" i="1"/>
  <c r="R603" i="1"/>
  <c r="S603" i="1"/>
  <c r="T603" i="1"/>
  <c r="Z603" i="1"/>
  <c r="AL603" i="1"/>
  <c r="A604" i="1"/>
  <c r="B604" i="1"/>
  <c r="C604" i="1"/>
  <c r="G604" i="1"/>
  <c r="H604" i="1"/>
  <c r="I604" i="1"/>
  <c r="J604" i="1"/>
  <c r="K604" i="1"/>
  <c r="M604" i="1"/>
  <c r="N604" i="1"/>
  <c r="P604" i="1"/>
  <c r="Q604" i="1"/>
  <c r="R604" i="1"/>
  <c r="S604" i="1"/>
  <c r="T604" i="1"/>
  <c r="Z604" i="1"/>
  <c r="AL604" i="1"/>
  <c r="A605" i="1"/>
  <c r="B605" i="1"/>
  <c r="C605" i="1"/>
  <c r="G605" i="1"/>
  <c r="H605" i="1"/>
  <c r="I605" i="1"/>
  <c r="J605" i="1"/>
  <c r="K605" i="1"/>
  <c r="M605" i="1"/>
  <c r="N605" i="1"/>
  <c r="P605" i="1"/>
  <c r="Q605" i="1"/>
  <c r="R605" i="1"/>
  <c r="S605" i="1"/>
  <c r="T605" i="1"/>
  <c r="Z605" i="1"/>
  <c r="AL605" i="1"/>
  <c r="A606" i="1"/>
  <c r="B606" i="1"/>
  <c r="C606" i="1"/>
  <c r="G606" i="1"/>
  <c r="H606" i="1"/>
  <c r="I606" i="1"/>
  <c r="J606" i="1"/>
  <c r="K606" i="1"/>
  <c r="M606" i="1"/>
  <c r="N606" i="1"/>
  <c r="P606" i="1"/>
  <c r="Q606" i="1"/>
  <c r="R606" i="1"/>
  <c r="S606" i="1"/>
  <c r="T606" i="1"/>
  <c r="Z606" i="1"/>
  <c r="AL606" i="1"/>
  <c r="A607" i="1"/>
  <c r="B607" i="1"/>
  <c r="C607" i="1"/>
  <c r="G607" i="1"/>
  <c r="H607" i="1"/>
  <c r="I607" i="1"/>
  <c r="J607" i="1"/>
  <c r="K607" i="1"/>
  <c r="M607" i="1"/>
  <c r="N607" i="1"/>
  <c r="P607" i="1"/>
  <c r="Q607" i="1"/>
  <c r="R607" i="1"/>
  <c r="S607" i="1"/>
  <c r="T607" i="1"/>
  <c r="Z607" i="1"/>
  <c r="AL607" i="1"/>
  <c r="A608" i="1"/>
  <c r="B608" i="1"/>
  <c r="C608" i="1"/>
  <c r="G608" i="1"/>
  <c r="H608" i="1"/>
  <c r="I608" i="1"/>
  <c r="J608" i="1"/>
  <c r="K608" i="1"/>
  <c r="M608" i="1"/>
  <c r="N608" i="1"/>
  <c r="P608" i="1"/>
  <c r="Q608" i="1"/>
  <c r="R608" i="1"/>
  <c r="S608" i="1"/>
  <c r="T608" i="1"/>
  <c r="Z608" i="1"/>
  <c r="AL608" i="1"/>
  <c r="A609" i="1"/>
  <c r="B609" i="1"/>
  <c r="C609" i="1"/>
  <c r="G609" i="1"/>
  <c r="H609" i="1"/>
  <c r="I609" i="1"/>
  <c r="J609" i="1"/>
  <c r="K609" i="1"/>
  <c r="M609" i="1"/>
  <c r="N609" i="1"/>
  <c r="P609" i="1"/>
  <c r="Q609" i="1"/>
  <c r="R609" i="1"/>
  <c r="S609" i="1"/>
  <c r="T609" i="1"/>
  <c r="Z609" i="1"/>
  <c r="AL609" i="1"/>
  <c r="A610" i="1"/>
  <c r="B610" i="1"/>
  <c r="C610" i="1"/>
  <c r="G610" i="1"/>
  <c r="H610" i="1"/>
  <c r="I610" i="1"/>
  <c r="J610" i="1"/>
  <c r="K610" i="1"/>
  <c r="M610" i="1"/>
  <c r="N610" i="1"/>
  <c r="P610" i="1"/>
  <c r="Q610" i="1"/>
  <c r="R610" i="1"/>
  <c r="S610" i="1"/>
  <c r="T610" i="1"/>
  <c r="Z610" i="1"/>
  <c r="AL610" i="1"/>
  <c r="A611" i="1"/>
  <c r="B611" i="1"/>
  <c r="C611" i="1"/>
  <c r="G611" i="1"/>
  <c r="H611" i="1"/>
  <c r="I611" i="1"/>
  <c r="J611" i="1"/>
  <c r="K611" i="1"/>
  <c r="M611" i="1"/>
  <c r="N611" i="1"/>
  <c r="P611" i="1"/>
  <c r="Q611" i="1"/>
  <c r="R611" i="1"/>
  <c r="S611" i="1"/>
  <c r="T611" i="1"/>
  <c r="Z611" i="1"/>
  <c r="AL611" i="1"/>
  <c r="A612" i="1"/>
  <c r="B612" i="1"/>
  <c r="C612" i="1"/>
  <c r="G612" i="1"/>
  <c r="H612" i="1"/>
  <c r="I612" i="1"/>
  <c r="J612" i="1"/>
  <c r="K612" i="1"/>
  <c r="M612" i="1"/>
  <c r="N612" i="1"/>
  <c r="P612" i="1"/>
  <c r="Q612" i="1"/>
  <c r="R612" i="1"/>
  <c r="S612" i="1"/>
  <c r="T612" i="1"/>
  <c r="Z612" i="1"/>
  <c r="AL612" i="1"/>
  <c r="A613" i="1"/>
  <c r="B613" i="1"/>
  <c r="C613" i="1"/>
  <c r="G613" i="1"/>
  <c r="H613" i="1"/>
  <c r="I613" i="1"/>
  <c r="J613" i="1"/>
  <c r="K613" i="1"/>
  <c r="M613" i="1"/>
  <c r="N613" i="1"/>
  <c r="P613" i="1"/>
  <c r="Q613" i="1"/>
  <c r="R613" i="1"/>
  <c r="S613" i="1"/>
  <c r="T613" i="1"/>
  <c r="Z613" i="1"/>
  <c r="AL613" i="1"/>
  <c r="A614" i="1"/>
  <c r="B614" i="1"/>
  <c r="C614" i="1"/>
  <c r="G614" i="1"/>
  <c r="H614" i="1"/>
  <c r="I614" i="1"/>
  <c r="J614" i="1"/>
  <c r="K614" i="1"/>
  <c r="M614" i="1"/>
  <c r="N614" i="1"/>
  <c r="P614" i="1"/>
  <c r="Q614" i="1"/>
  <c r="R614" i="1"/>
  <c r="S614" i="1"/>
  <c r="T614" i="1"/>
  <c r="Z614" i="1"/>
  <c r="AL614" i="1"/>
  <c r="A615" i="1"/>
  <c r="B615" i="1"/>
  <c r="C615" i="1"/>
  <c r="G615" i="1"/>
  <c r="H615" i="1"/>
  <c r="I615" i="1"/>
  <c r="J615" i="1"/>
  <c r="K615" i="1"/>
  <c r="M615" i="1"/>
  <c r="N615" i="1"/>
  <c r="P615" i="1"/>
  <c r="Q615" i="1"/>
  <c r="R615" i="1"/>
  <c r="S615" i="1"/>
  <c r="T615" i="1"/>
  <c r="Z615" i="1"/>
  <c r="AL615" i="1"/>
  <c r="A616" i="1"/>
  <c r="B616" i="1"/>
  <c r="C616" i="1"/>
  <c r="G616" i="1"/>
  <c r="H616" i="1"/>
  <c r="I616" i="1"/>
  <c r="J616" i="1"/>
  <c r="K616" i="1"/>
  <c r="M616" i="1"/>
  <c r="N616" i="1"/>
  <c r="P616" i="1"/>
  <c r="Q616" i="1"/>
  <c r="R616" i="1"/>
  <c r="S616" i="1"/>
  <c r="T616" i="1"/>
  <c r="Z616" i="1"/>
  <c r="AL616" i="1"/>
  <c r="A617" i="1"/>
  <c r="B617" i="1"/>
  <c r="C617" i="1"/>
  <c r="G617" i="1"/>
  <c r="H617" i="1"/>
  <c r="I617" i="1"/>
  <c r="J617" i="1"/>
  <c r="K617" i="1"/>
  <c r="M617" i="1"/>
  <c r="N617" i="1"/>
  <c r="P617" i="1"/>
  <c r="Q617" i="1"/>
  <c r="R617" i="1"/>
  <c r="S617" i="1"/>
  <c r="T617" i="1"/>
  <c r="Z617" i="1"/>
  <c r="AL617" i="1"/>
  <c r="A618" i="1"/>
  <c r="B618" i="1"/>
  <c r="C618" i="1"/>
  <c r="G618" i="1"/>
  <c r="H618" i="1"/>
  <c r="I618" i="1"/>
  <c r="J618" i="1"/>
  <c r="K618" i="1"/>
  <c r="M618" i="1"/>
  <c r="N618" i="1"/>
  <c r="P618" i="1"/>
  <c r="Q618" i="1"/>
  <c r="R618" i="1"/>
  <c r="S618" i="1"/>
  <c r="T618" i="1"/>
  <c r="Z618" i="1"/>
  <c r="AL618" i="1"/>
  <c r="A619" i="1"/>
  <c r="B619" i="1"/>
  <c r="C619" i="1"/>
  <c r="G619" i="1"/>
  <c r="H619" i="1"/>
  <c r="I619" i="1"/>
  <c r="J619" i="1"/>
  <c r="K619" i="1"/>
  <c r="M619" i="1"/>
  <c r="N619" i="1"/>
  <c r="P619" i="1"/>
  <c r="Q619" i="1"/>
  <c r="R619" i="1"/>
  <c r="S619" i="1"/>
  <c r="T619" i="1"/>
  <c r="Z619" i="1"/>
  <c r="AL619" i="1"/>
  <c r="A620" i="1"/>
  <c r="B620" i="1"/>
  <c r="C620" i="1"/>
  <c r="G620" i="1"/>
  <c r="H620" i="1"/>
  <c r="I620" i="1"/>
  <c r="J620" i="1"/>
  <c r="K620" i="1"/>
  <c r="M620" i="1"/>
  <c r="N620" i="1"/>
  <c r="P620" i="1"/>
  <c r="Q620" i="1"/>
  <c r="R620" i="1"/>
  <c r="S620" i="1"/>
  <c r="T620" i="1"/>
  <c r="Z620" i="1"/>
  <c r="AL620" i="1"/>
  <c r="A621" i="1"/>
  <c r="B621" i="1"/>
  <c r="C621" i="1"/>
  <c r="G621" i="1"/>
  <c r="H621" i="1"/>
  <c r="I621" i="1"/>
  <c r="J621" i="1"/>
  <c r="K621" i="1"/>
  <c r="M621" i="1"/>
  <c r="N621" i="1"/>
  <c r="P621" i="1"/>
  <c r="Q621" i="1"/>
  <c r="R621" i="1"/>
  <c r="S621" i="1"/>
  <c r="T621" i="1"/>
  <c r="Z621" i="1"/>
  <c r="AL621" i="1"/>
  <c r="A622" i="1"/>
  <c r="B622" i="1"/>
  <c r="C622" i="1"/>
  <c r="G622" i="1"/>
  <c r="H622" i="1"/>
  <c r="I622" i="1"/>
  <c r="J622" i="1"/>
  <c r="K622" i="1"/>
  <c r="M622" i="1"/>
  <c r="N622" i="1"/>
  <c r="P622" i="1"/>
  <c r="Q622" i="1"/>
  <c r="R622" i="1"/>
  <c r="S622" i="1"/>
  <c r="T622" i="1"/>
  <c r="Z622" i="1"/>
  <c r="AL622" i="1"/>
  <c r="A623" i="1"/>
  <c r="B623" i="1"/>
  <c r="C623" i="1"/>
  <c r="G623" i="1"/>
  <c r="H623" i="1"/>
  <c r="I623" i="1"/>
  <c r="J623" i="1"/>
  <c r="K623" i="1"/>
  <c r="M623" i="1"/>
  <c r="N623" i="1"/>
  <c r="P623" i="1"/>
  <c r="Q623" i="1"/>
  <c r="R623" i="1"/>
  <c r="S623" i="1"/>
  <c r="T623" i="1"/>
  <c r="Z623" i="1"/>
  <c r="AL623" i="1"/>
  <c r="A624" i="1"/>
  <c r="B624" i="1"/>
  <c r="C624" i="1"/>
  <c r="G624" i="1"/>
  <c r="H624" i="1"/>
  <c r="I624" i="1"/>
  <c r="J624" i="1"/>
  <c r="K624" i="1"/>
  <c r="M624" i="1"/>
  <c r="N624" i="1"/>
  <c r="P624" i="1"/>
  <c r="Q624" i="1"/>
  <c r="R624" i="1"/>
  <c r="S624" i="1"/>
  <c r="T624" i="1"/>
  <c r="Z624" i="1"/>
  <c r="AL624" i="1"/>
  <c r="A625" i="1"/>
  <c r="B625" i="1"/>
  <c r="C625" i="1"/>
  <c r="G625" i="1"/>
  <c r="H625" i="1"/>
  <c r="I625" i="1"/>
  <c r="J625" i="1"/>
  <c r="K625" i="1"/>
  <c r="M625" i="1"/>
  <c r="N625" i="1"/>
  <c r="P625" i="1"/>
  <c r="Q625" i="1"/>
  <c r="R625" i="1"/>
  <c r="S625" i="1"/>
  <c r="T625" i="1"/>
  <c r="Z625" i="1"/>
  <c r="AL625" i="1"/>
  <c r="A626" i="1"/>
  <c r="B626" i="1"/>
  <c r="C626" i="1"/>
  <c r="G626" i="1"/>
  <c r="H626" i="1"/>
  <c r="I626" i="1"/>
  <c r="J626" i="1"/>
  <c r="K626" i="1"/>
  <c r="M626" i="1"/>
  <c r="N626" i="1"/>
  <c r="P626" i="1"/>
  <c r="Q626" i="1"/>
  <c r="R626" i="1"/>
  <c r="S626" i="1"/>
  <c r="T626" i="1"/>
  <c r="Z626" i="1"/>
  <c r="AL626" i="1"/>
  <c r="A627" i="1"/>
  <c r="B627" i="1"/>
  <c r="C627" i="1"/>
  <c r="G627" i="1"/>
  <c r="H627" i="1"/>
  <c r="I627" i="1"/>
  <c r="J627" i="1"/>
  <c r="K627" i="1"/>
  <c r="M627" i="1"/>
  <c r="N627" i="1"/>
  <c r="P627" i="1"/>
  <c r="Q627" i="1"/>
  <c r="R627" i="1"/>
  <c r="S627" i="1"/>
  <c r="T627" i="1"/>
  <c r="Z627" i="1"/>
  <c r="AL627" i="1"/>
  <c r="A628" i="1"/>
  <c r="B628" i="1"/>
  <c r="C628" i="1"/>
  <c r="G628" i="1"/>
  <c r="H628" i="1"/>
  <c r="I628" i="1"/>
  <c r="J628" i="1"/>
  <c r="K628" i="1"/>
  <c r="M628" i="1"/>
  <c r="N628" i="1"/>
  <c r="P628" i="1"/>
  <c r="Q628" i="1"/>
  <c r="R628" i="1"/>
  <c r="S628" i="1"/>
  <c r="T628" i="1"/>
  <c r="Z628" i="1"/>
  <c r="AL628" i="1"/>
  <c r="A629" i="1"/>
  <c r="B629" i="1"/>
  <c r="C629" i="1"/>
  <c r="G629" i="1"/>
  <c r="H629" i="1"/>
  <c r="I629" i="1"/>
  <c r="J629" i="1"/>
  <c r="K629" i="1"/>
  <c r="M629" i="1"/>
  <c r="N629" i="1"/>
  <c r="P629" i="1"/>
  <c r="Q629" i="1"/>
  <c r="R629" i="1"/>
  <c r="S629" i="1"/>
  <c r="T629" i="1"/>
  <c r="Z629" i="1"/>
  <c r="AL629" i="1"/>
  <c r="A630" i="1"/>
  <c r="B630" i="1"/>
  <c r="C630" i="1"/>
  <c r="G630" i="1"/>
  <c r="H630" i="1"/>
  <c r="I630" i="1"/>
  <c r="J630" i="1"/>
  <c r="K630" i="1"/>
  <c r="M630" i="1"/>
  <c r="N630" i="1"/>
  <c r="P630" i="1"/>
  <c r="Q630" i="1"/>
  <c r="R630" i="1"/>
  <c r="S630" i="1"/>
  <c r="T630" i="1"/>
  <c r="Z630" i="1"/>
  <c r="AL630" i="1"/>
  <c r="A631" i="1"/>
  <c r="B631" i="1"/>
  <c r="C631" i="1"/>
  <c r="G631" i="1"/>
  <c r="H631" i="1"/>
  <c r="I631" i="1"/>
  <c r="J631" i="1"/>
  <c r="K631" i="1"/>
  <c r="M631" i="1"/>
  <c r="N631" i="1"/>
  <c r="P631" i="1"/>
  <c r="Q631" i="1"/>
  <c r="R631" i="1"/>
  <c r="S631" i="1"/>
  <c r="T631" i="1"/>
  <c r="Z631" i="1"/>
  <c r="AL631" i="1"/>
  <c r="A632" i="1"/>
  <c r="B632" i="1"/>
  <c r="C632" i="1"/>
  <c r="G632" i="1"/>
  <c r="H632" i="1"/>
  <c r="I632" i="1"/>
  <c r="J632" i="1"/>
  <c r="K632" i="1"/>
  <c r="P632" i="1"/>
  <c r="Q632" i="1"/>
  <c r="R632" i="1"/>
  <c r="S632" i="1"/>
  <c r="T632" i="1"/>
  <c r="Z632" i="1"/>
  <c r="AL632" i="1"/>
  <c r="A633" i="1"/>
  <c r="B633" i="1"/>
  <c r="C633" i="1"/>
  <c r="G633" i="1"/>
  <c r="H633" i="1"/>
  <c r="I633" i="1"/>
  <c r="J633" i="1"/>
  <c r="K633" i="1"/>
  <c r="M633" i="1"/>
  <c r="N633" i="1"/>
  <c r="P633" i="1"/>
  <c r="Q633" i="1"/>
  <c r="R633" i="1"/>
  <c r="S633" i="1"/>
  <c r="T633" i="1"/>
  <c r="Z633" i="1"/>
  <c r="AL633" i="1"/>
  <c r="A634" i="1"/>
  <c r="B634" i="1"/>
  <c r="C634" i="1"/>
  <c r="G634" i="1"/>
  <c r="H634" i="1"/>
  <c r="I634" i="1"/>
  <c r="J634" i="1"/>
  <c r="K634" i="1"/>
  <c r="M634" i="1"/>
  <c r="N634" i="1"/>
  <c r="P634" i="1"/>
  <c r="Q634" i="1"/>
  <c r="R634" i="1"/>
  <c r="S634" i="1"/>
  <c r="T634" i="1"/>
  <c r="Z634" i="1"/>
  <c r="AL634" i="1"/>
  <c r="A635" i="1"/>
  <c r="B635" i="1"/>
  <c r="C635" i="1"/>
  <c r="G635" i="1"/>
  <c r="H635" i="1"/>
  <c r="I635" i="1"/>
  <c r="J635" i="1"/>
  <c r="K635" i="1"/>
  <c r="M635" i="1"/>
  <c r="N635" i="1"/>
  <c r="P635" i="1"/>
  <c r="Q635" i="1"/>
  <c r="R635" i="1"/>
  <c r="S635" i="1"/>
  <c r="T635" i="1"/>
  <c r="Z635" i="1"/>
  <c r="AL635" i="1"/>
  <c r="A636" i="1"/>
  <c r="B636" i="1"/>
  <c r="C636" i="1"/>
  <c r="G636" i="1"/>
  <c r="H636" i="1"/>
  <c r="I636" i="1"/>
  <c r="J636" i="1"/>
  <c r="K636" i="1"/>
  <c r="M636" i="1"/>
  <c r="N636" i="1"/>
  <c r="P636" i="1"/>
  <c r="Q636" i="1"/>
  <c r="R636" i="1"/>
  <c r="S636" i="1"/>
  <c r="T636" i="1"/>
  <c r="Z636" i="1"/>
  <c r="AL636" i="1"/>
  <c r="A637" i="1"/>
  <c r="B637" i="1"/>
  <c r="C637" i="1"/>
  <c r="G637" i="1"/>
  <c r="H637" i="1"/>
  <c r="I637" i="1"/>
  <c r="J637" i="1"/>
  <c r="K637" i="1"/>
  <c r="M637" i="1"/>
  <c r="N637" i="1"/>
  <c r="P637" i="1"/>
  <c r="Q637" i="1"/>
  <c r="R637" i="1"/>
  <c r="S637" i="1"/>
  <c r="T637" i="1"/>
  <c r="Z637" i="1"/>
  <c r="AL637" i="1"/>
  <c r="A638" i="1"/>
  <c r="B638" i="1"/>
  <c r="C638" i="1"/>
  <c r="G638" i="1"/>
  <c r="H638" i="1"/>
  <c r="I638" i="1"/>
  <c r="J638" i="1"/>
  <c r="K638" i="1"/>
  <c r="P638" i="1"/>
  <c r="Q638" i="1"/>
  <c r="R638" i="1"/>
  <c r="S638" i="1"/>
  <c r="T638" i="1"/>
  <c r="Z638" i="1"/>
  <c r="AL638" i="1"/>
  <c r="A639" i="1"/>
  <c r="B639" i="1"/>
  <c r="C639" i="1"/>
  <c r="G639" i="1"/>
  <c r="H639" i="1"/>
  <c r="I639" i="1"/>
  <c r="J639" i="1"/>
  <c r="K639" i="1"/>
  <c r="M639" i="1"/>
  <c r="N639" i="1"/>
  <c r="P639" i="1"/>
  <c r="Q639" i="1"/>
  <c r="R639" i="1"/>
  <c r="S639" i="1"/>
  <c r="T639" i="1"/>
  <c r="Z639" i="1"/>
  <c r="AL639" i="1"/>
  <c r="A640" i="1"/>
  <c r="B640" i="1"/>
  <c r="C640" i="1"/>
  <c r="G640" i="1"/>
  <c r="H640" i="1"/>
  <c r="I640" i="1"/>
  <c r="J640" i="1"/>
  <c r="K640" i="1"/>
  <c r="M640" i="1"/>
  <c r="N640" i="1"/>
  <c r="P640" i="1"/>
  <c r="Q640" i="1"/>
  <c r="R640" i="1"/>
  <c r="S640" i="1"/>
  <c r="T640" i="1"/>
  <c r="Z640" i="1"/>
  <c r="AL640" i="1"/>
  <c r="A641" i="1"/>
  <c r="B641" i="1"/>
  <c r="C641" i="1"/>
  <c r="G641" i="1"/>
  <c r="H641" i="1"/>
  <c r="I641" i="1"/>
  <c r="J641" i="1"/>
  <c r="K641" i="1"/>
  <c r="M641" i="1"/>
  <c r="N641" i="1"/>
  <c r="P641" i="1"/>
  <c r="Q641" i="1"/>
  <c r="R641" i="1"/>
  <c r="S641" i="1"/>
  <c r="T641" i="1"/>
  <c r="Z641" i="1"/>
  <c r="AL641" i="1"/>
  <c r="A642" i="1"/>
  <c r="B642" i="1"/>
  <c r="C642" i="1"/>
  <c r="G642" i="1"/>
  <c r="H642" i="1"/>
  <c r="I642" i="1"/>
  <c r="J642" i="1"/>
  <c r="K642" i="1"/>
  <c r="P642" i="1"/>
  <c r="Q642" i="1"/>
  <c r="R642" i="1"/>
  <c r="S642" i="1"/>
  <c r="T642" i="1"/>
  <c r="Z642" i="1"/>
  <c r="AL642" i="1"/>
  <c r="A643" i="1"/>
  <c r="B643" i="1"/>
  <c r="C643" i="1"/>
  <c r="G643" i="1"/>
  <c r="H643" i="1"/>
  <c r="I643" i="1"/>
  <c r="J643" i="1"/>
  <c r="K643" i="1"/>
  <c r="P643" i="1"/>
  <c r="Q643" i="1"/>
  <c r="R643" i="1"/>
  <c r="S643" i="1"/>
  <c r="T643" i="1"/>
  <c r="Z643" i="1"/>
  <c r="AL643" i="1"/>
  <c r="A644" i="1"/>
  <c r="B644" i="1"/>
  <c r="C644" i="1"/>
  <c r="G644" i="1"/>
  <c r="H644" i="1"/>
  <c r="I644" i="1"/>
  <c r="J644" i="1"/>
  <c r="K644" i="1"/>
  <c r="M644" i="1"/>
  <c r="N644" i="1"/>
  <c r="P644" i="1"/>
  <c r="Q644" i="1"/>
  <c r="R644" i="1"/>
  <c r="S644" i="1"/>
  <c r="T644" i="1"/>
  <c r="Z644" i="1"/>
  <c r="AL644" i="1"/>
  <c r="A645" i="1"/>
  <c r="B645" i="1"/>
  <c r="C645" i="1"/>
  <c r="G645" i="1"/>
  <c r="H645" i="1"/>
  <c r="I645" i="1"/>
  <c r="J645" i="1"/>
  <c r="K645" i="1"/>
  <c r="M645" i="1"/>
  <c r="N645" i="1"/>
  <c r="P645" i="1"/>
  <c r="Q645" i="1"/>
  <c r="R645" i="1"/>
  <c r="S645" i="1"/>
  <c r="T645" i="1"/>
  <c r="Z645" i="1"/>
  <c r="AL645" i="1"/>
  <c r="A646" i="1"/>
  <c r="B646" i="1"/>
  <c r="C646" i="1"/>
  <c r="G646" i="1"/>
  <c r="H646" i="1"/>
  <c r="I646" i="1"/>
  <c r="J646" i="1"/>
  <c r="K646" i="1"/>
  <c r="M646" i="1"/>
  <c r="N646" i="1"/>
  <c r="P646" i="1"/>
  <c r="Q646" i="1"/>
  <c r="R646" i="1"/>
  <c r="S646" i="1"/>
  <c r="T646" i="1"/>
  <c r="Z646" i="1"/>
  <c r="AL646" i="1"/>
  <c r="A647" i="1"/>
  <c r="B647" i="1"/>
  <c r="C647" i="1"/>
  <c r="G647" i="1"/>
  <c r="H647" i="1"/>
  <c r="I647" i="1"/>
  <c r="J647" i="1"/>
  <c r="K647" i="1"/>
  <c r="M647" i="1"/>
  <c r="N647" i="1"/>
  <c r="P647" i="1"/>
  <c r="Q647" i="1"/>
  <c r="R647" i="1"/>
  <c r="S647" i="1"/>
  <c r="T647" i="1"/>
  <c r="Z647" i="1"/>
  <c r="AL647" i="1"/>
  <c r="A648" i="1"/>
  <c r="B648" i="1"/>
  <c r="C648" i="1"/>
  <c r="G648" i="1"/>
  <c r="H648" i="1"/>
  <c r="I648" i="1"/>
  <c r="J648" i="1"/>
  <c r="K648" i="1"/>
  <c r="M648" i="1"/>
  <c r="N648" i="1"/>
  <c r="P648" i="1"/>
  <c r="Q648" i="1"/>
  <c r="R648" i="1"/>
  <c r="S648" i="1"/>
  <c r="T648" i="1"/>
  <c r="Z648" i="1"/>
  <c r="AL648" i="1"/>
  <c r="A649" i="1"/>
  <c r="B649" i="1"/>
  <c r="C649" i="1"/>
  <c r="G649" i="1"/>
  <c r="H649" i="1"/>
  <c r="I649" i="1"/>
  <c r="J649" i="1"/>
  <c r="K649" i="1"/>
  <c r="M649" i="1"/>
  <c r="N649" i="1"/>
  <c r="P649" i="1"/>
  <c r="Q649" i="1"/>
  <c r="R649" i="1"/>
  <c r="S649" i="1"/>
  <c r="T649" i="1"/>
  <c r="Z649" i="1"/>
  <c r="AL649" i="1"/>
  <c r="A650" i="1"/>
  <c r="B650" i="1"/>
  <c r="C650" i="1"/>
  <c r="G650" i="1"/>
  <c r="H650" i="1"/>
  <c r="I650" i="1"/>
  <c r="J650" i="1"/>
  <c r="K650" i="1"/>
  <c r="M650" i="1"/>
  <c r="N650" i="1"/>
  <c r="P650" i="1"/>
  <c r="Q650" i="1"/>
  <c r="R650" i="1"/>
  <c r="S650" i="1"/>
  <c r="T650" i="1"/>
  <c r="Z650" i="1"/>
  <c r="AL650" i="1"/>
  <c r="A651" i="1"/>
  <c r="B651" i="1"/>
  <c r="C651" i="1"/>
  <c r="G651" i="1"/>
  <c r="H651" i="1"/>
  <c r="I651" i="1"/>
  <c r="J651" i="1"/>
  <c r="K651" i="1"/>
  <c r="M651" i="1"/>
  <c r="N651" i="1"/>
  <c r="P651" i="1"/>
  <c r="Q651" i="1"/>
  <c r="R651" i="1"/>
  <c r="S651" i="1"/>
  <c r="T651" i="1"/>
  <c r="Z651" i="1"/>
  <c r="AL651" i="1"/>
  <c r="A652" i="1"/>
  <c r="B652" i="1"/>
  <c r="C652" i="1"/>
  <c r="G652" i="1"/>
  <c r="H652" i="1"/>
  <c r="I652" i="1"/>
  <c r="J652" i="1"/>
  <c r="K652" i="1"/>
  <c r="M652" i="1"/>
  <c r="N652" i="1"/>
  <c r="P652" i="1"/>
  <c r="Q652" i="1"/>
  <c r="R652" i="1"/>
  <c r="S652" i="1"/>
  <c r="T652" i="1"/>
  <c r="Z652" i="1"/>
  <c r="AL652" i="1"/>
  <c r="A653" i="1"/>
  <c r="B653" i="1"/>
  <c r="C653" i="1"/>
  <c r="G653" i="1"/>
  <c r="H653" i="1"/>
  <c r="I653" i="1"/>
  <c r="J653" i="1"/>
  <c r="K653" i="1"/>
  <c r="M653" i="1"/>
  <c r="N653" i="1"/>
  <c r="P653" i="1"/>
  <c r="Q653" i="1"/>
  <c r="R653" i="1"/>
  <c r="S653" i="1"/>
  <c r="T653" i="1"/>
  <c r="Z653" i="1"/>
  <c r="AL653" i="1"/>
  <c r="A654" i="1"/>
  <c r="B654" i="1"/>
  <c r="C654" i="1"/>
  <c r="G654" i="1"/>
  <c r="H654" i="1"/>
  <c r="I654" i="1"/>
  <c r="J654" i="1"/>
  <c r="K654" i="1"/>
  <c r="M654" i="1"/>
  <c r="N654" i="1"/>
  <c r="P654" i="1"/>
  <c r="Q654" i="1"/>
  <c r="R654" i="1"/>
  <c r="S654" i="1"/>
  <c r="T654" i="1"/>
  <c r="Z654" i="1"/>
  <c r="AL654" i="1"/>
  <c r="A655" i="1"/>
  <c r="B655" i="1"/>
  <c r="C655" i="1"/>
  <c r="G655" i="1"/>
  <c r="H655" i="1"/>
  <c r="I655" i="1"/>
  <c r="J655" i="1"/>
  <c r="K655" i="1"/>
  <c r="M655" i="1"/>
  <c r="N655" i="1"/>
  <c r="P655" i="1"/>
  <c r="Q655" i="1"/>
  <c r="R655" i="1"/>
  <c r="S655" i="1"/>
  <c r="T655" i="1"/>
  <c r="Z655" i="1"/>
  <c r="AL655" i="1"/>
  <c r="A656" i="1"/>
  <c r="B656" i="1"/>
  <c r="C656" i="1"/>
  <c r="G656" i="1"/>
  <c r="H656" i="1"/>
  <c r="I656" i="1"/>
  <c r="J656" i="1"/>
  <c r="K656" i="1"/>
  <c r="M656" i="1"/>
  <c r="N656" i="1"/>
  <c r="P656" i="1"/>
  <c r="Q656" i="1"/>
  <c r="R656" i="1"/>
  <c r="S656" i="1"/>
  <c r="T656" i="1"/>
  <c r="Z656" i="1"/>
  <c r="AL656" i="1"/>
  <c r="A657" i="1"/>
  <c r="B657" i="1"/>
  <c r="C657" i="1"/>
  <c r="G657" i="1"/>
  <c r="H657" i="1"/>
  <c r="I657" i="1"/>
  <c r="J657" i="1"/>
  <c r="K657" i="1"/>
  <c r="M657" i="1"/>
  <c r="N657" i="1"/>
  <c r="P657" i="1"/>
  <c r="Q657" i="1"/>
  <c r="R657" i="1"/>
  <c r="S657" i="1"/>
  <c r="T657" i="1"/>
  <c r="Z657" i="1"/>
  <c r="AL657" i="1"/>
  <c r="A658" i="1"/>
  <c r="B658" i="1"/>
  <c r="C658" i="1"/>
  <c r="G658" i="1"/>
  <c r="H658" i="1"/>
  <c r="I658" i="1"/>
  <c r="J658" i="1"/>
  <c r="K658" i="1"/>
  <c r="M658" i="1"/>
  <c r="N658" i="1"/>
  <c r="P658" i="1"/>
  <c r="Q658" i="1"/>
  <c r="R658" i="1"/>
  <c r="S658" i="1"/>
  <c r="T658" i="1"/>
  <c r="Z658" i="1"/>
  <c r="AL658" i="1"/>
  <c r="A659" i="1"/>
  <c r="B659" i="1"/>
  <c r="C659" i="1"/>
  <c r="G659" i="1"/>
  <c r="H659" i="1"/>
  <c r="I659" i="1"/>
  <c r="J659" i="1"/>
  <c r="K659" i="1"/>
  <c r="M659" i="1"/>
  <c r="N659" i="1"/>
  <c r="P659" i="1"/>
  <c r="Q659" i="1"/>
  <c r="R659" i="1"/>
  <c r="S659" i="1"/>
  <c r="T659" i="1"/>
  <c r="Z659" i="1"/>
  <c r="AL659" i="1"/>
  <c r="A660" i="1"/>
  <c r="B660" i="1"/>
  <c r="C660" i="1"/>
  <c r="G660" i="1"/>
  <c r="H660" i="1"/>
  <c r="I660" i="1"/>
  <c r="J660" i="1"/>
  <c r="K660" i="1"/>
  <c r="M660" i="1"/>
  <c r="N660" i="1"/>
  <c r="P660" i="1"/>
  <c r="Q660" i="1"/>
  <c r="R660" i="1"/>
  <c r="S660" i="1"/>
  <c r="T660" i="1"/>
  <c r="Z660" i="1"/>
  <c r="AL660" i="1"/>
  <c r="A661" i="1"/>
  <c r="B661" i="1"/>
  <c r="C661" i="1"/>
  <c r="G661" i="1"/>
  <c r="H661" i="1"/>
  <c r="I661" i="1"/>
  <c r="J661" i="1"/>
  <c r="K661" i="1"/>
  <c r="M661" i="1"/>
  <c r="N661" i="1"/>
  <c r="P661" i="1"/>
  <c r="Q661" i="1"/>
  <c r="R661" i="1"/>
  <c r="S661" i="1"/>
  <c r="T661" i="1"/>
  <c r="Z661" i="1"/>
  <c r="AL661" i="1"/>
  <c r="A662" i="1"/>
  <c r="B662" i="1"/>
  <c r="C662" i="1"/>
  <c r="G662" i="1"/>
  <c r="H662" i="1"/>
  <c r="I662" i="1"/>
  <c r="J662" i="1"/>
  <c r="K662" i="1"/>
  <c r="M662" i="1"/>
  <c r="N662" i="1"/>
  <c r="P662" i="1"/>
  <c r="Q662" i="1"/>
  <c r="R662" i="1"/>
  <c r="S662" i="1"/>
  <c r="T662" i="1"/>
  <c r="Z662" i="1"/>
  <c r="AL662" i="1"/>
  <c r="A663" i="1"/>
  <c r="B663" i="1"/>
  <c r="C663" i="1"/>
  <c r="G663" i="1"/>
  <c r="H663" i="1"/>
  <c r="I663" i="1"/>
  <c r="J663" i="1"/>
  <c r="K663" i="1"/>
  <c r="M663" i="1"/>
  <c r="N663" i="1"/>
  <c r="P663" i="1"/>
  <c r="Q663" i="1"/>
  <c r="R663" i="1"/>
  <c r="S663" i="1"/>
  <c r="T663" i="1"/>
  <c r="Z663" i="1"/>
  <c r="AL663" i="1"/>
  <c r="A664" i="1"/>
  <c r="B664" i="1"/>
  <c r="C664" i="1"/>
  <c r="G664" i="1"/>
  <c r="H664" i="1"/>
  <c r="I664" i="1"/>
  <c r="J664" i="1"/>
  <c r="K664" i="1"/>
  <c r="M664" i="1"/>
  <c r="N664" i="1"/>
  <c r="P664" i="1"/>
  <c r="Q664" i="1"/>
  <c r="R664" i="1"/>
  <c r="S664" i="1"/>
  <c r="T664" i="1"/>
  <c r="Z664" i="1"/>
  <c r="AL664" i="1"/>
  <c r="A665" i="1"/>
  <c r="B665" i="1"/>
  <c r="C665" i="1"/>
  <c r="G665" i="1"/>
  <c r="H665" i="1"/>
  <c r="I665" i="1"/>
  <c r="J665" i="1"/>
  <c r="K665" i="1"/>
  <c r="M665" i="1"/>
  <c r="N665" i="1"/>
  <c r="P665" i="1"/>
  <c r="Q665" i="1"/>
  <c r="R665" i="1"/>
  <c r="S665" i="1"/>
  <c r="T665" i="1"/>
  <c r="Z665" i="1"/>
  <c r="AL665" i="1"/>
  <c r="A666" i="1"/>
  <c r="B666" i="1"/>
  <c r="C666" i="1"/>
  <c r="G666" i="1"/>
  <c r="H666" i="1"/>
  <c r="I666" i="1"/>
  <c r="J666" i="1"/>
  <c r="K666" i="1"/>
  <c r="M666" i="1"/>
  <c r="N666" i="1"/>
  <c r="P666" i="1"/>
  <c r="Q666" i="1"/>
  <c r="R666" i="1"/>
  <c r="S666" i="1"/>
  <c r="T666" i="1"/>
  <c r="Z666" i="1"/>
  <c r="AL666" i="1"/>
  <c r="A667" i="1"/>
  <c r="B667" i="1"/>
  <c r="C667" i="1"/>
  <c r="G667" i="1"/>
  <c r="H667" i="1"/>
  <c r="I667" i="1"/>
  <c r="J667" i="1"/>
  <c r="K667" i="1"/>
  <c r="M667" i="1"/>
  <c r="N667" i="1"/>
  <c r="P667" i="1"/>
  <c r="Q667" i="1"/>
  <c r="R667" i="1"/>
  <c r="S667" i="1"/>
  <c r="T667" i="1"/>
  <c r="Z667" i="1"/>
  <c r="AL667" i="1"/>
  <c r="A668" i="1"/>
  <c r="B668" i="1"/>
  <c r="C668" i="1"/>
  <c r="G668" i="1"/>
  <c r="H668" i="1"/>
  <c r="I668" i="1"/>
  <c r="J668" i="1"/>
  <c r="K668" i="1"/>
  <c r="M668" i="1"/>
  <c r="N668" i="1"/>
  <c r="P668" i="1"/>
  <c r="Q668" i="1"/>
  <c r="R668" i="1"/>
  <c r="S668" i="1"/>
  <c r="T668" i="1"/>
  <c r="Z668" i="1"/>
  <c r="AL668" i="1"/>
  <c r="A669" i="1"/>
  <c r="B669" i="1"/>
  <c r="C669" i="1"/>
  <c r="G669" i="1"/>
  <c r="H669" i="1"/>
  <c r="I669" i="1"/>
  <c r="J669" i="1"/>
  <c r="K669" i="1"/>
  <c r="M669" i="1"/>
  <c r="N669" i="1"/>
  <c r="P669" i="1"/>
  <c r="Q669" i="1"/>
  <c r="R669" i="1"/>
  <c r="S669" i="1"/>
  <c r="T669" i="1"/>
  <c r="Z669" i="1"/>
  <c r="AL669" i="1"/>
  <c r="A670" i="1"/>
  <c r="B670" i="1"/>
  <c r="C670" i="1"/>
  <c r="G670" i="1"/>
  <c r="H670" i="1"/>
  <c r="I670" i="1"/>
  <c r="J670" i="1"/>
  <c r="K670" i="1"/>
  <c r="M670" i="1"/>
  <c r="N670" i="1"/>
  <c r="P670" i="1"/>
  <c r="Q670" i="1"/>
  <c r="R670" i="1"/>
  <c r="S670" i="1"/>
  <c r="T670" i="1"/>
  <c r="Z670" i="1"/>
  <c r="AL670" i="1"/>
  <c r="A671" i="1"/>
  <c r="B671" i="1"/>
  <c r="C671" i="1"/>
  <c r="G671" i="1"/>
  <c r="H671" i="1"/>
  <c r="I671" i="1"/>
  <c r="J671" i="1"/>
  <c r="K671" i="1"/>
  <c r="M671" i="1"/>
  <c r="N671" i="1"/>
  <c r="P671" i="1"/>
  <c r="Q671" i="1"/>
  <c r="R671" i="1"/>
  <c r="S671" i="1"/>
  <c r="T671" i="1"/>
  <c r="Z671" i="1"/>
  <c r="AL671" i="1"/>
  <c r="A672" i="1"/>
  <c r="B672" i="1"/>
  <c r="C672" i="1"/>
  <c r="G672" i="1"/>
  <c r="H672" i="1"/>
  <c r="I672" i="1"/>
  <c r="J672" i="1"/>
  <c r="K672" i="1"/>
  <c r="M672" i="1"/>
  <c r="N672" i="1"/>
  <c r="P672" i="1"/>
  <c r="Q672" i="1"/>
  <c r="R672" i="1"/>
  <c r="S672" i="1"/>
  <c r="T672" i="1"/>
  <c r="Z672" i="1"/>
  <c r="AL672" i="1"/>
  <c r="A673" i="1"/>
  <c r="B673" i="1"/>
  <c r="C673" i="1"/>
  <c r="G673" i="1"/>
  <c r="H673" i="1"/>
  <c r="I673" i="1"/>
  <c r="J673" i="1"/>
  <c r="K673" i="1"/>
  <c r="M673" i="1"/>
  <c r="N673" i="1"/>
  <c r="P673" i="1"/>
  <c r="Q673" i="1"/>
  <c r="R673" i="1"/>
  <c r="S673" i="1"/>
  <c r="T673" i="1"/>
  <c r="Z673" i="1"/>
  <c r="AL673" i="1"/>
  <c r="A674" i="1"/>
  <c r="B674" i="1"/>
  <c r="C674" i="1"/>
  <c r="G674" i="1"/>
  <c r="H674" i="1"/>
  <c r="I674" i="1"/>
  <c r="J674" i="1"/>
  <c r="K674" i="1"/>
  <c r="M674" i="1"/>
  <c r="N674" i="1"/>
  <c r="P674" i="1"/>
  <c r="Q674" i="1"/>
  <c r="R674" i="1"/>
  <c r="S674" i="1"/>
  <c r="T674" i="1"/>
  <c r="Z674" i="1"/>
  <c r="AL674" i="1"/>
  <c r="A675" i="1"/>
  <c r="B675" i="1"/>
  <c r="C675" i="1"/>
  <c r="G675" i="1"/>
  <c r="H675" i="1"/>
  <c r="I675" i="1"/>
  <c r="J675" i="1"/>
  <c r="K675" i="1"/>
  <c r="M675" i="1"/>
  <c r="N675" i="1"/>
  <c r="P675" i="1"/>
  <c r="Q675" i="1"/>
  <c r="R675" i="1"/>
  <c r="S675" i="1"/>
  <c r="T675" i="1"/>
  <c r="Z675" i="1"/>
  <c r="AL675" i="1"/>
  <c r="A676" i="1"/>
  <c r="B676" i="1"/>
  <c r="C676" i="1"/>
  <c r="G676" i="1"/>
  <c r="H676" i="1"/>
  <c r="I676" i="1"/>
  <c r="J676" i="1"/>
  <c r="K676" i="1"/>
  <c r="M676" i="1"/>
  <c r="N676" i="1"/>
  <c r="P676" i="1"/>
  <c r="Q676" i="1"/>
  <c r="R676" i="1"/>
  <c r="S676" i="1"/>
  <c r="T676" i="1"/>
  <c r="Z676" i="1"/>
  <c r="AL676" i="1"/>
  <c r="A677" i="1"/>
  <c r="B677" i="1"/>
  <c r="C677" i="1"/>
  <c r="G677" i="1"/>
  <c r="H677" i="1"/>
  <c r="I677" i="1"/>
  <c r="J677" i="1"/>
  <c r="K677" i="1"/>
  <c r="M677" i="1"/>
  <c r="N677" i="1"/>
  <c r="P677" i="1"/>
  <c r="Q677" i="1"/>
  <c r="R677" i="1"/>
  <c r="S677" i="1"/>
  <c r="T677" i="1"/>
  <c r="Z677" i="1"/>
  <c r="AL677" i="1"/>
  <c r="A678" i="1"/>
  <c r="B678" i="1"/>
  <c r="C678" i="1"/>
  <c r="G678" i="1"/>
  <c r="H678" i="1"/>
  <c r="I678" i="1"/>
  <c r="J678" i="1"/>
  <c r="K678" i="1"/>
  <c r="M678" i="1"/>
  <c r="N678" i="1"/>
  <c r="P678" i="1"/>
  <c r="Q678" i="1"/>
  <c r="R678" i="1"/>
  <c r="S678" i="1"/>
  <c r="T678" i="1"/>
  <c r="Z678" i="1"/>
  <c r="AL678" i="1"/>
  <c r="A679" i="1"/>
  <c r="B679" i="1"/>
  <c r="C679" i="1"/>
  <c r="G679" i="1"/>
  <c r="H679" i="1"/>
  <c r="I679" i="1"/>
  <c r="J679" i="1"/>
  <c r="K679" i="1"/>
  <c r="M679" i="1"/>
  <c r="N679" i="1"/>
  <c r="P679" i="1"/>
  <c r="Q679" i="1"/>
  <c r="R679" i="1"/>
  <c r="S679" i="1"/>
  <c r="T679" i="1"/>
  <c r="Z679" i="1"/>
  <c r="AL679" i="1"/>
  <c r="A680" i="1"/>
  <c r="C680" i="1"/>
  <c r="G680" i="1"/>
  <c r="H680" i="1"/>
  <c r="J680" i="1"/>
  <c r="K680" i="1"/>
  <c r="M680" i="1"/>
  <c r="N680" i="1"/>
  <c r="P680" i="1"/>
  <c r="Q680" i="1"/>
  <c r="R680" i="1"/>
  <c r="T680" i="1"/>
  <c r="Z680" i="1"/>
  <c r="AL680" i="1"/>
  <c r="A681" i="1"/>
  <c r="B681" i="1"/>
  <c r="C681" i="1"/>
  <c r="G681" i="1"/>
  <c r="H681" i="1"/>
  <c r="I681" i="1"/>
  <c r="J681" i="1"/>
  <c r="K681" i="1"/>
  <c r="M681" i="1"/>
  <c r="N681" i="1"/>
  <c r="P681" i="1"/>
  <c r="Q681" i="1"/>
  <c r="R681" i="1"/>
  <c r="S681" i="1"/>
  <c r="T681" i="1"/>
  <c r="Z681" i="1"/>
  <c r="AL681" i="1"/>
  <c r="A682" i="1"/>
  <c r="B682" i="1"/>
  <c r="C682" i="1"/>
  <c r="G682" i="1"/>
  <c r="H682" i="1"/>
  <c r="I682" i="1"/>
  <c r="J682" i="1"/>
  <c r="K682" i="1"/>
  <c r="M682" i="1"/>
  <c r="N682" i="1"/>
  <c r="P682" i="1"/>
  <c r="Q682" i="1"/>
  <c r="R682" i="1"/>
  <c r="S682" i="1"/>
  <c r="T682" i="1"/>
  <c r="Z682" i="1"/>
  <c r="AL682" i="1"/>
  <c r="A683" i="1"/>
  <c r="B683" i="1"/>
  <c r="C683" i="1"/>
  <c r="G683" i="1"/>
  <c r="H683" i="1"/>
  <c r="I683" i="1"/>
  <c r="J683" i="1"/>
  <c r="K683" i="1"/>
  <c r="M683" i="1"/>
  <c r="N683" i="1"/>
  <c r="P683" i="1"/>
  <c r="Q683" i="1"/>
  <c r="R683" i="1"/>
  <c r="S683" i="1"/>
  <c r="T683" i="1"/>
  <c r="Z683" i="1"/>
  <c r="AL683" i="1"/>
  <c r="A684" i="1"/>
  <c r="B684" i="1"/>
  <c r="C684" i="1"/>
  <c r="G684" i="1"/>
  <c r="H684" i="1"/>
  <c r="I684" i="1"/>
  <c r="J684" i="1"/>
  <c r="K684" i="1"/>
  <c r="M684" i="1"/>
  <c r="N684" i="1"/>
  <c r="P684" i="1"/>
  <c r="Q684" i="1"/>
  <c r="R684" i="1"/>
  <c r="S684" i="1"/>
  <c r="T684" i="1"/>
  <c r="Z684" i="1"/>
  <c r="AL684" i="1"/>
  <c r="A685" i="1"/>
  <c r="B685" i="1"/>
  <c r="C685" i="1"/>
  <c r="G685" i="1"/>
  <c r="H685" i="1"/>
  <c r="I685" i="1"/>
  <c r="J685" i="1"/>
  <c r="K685" i="1"/>
  <c r="M685" i="1"/>
  <c r="N685" i="1"/>
  <c r="P685" i="1"/>
  <c r="Q685" i="1"/>
  <c r="R685" i="1"/>
  <c r="S685" i="1"/>
  <c r="T685" i="1"/>
  <c r="Z685" i="1"/>
  <c r="AL685" i="1"/>
  <c r="A686" i="1"/>
  <c r="B686" i="1"/>
  <c r="C686" i="1"/>
  <c r="G686" i="1"/>
  <c r="H686" i="1"/>
  <c r="I686" i="1"/>
  <c r="J686" i="1"/>
  <c r="K686" i="1"/>
  <c r="M686" i="1"/>
  <c r="N686" i="1"/>
  <c r="P686" i="1"/>
  <c r="Q686" i="1"/>
  <c r="R686" i="1"/>
  <c r="S686" i="1"/>
  <c r="T686" i="1"/>
  <c r="Z686" i="1"/>
  <c r="AL686" i="1"/>
  <c r="A687" i="1"/>
  <c r="B687" i="1"/>
  <c r="C687" i="1"/>
  <c r="G687" i="1"/>
  <c r="H687" i="1"/>
  <c r="I687" i="1"/>
  <c r="J687" i="1"/>
  <c r="K687" i="1"/>
  <c r="M687" i="1"/>
  <c r="N687" i="1"/>
  <c r="P687" i="1"/>
  <c r="Q687" i="1"/>
  <c r="R687" i="1"/>
  <c r="S687" i="1"/>
  <c r="T687" i="1"/>
  <c r="Z687" i="1"/>
  <c r="AL687" i="1"/>
  <c r="A688" i="1"/>
  <c r="B688" i="1"/>
  <c r="C688" i="1"/>
  <c r="G688" i="1"/>
  <c r="H688" i="1"/>
  <c r="I688" i="1"/>
  <c r="J688" i="1"/>
  <c r="K688" i="1"/>
  <c r="M688" i="1"/>
  <c r="N688" i="1"/>
  <c r="P688" i="1"/>
  <c r="Q688" i="1"/>
  <c r="R688" i="1"/>
  <c r="S688" i="1"/>
  <c r="T688" i="1"/>
  <c r="Z688" i="1"/>
  <c r="AL688" i="1"/>
  <c r="A689" i="1"/>
  <c r="B689" i="1"/>
  <c r="C689" i="1"/>
  <c r="G689" i="1"/>
  <c r="H689" i="1"/>
  <c r="I689" i="1"/>
  <c r="J689" i="1"/>
  <c r="K689" i="1"/>
  <c r="M689" i="1"/>
  <c r="N689" i="1"/>
  <c r="P689" i="1"/>
  <c r="Q689" i="1"/>
  <c r="R689" i="1"/>
  <c r="S689" i="1"/>
  <c r="T689" i="1"/>
  <c r="Z689" i="1"/>
  <c r="AL689" i="1"/>
  <c r="A690" i="1"/>
  <c r="B690" i="1"/>
  <c r="C690" i="1"/>
  <c r="G690" i="1"/>
  <c r="H690" i="1"/>
  <c r="I690" i="1"/>
  <c r="J690" i="1"/>
  <c r="K690" i="1"/>
  <c r="M690" i="1"/>
  <c r="N690" i="1"/>
  <c r="P690" i="1"/>
  <c r="Q690" i="1"/>
  <c r="R690" i="1"/>
  <c r="S690" i="1"/>
  <c r="T690" i="1"/>
  <c r="Z690" i="1"/>
  <c r="AL690" i="1"/>
  <c r="A691" i="1"/>
  <c r="B691" i="1"/>
  <c r="C691" i="1"/>
  <c r="G691" i="1"/>
  <c r="H691" i="1"/>
  <c r="I691" i="1"/>
  <c r="J691" i="1"/>
  <c r="K691" i="1"/>
  <c r="M691" i="1"/>
  <c r="N691" i="1"/>
  <c r="P691" i="1"/>
  <c r="Q691" i="1"/>
  <c r="R691" i="1"/>
  <c r="S691" i="1"/>
  <c r="T691" i="1"/>
  <c r="Z691" i="1"/>
  <c r="AL691" i="1"/>
  <c r="A692" i="1"/>
  <c r="B692" i="1"/>
  <c r="C692" i="1"/>
  <c r="G692" i="1"/>
  <c r="H692" i="1"/>
  <c r="I692" i="1"/>
  <c r="J692" i="1"/>
  <c r="K692" i="1"/>
  <c r="M692" i="1"/>
  <c r="N692" i="1"/>
  <c r="P692" i="1"/>
  <c r="Q692" i="1"/>
  <c r="R692" i="1"/>
  <c r="S692" i="1"/>
  <c r="T692" i="1"/>
  <c r="Z692" i="1"/>
  <c r="AL692" i="1"/>
  <c r="A693" i="1"/>
  <c r="B693" i="1"/>
  <c r="C693" i="1"/>
  <c r="G693" i="1"/>
  <c r="H693" i="1"/>
  <c r="I693" i="1"/>
  <c r="J693" i="1"/>
  <c r="K693" i="1"/>
  <c r="M693" i="1"/>
  <c r="N693" i="1"/>
  <c r="P693" i="1"/>
  <c r="Q693" i="1"/>
  <c r="R693" i="1"/>
  <c r="S693" i="1"/>
  <c r="T693" i="1"/>
  <c r="Z693" i="1"/>
  <c r="AL693" i="1"/>
  <c r="A694" i="1"/>
  <c r="B694" i="1"/>
  <c r="C694" i="1"/>
  <c r="G694" i="1"/>
  <c r="H694" i="1"/>
  <c r="I694" i="1"/>
  <c r="J694" i="1"/>
  <c r="K694" i="1"/>
  <c r="M694" i="1"/>
  <c r="N694" i="1"/>
  <c r="P694" i="1"/>
  <c r="Q694" i="1"/>
  <c r="R694" i="1"/>
  <c r="S694" i="1"/>
  <c r="T694" i="1"/>
  <c r="Z694" i="1"/>
  <c r="AL694" i="1"/>
  <c r="A695" i="1"/>
  <c r="B695" i="1"/>
  <c r="C695" i="1"/>
  <c r="G695" i="1"/>
  <c r="H695" i="1"/>
  <c r="I695" i="1"/>
  <c r="J695" i="1"/>
  <c r="K695" i="1"/>
  <c r="M695" i="1"/>
  <c r="N695" i="1"/>
  <c r="P695" i="1"/>
  <c r="Q695" i="1"/>
  <c r="R695" i="1"/>
  <c r="S695" i="1"/>
  <c r="T695" i="1"/>
  <c r="Z695" i="1"/>
  <c r="AL695" i="1"/>
  <c r="A696" i="1"/>
  <c r="B696" i="1"/>
  <c r="C696" i="1"/>
  <c r="G696" i="1"/>
  <c r="H696" i="1"/>
  <c r="I696" i="1"/>
  <c r="J696" i="1"/>
  <c r="K696" i="1"/>
  <c r="M696" i="1"/>
  <c r="N696" i="1"/>
  <c r="P696" i="1"/>
  <c r="Q696" i="1"/>
  <c r="R696" i="1"/>
  <c r="S696" i="1"/>
  <c r="T696" i="1"/>
  <c r="Z696" i="1"/>
  <c r="AL696" i="1"/>
  <c r="A697" i="1"/>
  <c r="B697" i="1"/>
  <c r="C697" i="1"/>
  <c r="G697" i="1"/>
  <c r="H697" i="1"/>
  <c r="I697" i="1"/>
  <c r="J697" i="1"/>
  <c r="K697" i="1"/>
  <c r="M697" i="1"/>
  <c r="N697" i="1"/>
  <c r="P697" i="1"/>
  <c r="Q697" i="1"/>
  <c r="R697" i="1"/>
  <c r="S697" i="1"/>
  <c r="T697" i="1"/>
  <c r="Z697" i="1"/>
  <c r="AL697" i="1"/>
  <c r="A698" i="1"/>
  <c r="B698" i="1"/>
  <c r="C698" i="1"/>
  <c r="G698" i="1"/>
  <c r="H698" i="1"/>
  <c r="I698" i="1"/>
  <c r="J698" i="1"/>
  <c r="K698" i="1"/>
  <c r="M698" i="1"/>
  <c r="N698" i="1"/>
  <c r="P698" i="1"/>
  <c r="Q698" i="1"/>
  <c r="R698" i="1"/>
  <c r="S698" i="1"/>
  <c r="T698" i="1"/>
  <c r="Z698" i="1"/>
  <c r="AL698" i="1"/>
  <c r="A699" i="1"/>
  <c r="B699" i="1"/>
  <c r="C699" i="1"/>
  <c r="G699" i="1"/>
  <c r="H699" i="1"/>
  <c r="I699" i="1"/>
  <c r="J699" i="1"/>
  <c r="K699" i="1"/>
  <c r="M699" i="1"/>
  <c r="N699" i="1"/>
  <c r="P699" i="1"/>
  <c r="Q699" i="1"/>
  <c r="R699" i="1"/>
  <c r="S699" i="1"/>
  <c r="T699" i="1"/>
  <c r="Z699" i="1"/>
  <c r="AL699" i="1"/>
  <c r="A700" i="1"/>
  <c r="B700" i="1"/>
  <c r="C700" i="1"/>
  <c r="G700" i="1"/>
  <c r="H700" i="1"/>
  <c r="I700" i="1"/>
  <c r="J700" i="1"/>
  <c r="K700" i="1"/>
  <c r="M700" i="1"/>
  <c r="N700" i="1"/>
  <c r="P700" i="1"/>
  <c r="Q700" i="1"/>
  <c r="R700" i="1"/>
  <c r="S700" i="1"/>
  <c r="T700" i="1"/>
  <c r="Z700" i="1"/>
  <c r="AL700" i="1"/>
  <c r="A701" i="1"/>
  <c r="B701" i="1"/>
  <c r="C701" i="1"/>
  <c r="G701" i="1"/>
  <c r="H701" i="1"/>
  <c r="I701" i="1"/>
  <c r="J701" i="1"/>
  <c r="K701" i="1"/>
  <c r="M701" i="1"/>
  <c r="N701" i="1"/>
  <c r="P701" i="1"/>
  <c r="Q701" i="1"/>
  <c r="R701" i="1"/>
  <c r="S701" i="1"/>
  <c r="T701" i="1"/>
  <c r="Z701" i="1"/>
  <c r="AL701" i="1"/>
  <c r="A702" i="1"/>
  <c r="B702" i="1"/>
  <c r="C702" i="1"/>
  <c r="G702" i="1"/>
  <c r="H702" i="1"/>
  <c r="I702" i="1"/>
  <c r="J702" i="1"/>
  <c r="K702" i="1"/>
  <c r="M702" i="1"/>
  <c r="N702" i="1"/>
  <c r="P702" i="1"/>
  <c r="Q702" i="1"/>
  <c r="R702" i="1"/>
  <c r="S702" i="1"/>
  <c r="T702" i="1"/>
  <c r="Z702" i="1"/>
  <c r="AL702" i="1"/>
  <c r="A703" i="1"/>
  <c r="B703" i="1"/>
  <c r="C703" i="1"/>
  <c r="G703" i="1"/>
  <c r="H703" i="1"/>
  <c r="I703" i="1"/>
  <c r="J703" i="1"/>
  <c r="K703" i="1"/>
  <c r="M703" i="1"/>
  <c r="N703" i="1"/>
  <c r="P703" i="1"/>
  <c r="Q703" i="1"/>
  <c r="R703" i="1"/>
  <c r="S703" i="1"/>
  <c r="T703" i="1"/>
  <c r="Z703" i="1"/>
  <c r="AL703" i="1"/>
  <c r="A704" i="1"/>
  <c r="B704" i="1"/>
  <c r="C704" i="1"/>
  <c r="G704" i="1"/>
  <c r="H704" i="1"/>
  <c r="I704" i="1"/>
  <c r="J704" i="1"/>
  <c r="K704" i="1"/>
  <c r="M704" i="1"/>
  <c r="N704" i="1"/>
  <c r="P704" i="1"/>
  <c r="Q704" i="1"/>
  <c r="R704" i="1"/>
  <c r="S704" i="1"/>
  <c r="T704" i="1"/>
  <c r="Z704" i="1"/>
  <c r="AL704" i="1"/>
  <c r="A705" i="1"/>
  <c r="B705" i="1"/>
  <c r="C705" i="1"/>
  <c r="G705" i="1"/>
  <c r="H705" i="1"/>
  <c r="I705" i="1"/>
  <c r="J705" i="1"/>
  <c r="K705" i="1"/>
  <c r="M705" i="1"/>
  <c r="N705" i="1"/>
  <c r="P705" i="1"/>
  <c r="Q705" i="1"/>
  <c r="R705" i="1"/>
  <c r="S705" i="1"/>
  <c r="T705" i="1"/>
  <c r="Z705" i="1"/>
  <c r="AL705" i="1"/>
  <c r="A706" i="1"/>
  <c r="B706" i="1"/>
  <c r="C706" i="1"/>
  <c r="G706" i="1"/>
  <c r="H706" i="1"/>
  <c r="I706" i="1"/>
  <c r="J706" i="1"/>
  <c r="K706" i="1"/>
  <c r="M706" i="1"/>
  <c r="N706" i="1"/>
  <c r="P706" i="1"/>
  <c r="Q706" i="1"/>
  <c r="R706" i="1"/>
  <c r="S706" i="1"/>
  <c r="T706" i="1"/>
  <c r="Z706" i="1"/>
  <c r="AL706" i="1"/>
  <c r="A707" i="1"/>
  <c r="B707" i="1"/>
  <c r="C707" i="1"/>
  <c r="G707" i="1"/>
  <c r="H707" i="1"/>
  <c r="I707" i="1"/>
  <c r="J707" i="1"/>
  <c r="K707" i="1"/>
  <c r="M707" i="1"/>
  <c r="N707" i="1"/>
  <c r="P707" i="1"/>
  <c r="Q707" i="1"/>
  <c r="R707" i="1"/>
  <c r="S707" i="1"/>
  <c r="T707" i="1"/>
  <c r="Z707" i="1"/>
  <c r="AL707" i="1"/>
  <c r="A708" i="1"/>
  <c r="B708" i="1"/>
  <c r="C708" i="1"/>
  <c r="G708" i="1"/>
  <c r="H708" i="1"/>
  <c r="I708" i="1"/>
  <c r="J708" i="1"/>
  <c r="K708" i="1"/>
  <c r="M708" i="1"/>
  <c r="N708" i="1"/>
  <c r="P708" i="1"/>
  <c r="Q708" i="1"/>
  <c r="R708" i="1"/>
  <c r="S708" i="1"/>
  <c r="T708" i="1"/>
  <c r="Z708" i="1"/>
  <c r="AL708" i="1"/>
  <c r="A709" i="1"/>
  <c r="B709" i="1"/>
  <c r="C709" i="1"/>
  <c r="G709" i="1"/>
  <c r="H709" i="1"/>
  <c r="I709" i="1"/>
  <c r="J709" i="1"/>
  <c r="K709" i="1"/>
  <c r="M709" i="1"/>
  <c r="N709" i="1"/>
  <c r="P709" i="1"/>
  <c r="Q709" i="1"/>
  <c r="R709" i="1"/>
  <c r="S709" i="1"/>
  <c r="T709" i="1"/>
  <c r="Z709" i="1"/>
  <c r="AL709" i="1"/>
  <c r="A710" i="1"/>
  <c r="B710" i="1"/>
  <c r="C710" i="1"/>
  <c r="G710" i="1"/>
  <c r="H710" i="1"/>
  <c r="I710" i="1"/>
  <c r="J710" i="1"/>
  <c r="K710" i="1"/>
  <c r="M710" i="1"/>
  <c r="N710" i="1"/>
  <c r="P710" i="1"/>
  <c r="Q710" i="1"/>
  <c r="R710" i="1"/>
  <c r="S710" i="1"/>
  <c r="T710" i="1"/>
  <c r="Z710" i="1"/>
  <c r="AL710" i="1"/>
  <c r="A711" i="1"/>
  <c r="B711" i="1"/>
  <c r="C711" i="1"/>
  <c r="G711" i="1"/>
  <c r="H711" i="1"/>
  <c r="I711" i="1"/>
  <c r="J711" i="1"/>
  <c r="K711" i="1"/>
  <c r="M711" i="1"/>
  <c r="N711" i="1"/>
  <c r="P711" i="1"/>
  <c r="Q711" i="1"/>
  <c r="R711" i="1"/>
  <c r="S711" i="1"/>
  <c r="T711" i="1"/>
  <c r="Z711" i="1"/>
  <c r="AL711" i="1"/>
  <c r="A712" i="1"/>
  <c r="B712" i="1"/>
  <c r="C712" i="1"/>
  <c r="G712" i="1"/>
  <c r="H712" i="1"/>
  <c r="I712" i="1"/>
  <c r="J712" i="1"/>
  <c r="K712" i="1"/>
  <c r="M712" i="1"/>
  <c r="N712" i="1"/>
  <c r="P712" i="1"/>
  <c r="Q712" i="1"/>
  <c r="R712" i="1"/>
  <c r="S712" i="1"/>
  <c r="T712" i="1"/>
  <c r="Z712" i="1"/>
  <c r="AL712" i="1"/>
  <c r="A713" i="1"/>
  <c r="B713" i="1"/>
  <c r="C713" i="1"/>
  <c r="G713" i="1"/>
  <c r="H713" i="1"/>
  <c r="I713" i="1"/>
  <c r="J713" i="1"/>
  <c r="K713" i="1"/>
  <c r="M713" i="1"/>
  <c r="N713" i="1"/>
  <c r="P713" i="1"/>
  <c r="Q713" i="1"/>
  <c r="R713" i="1"/>
  <c r="S713" i="1"/>
  <c r="T713" i="1"/>
  <c r="Z713" i="1"/>
  <c r="AL713" i="1"/>
  <c r="A714" i="1"/>
  <c r="B714" i="1"/>
  <c r="C714" i="1"/>
  <c r="G714" i="1"/>
  <c r="H714" i="1"/>
  <c r="I714" i="1"/>
  <c r="J714" i="1"/>
  <c r="K714" i="1"/>
  <c r="M714" i="1"/>
  <c r="N714" i="1"/>
  <c r="P714" i="1"/>
  <c r="Q714" i="1"/>
  <c r="R714" i="1"/>
  <c r="S714" i="1"/>
  <c r="T714" i="1"/>
  <c r="Z714" i="1"/>
  <c r="AL714" i="1"/>
  <c r="A715" i="1"/>
  <c r="B715" i="1"/>
  <c r="C715" i="1"/>
  <c r="G715" i="1"/>
  <c r="H715" i="1"/>
  <c r="I715" i="1"/>
  <c r="J715" i="1"/>
  <c r="K715" i="1"/>
  <c r="M715" i="1"/>
  <c r="N715" i="1"/>
  <c r="P715" i="1"/>
  <c r="Q715" i="1"/>
  <c r="R715" i="1"/>
  <c r="S715" i="1"/>
  <c r="T715" i="1"/>
  <c r="Z715" i="1"/>
  <c r="AL715" i="1"/>
  <c r="A716" i="1"/>
  <c r="B716" i="1"/>
  <c r="C716" i="1"/>
  <c r="G716" i="1"/>
  <c r="H716" i="1"/>
  <c r="I716" i="1"/>
  <c r="J716" i="1"/>
  <c r="K716" i="1"/>
  <c r="M716" i="1"/>
  <c r="N716" i="1"/>
  <c r="P716" i="1"/>
  <c r="Q716" i="1"/>
  <c r="R716" i="1"/>
  <c r="S716" i="1"/>
  <c r="T716" i="1"/>
  <c r="Z716" i="1"/>
  <c r="AL716" i="1"/>
  <c r="A717" i="1"/>
  <c r="B717" i="1"/>
  <c r="C717" i="1"/>
  <c r="G717" i="1"/>
  <c r="H717" i="1"/>
  <c r="I717" i="1"/>
  <c r="J717" i="1"/>
  <c r="K717" i="1"/>
  <c r="M717" i="1"/>
  <c r="N717" i="1"/>
  <c r="P717" i="1"/>
  <c r="Q717" i="1"/>
  <c r="R717" i="1"/>
  <c r="S717" i="1"/>
  <c r="T717" i="1"/>
  <c r="Z717" i="1"/>
  <c r="AL717" i="1"/>
  <c r="A718" i="1"/>
  <c r="B718" i="1"/>
  <c r="C718" i="1"/>
  <c r="G718" i="1"/>
  <c r="H718" i="1"/>
  <c r="I718" i="1"/>
  <c r="J718" i="1"/>
  <c r="K718" i="1"/>
  <c r="M718" i="1"/>
  <c r="N718" i="1"/>
  <c r="P718" i="1"/>
  <c r="Q718" i="1"/>
  <c r="R718" i="1"/>
  <c r="S718" i="1"/>
  <c r="T718" i="1"/>
  <c r="Z718" i="1"/>
  <c r="AL718" i="1"/>
  <c r="A719" i="1"/>
  <c r="B719" i="1"/>
  <c r="C719" i="1"/>
  <c r="G719" i="1"/>
  <c r="H719" i="1"/>
  <c r="I719" i="1"/>
  <c r="J719" i="1"/>
  <c r="K719" i="1"/>
  <c r="M719" i="1"/>
  <c r="N719" i="1"/>
  <c r="P719" i="1"/>
  <c r="Q719" i="1"/>
  <c r="R719" i="1"/>
  <c r="S719" i="1"/>
  <c r="T719" i="1"/>
  <c r="Z719" i="1"/>
  <c r="AL719" i="1"/>
  <c r="A720" i="1"/>
  <c r="B720" i="1"/>
  <c r="C720" i="1"/>
  <c r="G720" i="1"/>
  <c r="H720" i="1"/>
  <c r="I720" i="1"/>
  <c r="J720" i="1"/>
  <c r="K720" i="1"/>
  <c r="M720" i="1"/>
  <c r="N720" i="1"/>
  <c r="P720" i="1"/>
  <c r="Q720" i="1"/>
  <c r="R720" i="1"/>
  <c r="S720" i="1"/>
  <c r="T720" i="1"/>
  <c r="Z720" i="1"/>
  <c r="AL720" i="1"/>
  <c r="A721" i="1"/>
  <c r="B721" i="1"/>
  <c r="C721" i="1"/>
  <c r="G721" i="1"/>
  <c r="H721" i="1"/>
  <c r="I721" i="1"/>
  <c r="J721" i="1"/>
  <c r="K721" i="1"/>
  <c r="M721" i="1"/>
  <c r="N721" i="1"/>
  <c r="P721" i="1"/>
  <c r="Q721" i="1"/>
  <c r="R721" i="1"/>
  <c r="S721" i="1"/>
  <c r="T721" i="1"/>
  <c r="Z721" i="1"/>
  <c r="AL721" i="1"/>
  <c r="A722" i="1"/>
  <c r="B722" i="1"/>
  <c r="C722" i="1"/>
  <c r="G722" i="1"/>
  <c r="H722" i="1"/>
  <c r="I722" i="1"/>
  <c r="J722" i="1"/>
  <c r="K722" i="1"/>
  <c r="M722" i="1"/>
  <c r="N722" i="1"/>
  <c r="P722" i="1"/>
  <c r="Q722" i="1"/>
  <c r="R722" i="1"/>
  <c r="S722" i="1"/>
  <c r="T722" i="1"/>
  <c r="Z722" i="1"/>
  <c r="AL722" i="1"/>
  <c r="A723" i="1"/>
  <c r="B723" i="1"/>
  <c r="C723" i="1"/>
  <c r="G723" i="1"/>
  <c r="H723" i="1"/>
  <c r="I723" i="1"/>
  <c r="J723" i="1"/>
  <c r="K723" i="1"/>
  <c r="M723" i="1"/>
  <c r="N723" i="1"/>
  <c r="P723" i="1"/>
  <c r="Q723" i="1"/>
  <c r="R723" i="1"/>
  <c r="S723" i="1"/>
  <c r="T723" i="1"/>
  <c r="Z723" i="1"/>
  <c r="AL723" i="1"/>
  <c r="A724" i="1"/>
  <c r="B724" i="1"/>
  <c r="C724" i="1"/>
  <c r="G724" i="1"/>
  <c r="H724" i="1"/>
  <c r="I724" i="1"/>
  <c r="J724" i="1"/>
  <c r="K724" i="1"/>
  <c r="M724" i="1"/>
  <c r="N724" i="1"/>
  <c r="P724" i="1"/>
  <c r="Q724" i="1"/>
  <c r="R724" i="1"/>
  <c r="S724" i="1"/>
  <c r="T724" i="1"/>
  <c r="Z724" i="1"/>
  <c r="AL724" i="1"/>
  <c r="A725" i="1"/>
  <c r="B725" i="1"/>
  <c r="C725" i="1"/>
  <c r="G725" i="1"/>
  <c r="H725" i="1"/>
  <c r="I725" i="1"/>
  <c r="J725" i="1"/>
  <c r="K725" i="1"/>
  <c r="M725" i="1"/>
  <c r="N725" i="1"/>
  <c r="P725" i="1"/>
  <c r="Q725" i="1"/>
  <c r="R725" i="1"/>
  <c r="S725" i="1"/>
  <c r="T725" i="1"/>
  <c r="Z725" i="1"/>
  <c r="AL725" i="1"/>
  <c r="A726" i="1"/>
  <c r="B726" i="1"/>
  <c r="C726" i="1"/>
  <c r="G726" i="1"/>
  <c r="H726" i="1"/>
  <c r="I726" i="1"/>
  <c r="J726" i="1"/>
  <c r="K726" i="1"/>
  <c r="M726" i="1"/>
  <c r="N726" i="1"/>
  <c r="P726" i="1"/>
  <c r="Q726" i="1"/>
  <c r="R726" i="1"/>
  <c r="S726" i="1"/>
  <c r="T726" i="1"/>
  <c r="Z726" i="1"/>
  <c r="AL726" i="1"/>
  <c r="A727" i="1"/>
  <c r="B727" i="1"/>
  <c r="C727" i="1"/>
  <c r="G727" i="1"/>
  <c r="H727" i="1"/>
  <c r="I727" i="1"/>
  <c r="J727" i="1"/>
  <c r="K727" i="1"/>
  <c r="M727" i="1"/>
  <c r="N727" i="1"/>
  <c r="P727" i="1"/>
  <c r="Q727" i="1"/>
  <c r="R727" i="1"/>
  <c r="S727" i="1"/>
  <c r="T727" i="1"/>
  <c r="Z727" i="1"/>
  <c r="AL727" i="1"/>
  <c r="A728" i="1"/>
  <c r="B728" i="1"/>
  <c r="C728" i="1"/>
  <c r="G728" i="1"/>
  <c r="H728" i="1"/>
  <c r="I728" i="1"/>
  <c r="J728" i="1"/>
  <c r="K728" i="1"/>
  <c r="M728" i="1"/>
  <c r="N728" i="1"/>
  <c r="P728" i="1"/>
  <c r="Q728" i="1"/>
  <c r="R728" i="1"/>
  <c r="S728" i="1"/>
  <c r="T728" i="1"/>
  <c r="Z728" i="1"/>
  <c r="AL728" i="1"/>
  <c r="A729" i="1"/>
  <c r="B729" i="1"/>
  <c r="C729" i="1"/>
  <c r="G729" i="1"/>
  <c r="H729" i="1"/>
  <c r="I729" i="1"/>
  <c r="J729" i="1"/>
  <c r="K729" i="1"/>
  <c r="M729" i="1"/>
  <c r="N729" i="1"/>
  <c r="P729" i="1"/>
  <c r="Q729" i="1"/>
  <c r="R729" i="1"/>
  <c r="S729" i="1"/>
  <c r="T729" i="1"/>
  <c r="Z729" i="1"/>
  <c r="AL729" i="1"/>
  <c r="A730" i="1"/>
  <c r="B730" i="1"/>
  <c r="C730" i="1"/>
  <c r="G730" i="1"/>
  <c r="H730" i="1"/>
  <c r="I730" i="1"/>
  <c r="J730" i="1"/>
  <c r="K730" i="1"/>
  <c r="M730" i="1"/>
  <c r="N730" i="1"/>
  <c r="P730" i="1"/>
  <c r="Q730" i="1"/>
  <c r="R730" i="1"/>
  <c r="S730" i="1"/>
  <c r="T730" i="1"/>
  <c r="Z730" i="1"/>
  <c r="AL730" i="1"/>
  <c r="A731" i="1"/>
  <c r="B731" i="1"/>
  <c r="C731" i="1"/>
  <c r="G731" i="1"/>
  <c r="H731" i="1"/>
  <c r="I731" i="1"/>
  <c r="J731" i="1"/>
  <c r="K731" i="1"/>
  <c r="M731" i="1"/>
  <c r="N731" i="1"/>
  <c r="P731" i="1"/>
  <c r="Q731" i="1"/>
  <c r="R731" i="1"/>
  <c r="S731" i="1"/>
  <c r="T731" i="1"/>
  <c r="Z731" i="1"/>
  <c r="AL731" i="1"/>
  <c r="A732" i="1"/>
  <c r="B732" i="1"/>
  <c r="C732" i="1"/>
  <c r="G732" i="1"/>
  <c r="H732" i="1"/>
  <c r="I732" i="1"/>
  <c r="J732" i="1"/>
  <c r="K732" i="1"/>
  <c r="M732" i="1"/>
  <c r="N732" i="1"/>
  <c r="P732" i="1"/>
  <c r="Q732" i="1"/>
  <c r="R732" i="1"/>
  <c r="S732" i="1"/>
  <c r="T732" i="1"/>
  <c r="Z732" i="1"/>
  <c r="AL732" i="1"/>
  <c r="A733" i="1"/>
  <c r="B733" i="1"/>
  <c r="C733" i="1"/>
  <c r="G733" i="1"/>
  <c r="H733" i="1"/>
  <c r="I733" i="1"/>
  <c r="J733" i="1"/>
  <c r="K733" i="1"/>
  <c r="M733" i="1"/>
  <c r="N733" i="1"/>
  <c r="P733" i="1"/>
  <c r="Q733" i="1"/>
  <c r="R733" i="1"/>
  <c r="S733" i="1"/>
  <c r="T733" i="1"/>
  <c r="Z733" i="1"/>
  <c r="AL733" i="1"/>
  <c r="A734" i="1"/>
  <c r="B734" i="1"/>
  <c r="C734" i="1"/>
  <c r="G734" i="1"/>
  <c r="H734" i="1"/>
  <c r="I734" i="1"/>
  <c r="J734" i="1"/>
  <c r="K734" i="1"/>
  <c r="M734" i="1"/>
  <c r="N734" i="1"/>
  <c r="P734" i="1"/>
  <c r="Q734" i="1"/>
  <c r="R734" i="1"/>
  <c r="S734" i="1"/>
  <c r="T734" i="1"/>
  <c r="Z734" i="1"/>
  <c r="AL734" i="1"/>
  <c r="A735" i="1"/>
  <c r="B735" i="1"/>
  <c r="C735" i="1"/>
  <c r="G735" i="1"/>
  <c r="H735" i="1"/>
  <c r="I735" i="1"/>
  <c r="J735" i="1"/>
  <c r="K735" i="1"/>
  <c r="M735" i="1"/>
  <c r="N735" i="1"/>
  <c r="P735" i="1"/>
  <c r="Q735" i="1"/>
  <c r="R735" i="1"/>
  <c r="S735" i="1"/>
  <c r="T735" i="1"/>
  <c r="Z735" i="1"/>
  <c r="AL735" i="1"/>
  <c r="A736" i="1"/>
  <c r="B736" i="1"/>
  <c r="C736" i="1"/>
  <c r="G736" i="1"/>
  <c r="H736" i="1"/>
  <c r="I736" i="1"/>
  <c r="J736" i="1"/>
  <c r="K736" i="1"/>
  <c r="M736" i="1"/>
  <c r="N736" i="1"/>
  <c r="P736" i="1"/>
  <c r="Q736" i="1"/>
  <c r="R736" i="1"/>
  <c r="S736" i="1"/>
  <c r="T736" i="1"/>
  <c r="Z736" i="1"/>
  <c r="AL736" i="1"/>
  <c r="A737" i="1"/>
  <c r="B737" i="1"/>
  <c r="C737" i="1"/>
  <c r="G737" i="1"/>
  <c r="H737" i="1"/>
  <c r="I737" i="1"/>
  <c r="J737" i="1"/>
  <c r="K737" i="1"/>
  <c r="M737" i="1"/>
  <c r="N737" i="1"/>
  <c r="P737" i="1"/>
  <c r="Q737" i="1"/>
  <c r="R737" i="1"/>
  <c r="S737" i="1"/>
  <c r="T737" i="1"/>
  <c r="Z737" i="1"/>
  <c r="AL737" i="1"/>
  <c r="A738" i="1"/>
  <c r="B738" i="1"/>
  <c r="C738" i="1"/>
  <c r="G738" i="1"/>
  <c r="H738" i="1"/>
  <c r="I738" i="1"/>
  <c r="J738" i="1"/>
  <c r="K738" i="1"/>
  <c r="M738" i="1"/>
  <c r="N738" i="1"/>
  <c r="P738" i="1"/>
  <c r="Q738" i="1"/>
  <c r="R738" i="1"/>
  <c r="S738" i="1"/>
  <c r="T738" i="1"/>
  <c r="Z738" i="1"/>
  <c r="AL738" i="1"/>
  <c r="A739" i="1"/>
  <c r="B739" i="1"/>
  <c r="C739" i="1"/>
  <c r="G739" i="1"/>
  <c r="H739" i="1"/>
  <c r="I739" i="1"/>
  <c r="J739" i="1"/>
  <c r="K739" i="1"/>
  <c r="M739" i="1"/>
  <c r="N739" i="1"/>
  <c r="P739" i="1"/>
  <c r="Q739" i="1"/>
  <c r="R739" i="1"/>
  <c r="S739" i="1"/>
  <c r="T739" i="1"/>
  <c r="Z739" i="1"/>
  <c r="AL739" i="1"/>
  <c r="A740" i="1"/>
  <c r="B740" i="1"/>
  <c r="C740" i="1"/>
  <c r="G740" i="1"/>
  <c r="H740" i="1"/>
  <c r="I740" i="1"/>
  <c r="J740" i="1"/>
  <c r="K740" i="1"/>
  <c r="M740" i="1"/>
  <c r="N740" i="1"/>
  <c r="P740" i="1"/>
  <c r="Q740" i="1"/>
  <c r="R740" i="1"/>
  <c r="S740" i="1"/>
  <c r="T740" i="1"/>
  <c r="Z740" i="1"/>
  <c r="AL740" i="1"/>
  <c r="A741" i="1"/>
  <c r="B741" i="1"/>
  <c r="C741" i="1"/>
  <c r="G741" i="1"/>
  <c r="H741" i="1"/>
  <c r="I741" i="1"/>
  <c r="J741" i="1"/>
  <c r="K741" i="1"/>
  <c r="M741" i="1"/>
  <c r="N741" i="1"/>
  <c r="P741" i="1"/>
  <c r="Q741" i="1"/>
  <c r="R741" i="1"/>
  <c r="S741" i="1"/>
  <c r="T741" i="1"/>
  <c r="Z741" i="1"/>
  <c r="AL741" i="1"/>
  <c r="A742" i="1"/>
  <c r="B742" i="1"/>
  <c r="C742" i="1"/>
  <c r="G742" i="1"/>
  <c r="H742" i="1"/>
  <c r="I742" i="1"/>
  <c r="J742" i="1"/>
  <c r="K742" i="1"/>
  <c r="M742" i="1"/>
  <c r="N742" i="1"/>
  <c r="P742" i="1"/>
  <c r="Q742" i="1"/>
  <c r="R742" i="1"/>
  <c r="S742" i="1"/>
  <c r="T742" i="1"/>
  <c r="Z742" i="1"/>
  <c r="AL742" i="1"/>
  <c r="A743" i="1"/>
  <c r="B743" i="1"/>
  <c r="C743" i="1"/>
  <c r="G743" i="1"/>
  <c r="H743" i="1"/>
  <c r="I743" i="1"/>
  <c r="J743" i="1"/>
  <c r="K743" i="1"/>
  <c r="M743" i="1"/>
  <c r="N743" i="1"/>
  <c r="P743" i="1"/>
  <c r="Q743" i="1"/>
  <c r="R743" i="1"/>
  <c r="S743" i="1"/>
  <c r="T743" i="1"/>
  <c r="Z743" i="1"/>
  <c r="AL743" i="1"/>
  <c r="A744" i="1"/>
  <c r="B744" i="1"/>
  <c r="C744" i="1"/>
  <c r="G744" i="1"/>
  <c r="H744" i="1"/>
  <c r="I744" i="1"/>
  <c r="J744" i="1"/>
  <c r="K744" i="1"/>
  <c r="M744" i="1"/>
  <c r="N744" i="1"/>
  <c r="P744" i="1"/>
  <c r="Q744" i="1"/>
  <c r="R744" i="1"/>
  <c r="S744" i="1"/>
  <c r="T744" i="1"/>
  <c r="Z744" i="1"/>
  <c r="AL744" i="1"/>
  <c r="A745" i="1"/>
  <c r="B745" i="1"/>
  <c r="C745" i="1"/>
  <c r="G745" i="1"/>
  <c r="H745" i="1"/>
  <c r="I745" i="1"/>
  <c r="J745" i="1"/>
  <c r="K745" i="1"/>
  <c r="M745" i="1"/>
  <c r="N745" i="1"/>
  <c r="P745" i="1"/>
  <c r="Q745" i="1"/>
  <c r="R745" i="1"/>
  <c r="S745" i="1"/>
  <c r="T745" i="1"/>
  <c r="Z745" i="1"/>
  <c r="AL745" i="1"/>
  <c r="A746" i="1"/>
  <c r="B746" i="1"/>
  <c r="C746" i="1"/>
  <c r="G746" i="1"/>
  <c r="H746" i="1"/>
  <c r="I746" i="1"/>
  <c r="J746" i="1"/>
  <c r="K746" i="1"/>
  <c r="M746" i="1"/>
  <c r="N746" i="1"/>
  <c r="P746" i="1"/>
  <c r="Q746" i="1"/>
  <c r="R746" i="1"/>
  <c r="S746" i="1"/>
  <c r="T746" i="1"/>
  <c r="Z746" i="1"/>
  <c r="AL746" i="1"/>
  <c r="A747" i="1"/>
  <c r="B747" i="1"/>
  <c r="C747" i="1"/>
  <c r="G747" i="1"/>
  <c r="H747" i="1"/>
  <c r="I747" i="1"/>
  <c r="J747" i="1"/>
  <c r="K747" i="1"/>
  <c r="M747" i="1"/>
  <c r="N747" i="1"/>
  <c r="P747" i="1"/>
  <c r="Q747" i="1"/>
  <c r="R747" i="1"/>
  <c r="S747" i="1"/>
  <c r="T747" i="1"/>
  <c r="Z747" i="1"/>
  <c r="AL747" i="1"/>
  <c r="A748" i="1"/>
  <c r="B748" i="1"/>
  <c r="C748" i="1"/>
  <c r="G748" i="1"/>
  <c r="H748" i="1"/>
  <c r="I748" i="1"/>
  <c r="J748" i="1"/>
  <c r="K748" i="1"/>
  <c r="M748" i="1"/>
  <c r="N748" i="1"/>
  <c r="P748" i="1"/>
  <c r="Q748" i="1"/>
  <c r="R748" i="1"/>
  <c r="S748" i="1"/>
  <c r="T748" i="1"/>
  <c r="Z748" i="1"/>
  <c r="AL748" i="1"/>
  <c r="A749" i="1"/>
  <c r="B749" i="1"/>
  <c r="C749" i="1"/>
  <c r="G749" i="1"/>
  <c r="H749" i="1"/>
  <c r="I749" i="1"/>
  <c r="J749" i="1"/>
  <c r="K749" i="1"/>
  <c r="M749" i="1"/>
  <c r="N749" i="1"/>
  <c r="P749" i="1"/>
  <c r="Q749" i="1"/>
  <c r="R749" i="1"/>
  <c r="S749" i="1"/>
  <c r="T749" i="1"/>
  <c r="Z749" i="1"/>
  <c r="AL749" i="1"/>
  <c r="A750" i="1"/>
  <c r="B750" i="1"/>
  <c r="C750" i="1"/>
  <c r="G750" i="1"/>
  <c r="H750" i="1"/>
  <c r="I750" i="1"/>
  <c r="J750" i="1"/>
  <c r="K750" i="1"/>
  <c r="M750" i="1"/>
  <c r="N750" i="1"/>
  <c r="P750" i="1"/>
  <c r="Q750" i="1"/>
  <c r="R750" i="1"/>
  <c r="S750" i="1"/>
  <c r="T750" i="1"/>
  <c r="Z750" i="1"/>
  <c r="AL750" i="1"/>
  <c r="A751" i="1"/>
  <c r="B751" i="1"/>
  <c r="C751" i="1"/>
  <c r="G751" i="1"/>
  <c r="H751" i="1"/>
  <c r="I751" i="1"/>
  <c r="J751" i="1"/>
  <c r="K751" i="1"/>
  <c r="M751" i="1"/>
  <c r="N751" i="1"/>
  <c r="P751" i="1"/>
  <c r="Q751" i="1"/>
  <c r="R751" i="1"/>
  <c r="S751" i="1"/>
  <c r="T751" i="1"/>
  <c r="Z751" i="1"/>
  <c r="AL751" i="1"/>
  <c r="A752" i="1"/>
  <c r="B752" i="1"/>
  <c r="C752" i="1"/>
  <c r="G752" i="1"/>
  <c r="H752" i="1"/>
  <c r="I752" i="1"/>
  <c r="J752" i="1"/>
  <c r="K752" i="1"/>
  <c r="M752" i="1"/>
  <c r="N752" i="1"/>
  <c r="P752" i="1"/>
  <c r="Q752" i="1"/>
  <c r="R752" i="1"/>
  <c r="S752" i="1"/>
  <c r="T752" i="1"/>
  <c r="Z752" i="1"/>
  <c r="AL752" i="1"/>
  <c r="A753" i="1"/>
  <c r="B753" i="1"/>
  <c r="C753" i="1"/>
  <c r="G753" i="1"/>
  <c r="H753" i="1"/>
  <c r="I753" i="1"/>
  <c r="J753" i="1"/>
  <c r="K753" i="1"/>
  <c r="M753" i="1"/>
  <c r="N753" i="1"/>
  <c r="P753" i="1"/>
  <c r="Q753" i="1"/>
  <c r="R753" i="1"/>
  <c r="S753" i="1"/>
  <c r="T753" i="1"/>
  <c r="Z753" i="1"/>
  <c r="AL753" i="1"/>
  <c r="A754" i="1"/>
  <c r="B754" i="1"/>
  <c r="C754" i="1"/>
  <c r="G754" i="1"/>
  <c r="H754" i="1"/>
  <c r="I754" i="1"/>
  <c r="J754" i="1"/>
  <c r="K754" i="1"/>
  <c r="M754" i="1"/>
  <c r="N754" i="1"/>
  <c r="P754" i="1"/>
  <c r="Q754" i="1"/>
  <c r="R754" i="1"/>
  <c r="S754" i="1"/>
  <c r="T754" i="1"/>
  <c r="Z754" i="1"/>
  <c r="AL754" i="1"/>
  <c r="A755" i="1"/>
  <c r="B755" i="1"/>
  <c r="C755" i="1"/>
  <c r="G755" i="1"/>
  <c r="H755" i="1"/>
  <c r="I755" i="1"/>
  <c r="J755" i="1"/>
  <c r="K755" i="1"/>
  <c r="M755" i="1"/>
  <c r="N755" i="1"/>
  <c r="P755" i="1"/>
  <c r="Q755" i="1"/>
  <c r="R755" i="1"/>
  <c r="S755" i="1"/>
  <c r="T755" i="1"/>
  <c r="Z755" i="1"/>
  <c r="AL755" i="1"/>
  <c r="A756" i="1"/>
  <c r="B756" i="1"/>
  <c r="C756" i="1"/>
  <c r="G756" i="1"/>
  <c r="H756" i="1"/>
  <c r="I756" i="1"/>
  <c r="J756" i="1"/>
  <c r="K756" i="1"/>
  <c r="M756" i="1"/>
  <c r="N756" i="1"/>
  <c r="P756" i="1"/>
  <c r="Q756" i="1"/>
  <c r="R756" i="1"/>
  <c r="S756" i="1"/>
  <c r="T756" i="1"/>
  <c r="Z756" i="1"/>
  <c r="AL756" i="1"/>
  <c r="A757" i="1"/>
  <c r="B757" i="1"/>
  <c r="C757" i="1"/>
  <c r="G757" i="1"/>
  <c r="H757" i="1"/>
  <c r="I757" i="1"/>
  <c r="J757" i="1"/>
  <c r="K757" i="1"/>
  <c r="M757" i="1"/>
  <c r="N757" i="1"/>
  <c r="P757" i="1"/>
  <c r="Q757" i="1"/>
  <c r="R757" i="1"/>
  <c r="S757" i="1"/>
  <c r="T757" i="1"/>
  <c r="Z757" i="1"/>
  <c r="AL757" i="1"/>
  <c r="A758" i="1"/>
  <c r="B758" i="1"/>
  <c r="C758" i="1"/>
  <c r="G758" i="1"/>
  <c r="H758" i="1"/>
  <c r="I758" i="1"/>
  <c r="J758" i="1"/>
  <c r="K758" i="1"/>
  <c r="M758" i="1"/>
  <c r="N758" i="1"/>
  <c r="P758" i="1"/>
  <c r="Q758" i="1"/>
  <c r="R758" i="1"/>
  <c r="S758" i="1"/>
  <c r="T758" i="1"/>
  <c r="Z758" i="1"/>
  <c r="AL758" i="1"/>
  <c r="A759" i="1"/>
  <c r="B759" i="1"/>
  <c r="C759" i="1"/>
  <c r="G759" i="1"/>
  <c r="H759" i="1"/>
  <c r="I759" i="1"/>
  <c r="J759" i="1"/>
  <c r="K759" i="1"/>
  <c r="M759" i="1"/>
  <c r="N759" i="1"/>
  <c r="P759" i="1"/>
  <c r="Q759" i="1"/>
  <c r="R759" i="1"/>
  <c r="S759" i="1"/>
  <c r="T759" i="1"/>
  <c r="Z759" i="1"/>
  <c r="AL759" i="1"/>
  <c r="A760" i="1"/>
  <c r="B760" i="1"/>
  <c r="C760" i="1"/>
  <c r="G760" i="1"/>
  <c r="H760" i="1"/>
  <c r="I760" i="1"/>
  <c r="J760" i="1"/>
  <c r="K760" i="1"/>
  <c r="M760" i="1"/>
  <c r="N760" i="1"/>
  <c r="P760" i="1"/>
  <c r="Q760" i="1"/>
  <c r="R760" i="1"/>
  <c r="S760" i="1"/>
  <c r="T760" i="1"/>
  <c r="Z760" i="1"/>
  <c r="AL760" i="1"/>
  <c r="A761" i="1"/>
  <c r="B761" i="1"/>
  <c r="C761" i="1"/>
  <c r="G761" i="1"/>
  <c r="H761" i="1"/>
  <c r="I761" i="1"/>
  <c r="J761" i="1"/>
  <c r="K761" i="1"/>
  <c r="M761" i="1"/>
  <c r="N761" i="1"/>
  <c r="P761" i="1"/>
  <c r="Q761" i="1"/>
  <c r="R761" i="1"/>
  <c r="S761" i="1"/>
  <c r="T761" i="1"/>
  <c r="Z761" i="1"/>
  <c r="AL761" i="1"/>
  <c r="A762" i="1"/>
  <c r="B762" i="1"/>
  <c r="C762" i="1"/>
  <c r="G762" i="1"/>
  <c r="H762" i="1"/>
  <c r="I762" i="1"/>
  <c r="J762" i="1"/>
  <c r="K762" i="1"/>
  <c r="M762" i="1"/>
  <c r="N762" i="1"/>
  <c r="P762" i="1"/>
  <c r="Q762" i="1"/>
  <c r="R762" i="1"/>
  <c r="S762" i="1"/>
  <c r="T762" i="1"/>
  <c r="Z762" i="1"/>
  <c r="AL762" i="1"/>
  <c r="A763" i="1"/>
  <c r="B763" i="1"/>
  <c r="C763" i="1"/>
  <c r="G763" i="1"/>
  <c r="H763" i="1"/>
  <c r="I763" i="1"/>
  <c r="J763" i="1"/>
  <c r="K763" i="1"/>
  <c r="M763" i="1"/>
  <c r="N763" i="1"/>
  <c r="P763" i="1"/>
  <c r="Q763" i="1"/>
  <c r="R763" i="1"/>
  <c r="S763" i="1"/>
  <c r="T763" i="1"/>
  <c r="Z763" i="1"/>
  <c r="AL763" i="1"/>
  <c r="A764" i="1"/>
  <c r="B764" i="1"/>
  <c r="C764" i="1"/>
  <c r="G764" i="1"/>
  <c r="H764" i="1"/>
  <c r="I764" i="1"/>
  <c r="J764" i="1"/>
  <c r="K764" i="1"/>
  <c r="M764" i="1"/>
  <c r="N764" i="1"/>
  <c r="P764" i="1"/>
  <c r="Q764" i="1"/>
  <c r="R764" i="1"/>
  <c r="S764" i="1"/>
  <c r="T764" i="1"/>
  <c r="Z764" i="1"/>
  <c r="AL764" i="1"/>
  <c r="A765" i="1"/>
  <c r="B765" i="1"/>
  <c r="C765" i="1"/>
  <c r="G765" i="1"/>
  <c r="H765" i="1"/>
  <c r="I765" i="1"/>
  <c r="J765" i="1"/>
  <c r="K765" i="1"/>
  <c r="M765" i="1"/>
  <c r="N765" i="1"/>
  <c r="P765" i="1"/>
  <c r="Q765" i="1"/>
  <c r="R765" i="1"/>
  <c r="S765" i="1"/>
  <c r="T765" i="1"/>
  <c r="Z765" i="1"/>
  <c r="AL765" i="1"/>
  <c r="A766" i="1"/>
  <c r="B766" i="1"/>
  <c r="C766" i="1"/>
  <c r="G766" i="1"/>
  <c r="H766" i="1"/>
  <c r="I766" i="1"/>
  <c r="J766" i="1"/>
  <c r="K766" i="1"/>
  <c r="M766" i="1"/>
  <c r="N766" i="1"/>
  <c r="P766" i="1"/>
  <c r="Q766" i="1"/>
  <c r="R766" i="1"/>
  <c r="S766" i="1"/>
  <c r="T766" i="1"/>
  <c r="Z766" i="1"/>
  <c r="AL766" i="1"/>
  <c r="A767" i="1"/>
  <c r="B767" i="1"/>
  <c r="C767" i="1"/>
  <c r="G767" i="1"/>
  <c r="H767" i="1"/>
  <c r="I767" i="1"/>
  <c r="J767" i="1"/>
  <c r="K767" i="1"/>
  <c r="M767" i="1"/>
  <c r="N767" i="1"/>
  <c r="P767" i="1"/>
  <c r="Q767" i="1"/>
  <c r="R767" i="1"/>
  <c r="S767" i="1"/>
  <c r="T767" i="1"/>
  <c r="Z767" i="1"/>
  <c r="AL767" i="1"/>
  <c r="A768" i="1"/>
  <c r="B768" i="1"/>
  <c r="C768" i="1"/>
  <c r="G768" i="1"/>
  <c r="H768" i="1"/>
  <c r="I768" i="1"/>
  <c r="J768" i="1"/>
  <c r="K768" i="1"/>
  <c r="M768" i="1"/>
  <c r="N768" i="1"/>
  <c r="P768" i="1"/>
  <c r="Q768" i="1"/>
  <c r="R768" i="1"/>
  <c r="S768" i="1"/>
  <c r="T768" i="1"/>
  <c r="Z768" i="1"/>
  <c r="AL768" i="1"/>
  <c r="A769" i="1"/>
  <c r="B769" i="1"/>
  <c r="C769" i="1"/>
  <c r="G769" i="1"/>
  <c r="H769" i="1"/>
  <c r="I769" i="1"/>
  <c r="J769" i="1"/>
  <c r="K769" i="1"/>
  <c r="M769" i="1"/>
  <c r="N769" i="1"/>
  <c r="P769" i="1"/>
  <c r="Q769" i="1"/>
  <c r="R769" i="1"/>
  <c r="S769" i="1"/>
  <c r="T769" i="1"/>
  <c r="Z769" i="1"/>
  <c r="AL769" i="1"/>
  <c r="A770" i="1"/>
  <c r="B770" i="1"/>
  <c r="C770" i="1"/>
  <c r="G770" i="1"/>
  <c r="H770" i="1"/>
  <c r="I770" i="1"/>
  <c r="J770" i="1"/>
  <c r="K770" i="1"/>
  <c r="M770" i="1"/>
  <c r="N770" i="1"/>
  <c r="P770" i="1"/>
  <c r="Q770" i="1"/>
  <c r="R770" i="1"/>
  <c r="S770" i="1"/>
  <c r="T770" i="1"/>
  <c r="Z770" i="1"/>
  <c r="AL770" i="1"/>
  <c r="A771" i="1"/>
  <c r="B771" i="1"/>
  <c r="C771" i="1"/>
  <c r="G771" i="1"/>
  <c r="H771" i="1"/>
  <c r="I771" i="1"/>
  <c r="J771" i="1"/>
  <c r="K771" i="1"/>
  <c r="M771" i="1"/>
  <c r="N771" i="1"/>
  <c r="P771" i="1"/>
  <c r="Q771" i="1"/>
  <c r="R771" i="1"/>
  <c r="S771" i="1"/>
  <c r="T771" i="1"/>
  <c r="Z771" i="1"/>
  <c r="AL771" i="1"/>
  <c r="A772" i="1"/>
  <c r="B772" i="1"/>
  <c r="C772" i="1"/>
  <c r="G772" i="1"/>
  <c r="H772" i="1"/>
  <c r="I772" i="1"/>
  <c r="J772" i="1"/>
  <c r="K772" i="1"/>
  <c r="M772" i="1"/>
  <c r="N772" i="1"/>
  <c r="P772" i="1"/>
  <c r="Q772" i="1"/>
  <c r="R772" i="1"/>
  <c r="S772" i="1"/>
  <c r="T772" i="1"/>
  <c r="Z772" i="1"/>
  <c r="AL772" i="1"/>
  <c r="A773" i="1"/>
  <c r="B773" i="1"/>
  <c r="C773" i="1"/>
  <c r="G773" i="1"/>
  <c r="H773" i="1"/>
  <c r="I773" i="1"/>
  <c r="J773" i="1"/>
  <c r="K773" i="1"/>
  <c r="M773" i="1"/>
  <c r="N773" i="1"/>
  <c r="P773" i="1"/>
  <c r="Q773" i="1"/>
  <c r="R773" i="1"/>
  <c r="S773" i="1"/>
  <c r="T773" i="1"/>
  <c r="Z773" i="1"/>
  <c r="AL773" i="1"/>
  <c r="A774" i="1"/>
  <c r="B774" i="1"/>
  <c r="C774" i="1"/>
  <c r="G774" i="1"/>
  <c r="H774" i="1"/>
  <c r="I774" i="1"/>
  <c r="J774" i="1"/>
  <c r="K774" i="1"/>
  <c r="M774" i="1"/>
  <c r="N774" i="1"/>
  <c r="P774" i="1"/>
  <c r="Q774" i="1"/>
  <c r="R774" i="1"/>
  <c r="S774" i="1"/>
  <c r="T774" i="1"/>
  <c r="Z774" i="1"/>
  <c r="AL774" i="1"/>
  <c r="A775" i="1"/>
  <c r="B775" i="1"/>
  <c r="C775" i="1"/>
  <c r="G775" i="1"/>
  <c r="H775" i="1"/>
  <c r="I775" i="1"/>
  <c r="J775" i="1"/>
  <c r="K775" i="1"/>
  <c r="M775" i="1"/>
  <c r="N775" i="1"/>
  <c r="P775" i="1"/>
  <c r="Q775" i="1"/>
  <c r="R775" i="1"/>
  <c r="S775" i="1"/>
  <c r="T775" i="1"/>
  <c r="Z775" i="1"/>
  <c r="AL775" i="1"/>
  <c r="A776" i="1"/>
  <c r="B776" i="1"/>
  <c r="C776" i="1"/>
  <c r="G776" i="1"/>
  <c r="H776" i="1"/>
  <c r="I776" i="1"/>
  <c r="J776" i="1"/>
  <c r="K776" i="1"/>
  <c r="M776" i="1"/>
  <c r="N776" i="1"/>
  <c r="P776" i="1"/>
  <c r="Q776" i="1"/>
  <c r="R776" i="1"/>
  <c r="S776" i="1"/>
  <c r="T776" i="1"/>
  <c r="Z776" i="1"/>
  <c r="AL776" i="1"/>
  <c r="A777" i="1"/>
  <c r="B777" i="1"/>
  <c r="C777" i="1"/>
  <c r="G777" i="1"/>
  <c r="H777" i="1"/>
  <c r="I777" i="1"/>
  <c r="J777" i="1"/>
  <c r="K777" i="1"/>
  <c r="M777" i="1"/>
  <c r="N777" i="1"/>
  <c r="P777" i="1"/>
  <c r="Q777" i="1"/>
  <c r="R777" i="1"/>
  <c r="S777" i="1"/>
  <c r="T777" i="1"/>
  <c r="Z777" i="1"/>
  <c r="AL777" i="1"/>
  <c r="A778" i="1"/>
  <c r="B778" i="1"/>
  <c r="C778" i="1"/>
  <c r="G778" i="1"/>
  <c r="H778" i="1"/>
  <c r="I778" i="1"/>
  <c r="J778" i="1"/>
  <c r="K778" i="1"/>
  <c r="M778" i="1"/>
  <c r="N778" i="1"/>
  <c r="P778" i="1"/>
  <c r="Q778" i="1"/>
  <c r="R778" i="1"/>
  <c r="S778" i="1"/>
  <c r="T778" i="1"/>
  <c r="Z778" i="1"/>
  <c r="AL778" i="1"/>
  <c r="A779" i="1"/>
  <c r="B779" i="1"/>
  <c r="C779" i="1"/>
  <c r="G779" i="1"/>
  <c r="H779" i="1"/>
  <c r="I779" i="1"/>
  <c r="J779" i="1"/>
  <c r="K779" i="1"/>
  <c r="M779" i="1"/>
  <c r="N779" i="1"/>
  <c r="P779" i="1"/>
  <c r="Q779" i="1"/>
  <c r="R779" i="1"/>
  <c r="S779" i="1"/>
  <c r="T779" i="1"/>
  <c r="Z779" i="1"/>
  <c r="AL779" i="1"/>
  <c r="A780" i="1"/>
  <c r="B780" i="1"/>
  <c r="C780" i="1"/>
  <c r="G780" i="1"/>
  <c r="H780" i="1"/>
  <c r="I780" i="1"/>
  <c r="J780" i="1"/>
  <c r="K780" i="1"/>
  <c r="M780" i="1"/>
  <c r="N780" i="1"/>
  <c r="P780" i="1"/>
  <c r="Q780" i="1"/>
  <c r="R780" i="1"/>
  <c r="S780" i="1"/>
  <c r="T780" i="1"/>
  <c r="Z780" i="1"/>
  <c r="AL780" i="1"/>
  <c r="A781" i="1"/>
  <c r="B781" i="1"/>
  <c r="C781" i="1"/>
  <c r="G781" i="1"/>
  <c r="H781" i="1"/>
  <c r="I781" i="1"/>
  <c r="J781" i="1"/>
  <c r="K781" i="1"/>
  <c r="M781" i="1"/>
  <c r="N781" i="1"/>
  <c r="P781" i="1"/>
  <c r="Q781" i="1"/>
  <c r="R781" i="1"/>
  <c r="S781" i="1"/>
  <c r="T781" i="1"/>
  <c r="Z781" i="1"/>
  <c r="AL781" i="1"/>
  <c r="A782" i="1"/>
  <c r="B782" i="1"/>
  <c r="C782" i="1"/>
  <c r="G782" i="1"/>
  <c r="H782" i="1"/>
  <c r="I782" i="1"/>
  <c r="J782" i="1"/>
  <c r="K782" i="1"/>
  <c r="M782" i="1"/>
  <c r="N782" i="1"/>
  <c r="P782" i="1"/>
  <c r="Q782" i="1"/>
  <c r="R782" i="1"/>
  <c r="S782" i="1"/>
  <c r="T782" i="1"/>
  <c r="Z782" i="1"/>
  <c r="AL782" i="1"/>
  <c r="A783" i="1"/>
  <c r="B783" i="1"/>
  <c r="C783" i="1"/>
  <c r="G783" i="1"/>
  <c r="H783" i="1"/>
  <c r="I783" i="1"/>
  <c r="J783" i="1"/>
  <c r="K783" i="1"/>
  <c r="M783" i="1"/>
  <c r="N783" i="1"/>
  <c r="P783" i="1"/>
  <c r="Q783" i="1"/>
  <c r="R783" i="1"/>
  <c r="S783" i="1"/>
  <c r="T783" i="1"/>
  <c r="Z783" i="1"/>
  <c r="AL783" i="1"/>
  <c r="A784" i="1"/>
  <c r="B784" i="1"/>
  <c r="C784" i="1"/>
  <c r="G784" i="1"/>
  <c r="H784" i="1"/>
  <c r="I784" i="1"/>
  <c r="J784" i="1"/>
  <c r="K784" i="1"/>
  <c r="M784" i="1"/>
  <c r="N784" i="1"/>
  <c r="P784" i="1"/>
  <c r="Q784" i="1"/>
  <c r="R784" i="1"/>
  <c r="S784" i="1"/>
  <c r="T784" i="1"/>
  <c r="Z784" i="1"/>
  <c r="AL784" i="1"/>
  <c r="A785" i="1"/>
  <c r="B785" i="1"/>
  <c r="C785" i="1"/>
  <c r="G785" i="1"/>
  <c r="H785" i="1"/>
  <c r="I785" i="1"/>
  <c r="J785" i="1"/>
  <c r="K785" i="1"/>
  <c r="M785" i="1"/>
  <c r="N785" i="1"/>
  <c r="P785" i="1"/>
  <c r="Q785" i="1"/>
  <c r="R785" i="1"/>
  <c r="S785" i="1"/>
  <c r="T785" i="1"/>
  <c r="Z785" i="1"/>
  <c r="AL785" i="1"/>
  <c r="A786" i="1"/>
  <c r="B786" i="1"/>
  <c r="C786" i="1"/>
  <c r="G786" i="1"/>
  <c r="H786" i="1"/>
  <c r="I786" i="1"/>
  <c r="J786" i="1"/>
  <c r="K786" i="1"/>
  <c r="M786" i="1"/>
  <c r="N786" i="1"/>
  <c r="P786" i="1"/>
  <c r="Q786" i="1"/>
  <c r="R786" i="1"/>
  <c r="S786" i="1"/>
  <c r="T786" i="1"/>
  <c r="Z786" i="1"/>
  <c r="AL786" i="1"/>
  <c r="A787" i="1"/>
  <c r="B787" i="1"/>
  <c r="C787" i="1"/>
  <c r="G787" i="1"/>
  <c r="H787" i="1"/>
  <c r="I787" i="1"/>
  <c r="J787" i="1"/>
  <c r="K787" i="1"/>
  <c r="M787" i="1"/>
  <c r="N787" i="1"/>
  <c r="P787" i="1"/>
  <c r="Q787" i="1"/>
  <c r="R787" i="1"/>
  <c r="S787" i="1"/>
  <c r="T787" i="1"/>
  <c r="Z787" i="1"/>
  <c r="AL787" i="1"/>
  <c r="A788" i="1"/>
  <c r="B788" i="1"/>
  <c r="C788" i="1"/>
  <c r="G788" i="1"/>
  <c r="H788" i="1"/>
  <c r="I788" i="1"/>
  <c r="J788" i="1"/>
  <c r="K788" i="1"/>
  <c r="M788" i="1"/>
  <c r="N788" i="1"/>
  <c r="P788" i="1"/>
  <c r="Q788" i="1"/>
  <c r="R788" i="1"/>
  <c r="S788" i="1"/>
  <c r="T788" i="1"/>
  <c r="Z788" i="1"/>
  <c r="AL788" i="1"/>
  <c r="A789" i="1"/>
  <c r="B789" i="1"/>
  <c r="C789" i="1"/>
  <c r="G789" i="1"/>
  <c r="H789" i="1"/>
  <c r="I789" i="1"/>
  <c r="J789" i="1"/>
  <c r="K789" i="1"/>
  <c r="M789" i="1"/>
  <c r="N789" i="1"/>
  <c r="P789" i="1"/>
  <c r="Q789" i="1"/>
  <c r="R789" i="1"/>
  <c r="S789" i="1"/>
  <c r="T789" i="1"/>
  <c r="Z789" i="1"/>
  <c r="AL789" i="1"/>
  <c r="A790" i="1"/>
  <c r="B790" i="1"/>
  <c r="C790" i="1"/>
  <c r="G790" i="1"/>
  <c r="H790" i="1"/>
  <c r="I790" i="1"/>
  <c r="J790" i="1"/>
  <c r="K790" i="1"/>
  <c r="M790" i="1"/>
  <c r="N790" i="1"/>
  <c r="P790" i="1"/>
  <c r="Q790" i="1"/>
  <c r="R790" i="1"/>
  <c r="S790" i="1"/>
  <c r="T790" i="1"/>
  <c r="Z790" i="1"/>
  <c r="AL790" i="1"/>
  <c r="A791" i="1"/>
  <c r="B791" i="1"/>
  <c r="C791" i="1"/>
  <c r="G791" i="1"/>
  <c r="H791" i="1"/>
  <c r="I791" i="1"/>
  <c r="J791" i="1"/>
  <c r="K791" i="1"/>
  <c r="M791" i="1"/>
  <c r="N791" i="1"/>
  <c r="P791" i="1"/>
  <c r="Q791" i="1"/>
  <c r="R791" i="1"/>
  <c r="S791" i="1"/>
  <c r="T791" i="1"/>
  <c r="Z791" i="1"/>
  <c r="AL791" i="1"/>
  <c r="A792" i="1"/>
  <c r="B792" i="1"/>
  <c r="C792" i="1"/>
  <c r="G792" i="1"/>
  <c r="H792" i="1"/>
  <c r="I792" i="1"/>
  <c r="J792" i="1"/>
  <c r="K792" i="1"/>
  <c r="M792" i="1"/>
  <c r="N792" i="1"/>
  <c r="P792" i="1"/>
  <c r="Q792" i="1"/>
  <c r="R792" i="1"/>
  <c r="S792" i="1"/>
  <c r="T792" i="1"/>
  <c r="Z792" i="1"/>
  <c r="AL792" i="1"/>
  <c r="A793" i="1"/>
  <c r="B793" i="1"/>
  <c r="C793" i="1"/>
  <c r="G793" i="1"/>
  <c r="H793" i="1"/>
  <c r="I793" i="1"/>
  <c r="J793" i="1"/>
  <c r="K793" i="1"/>
  <c r="M793" i="1"/>
  <c r="N793" i="1"/>
  <c r="P793" i="1"/>
  <c r="Q793" i="1"/>
  <c r="R793" i="1"/>
  <c r="S793" i="1"/>
  <c r="T793" i="1"/>
  <c r="Z793" i="1"/>
  <c r="AL793" i="1"/>
  <c r="A794" i="1"/>
  <c r="B794" i="1"/>
  <c r="C794" i="1"/>
  <c r="G794" i="1"/>
  <c r="H794" i="1"/>
  <c r="I794" i="1"/>
  <c r="J794" i="1"/>
  <c r="K794" i="1"/>
  <c r="M794" i="1"/>
  <c r="N794" i="1"/>
  <c r="P794" i="1"/>
  <c r="Q794" i="1"/>
  <c r="R794" i="1"/>
  <c r="S794" i="1"/>
  <c r="T794" i="1"/>
  <c r="Z794" i="1"/>
  <c r="AL794" i="1"/>
  <c r="A795" i="1"/>
  <c r="B795" i="1"/>
  <c r="C795" i="1"/>
  <c r="G795" i="1"/>
  <c r="H795" i="1"/>
  <c r="I795" i="1"/>
  <c r="J795" i="1"/>
  <c r="K795" i="1"/>
  <c r="M795" i="1"/>
  <c r="N795" i="1"/>
  <c r="P795" i="1"/>
  <c r="Q795" i="1"/>
  <c r="R795" i="1"/>
  <c r="S795" i="1"/>
  <c r="T795" i="1"/>
  <c r="Z795" i="1"/>
  <c r="AL795" i="1"/>
  <c r="A796" i="1"/>
  <c r="B796" i="1"/>
  <c r="C796" i="1"/>
  <c r="G796" i="1"/>
  <c r="H796" i="1"/>
  <c r="I796" i="1"/>
  <c r="J796" i="1"/>
  <c r="K796" i="1"/>
  <c r="M796" i="1"/>
  <c r="N796" i="1"/>
  <c r="P796" i="1"/>
  <c r="Q796" i="1"/>
  <c r="R796" i="1"/>
  <c r="S796" i="1"/>
  <c r="T796" i="1"/>
  <c r="Z796" i="1"/>
  <c r="AL796" i="1"/>
  <c r="A797" i="1"/>
  <c r="B797" i="1"/>
  <c r="C797" i="1"/>
  <c r="G797" i="1"/>
  <c r="H797" i="1"/>
  <c r="I797" i="1"/>
  <c r="J797" i="1"/>
  <c r="K797" i="1"/>
  <c r="M797" i="1"/>
  <c r="N797" i="1"/>
  <c r="P797" i="1"/>
  <c r="Q797" i="1"/>
  <c r="R797" i="1"/>
  <c r="S797" i="1"/>
  <c r="T797" i="1"/>
  <c r="Z797" i="1"/>
  <c r="AL797" i="1"/>
  <c r="A798" i="1"/>
  <c r="B798" i="1"/>
  <c r="C798" i="1"/>
  <c r="G798" i="1"/>
  <c r="H798" i="1"/>
  <c r="I798" i="1"/>
  <c r="J798" i="1"/>
  <c r="K798" i="1"/>
  <c r="M798" i="1"/>
  <c r="N798" i="1"/>
  <c r="P798" i="1"/>
  <c r="Q798" i="1"/>
  <c r="R798" i="1"/>
  <c r="S798" i="1"/>
  <c r="T798" i="1"/>
  <c r="Z798" i="1"/>
  <c r="AL798" i="1"/>
  <c r="A799" i="1"/>
  <c r="B799" i="1"/>
  <c r="C799" i="1"/>
  <c r="G799" i="1"/>
  <c r="H799" i="1"/>
  <c r="I799" i="1"/>
  <c r="J799" i="1"/>
  <c r="K799" i="1"/>
  <c r="M799" i="1"/>
  <c r="N799" i="1"/>
  <c r="P799" i="1"/>
  <c r="Q799" i="1"/>
  <c r="R799" i="1"/>
  <c r="S799" i="1"/>
  <c r="T799" i="1"/>
  <c r="Z799" i="1"/>
  <c r="AL799" i="1"/>
  <c r="A800" i="1"/>
  <c r="B800" i="1"/>
  <c r="C800" i="1"/>
  <c r="G800" i="1"/>
  <c r="H800" i="1"/>
  <c r="I800" i="1"/>
  <c r="J800" i="1"/>
  <c r="K800" i="1"/>
  <c r="M800" i="1"/>
  <c r="N800" i="1"/>
  <c r="P800" i="1"/>
  <c r="Q800" i="1"/>
  <c r="R800" i="1"/>
  <c r="S800" i="1"/>
  <c r="T800" i="1"/>
  <c r="Z800" i="1"/>
  <c r="AL800" i="1"/>
  <c r="A801" i="1"/>
  <c r="B801" i="1"/>
  <c r="C801" i="1"/>
  <c r="G801" i="1"/>
  <c r="H801" i="1"/>
  <c r="I801" i="1"/>
  <c r="J801" i="1"/>
  <c r="K801" i="1"/>
  <c r="M801" i="1"/>
  <c r="N801" i="1"/>
  <c r="P801" i="1"/>
  <c r="Q801" i="1"/>
  <c r="R801" i="1"/>
  <c r="S801" i="1"/>
  <c r="T801" i="1"/>
  <c r="Z801" i="1"/>
  <c r="AL801" i="1"/>
  <c r="A802" i="1"/>
  <c r="B802" i="1"/>
  <c r="C802" i="1"/>
  <c r="G802" i="1"/>
  <c r="H802" i="1"/>
  <c r="I802" i="1"/>
  <c r="J802" i="1"/>
  <c r="K802" i="1"/>
  <c r="M802" i="1"/>
  <c r="N802" i="1"/>
  <c r="P802" i="1"/>
  <c r="Q802" i="1"/>
  <c r="R802" i="1"/>
  <c r="S802" i="1"/>
  <c r="T802" i="1"/>
  <c r="Z802" i="1"/>
  <c r="AL802" i="1"/>
  <c r="A803" i="1"/>
  <c r="B803" i="1"/>
  <c r="C803" i="1"/>
  <c r="G803" i="1"/>
  <c r="H803" i="1"/>
  <c r="I803" i="1"/>
  <c r="J803" i="1"/>
  <c r="K803" i="1"/>
  <c r="M803" i="1"/>
  <c r="N803" i="1"/>
  <c r="P803" i="1"/>
  <c r="Q803" i="1"/>
  <c r="R803" i="1"/>
  <c r="S803" i="1"/>
  <c r="T803" i="1"/>
  <c r="Z803" i="1"/>
  <c r="AL803" i="1"/>
  <c r="A804" i="1"/>
  <c r="B804" i="1"/>
  <c r="C804" i="1"/>
  <c r="G804" i="1"/>
  <c r="H804" i="1"/>
  <c r="I804" i="1"/>
  <c r="J804" i="1"/>
  <c r="K804" i="1"/>
  <c r="M804" i="1"/>
  <c r="N804" i="1"/>
  <c r="P804" i="1"/>
  <c r="Q804" i="1"/>
  <c r="R804" i="1"/>
  <c r="S804" i="1"/>
  <c r="T804" i="1"/>
  <c r="Z804" i="1"/>
  <c r="AL804" i="1"/>
  <c r="A805" i="1"/>
  <c r="B805" i="1"/>
  <c r="C805" i="1"/>
  <c r="G805" i="1"/>
  <c r="H805" i="1"/>
  <c r="I805" i="1"/>
  <c r="J805" i="1"/>
  <c r="K805" i="1"/>
  <c r="M805" i="1"/>
  <c r="N805" i="1"/>
  <c r="P805" i="1"/>
  <c r="Q805" i="1"/>
  <c r="R805" i="1"/>
  <c r="S805" i="1"/>
  <c r="T805" i="1"/>
  <c r="Z805" i="1"/>
  <c r="AL805" i="1"/>
  <c r="A806" i="1"/>
  <c r="B806" i="1"/>
  <c r="C806" i="1"/>
  <c r="G806" i="1"/>
  <c r="H806" i="1"/>
  <c r="I806" i="1"/>
  <c r="J806" i="1"/>
  <c r="K806" i="1"/>
  <c r="M806" i="1"/>
  <c r="N806" i="1"/>
  <c r="P806" i="1"/>
  <c r="Q806" i="1"/>
  <c r="R806" i="1"/>
  <c r="S806" i="1"/>
  <c r="T806" i="1"/>
  <c r="Z806" i="1"/>
  <c r="AL806" i="1"/>
  <c r="A807" i="1"/>
  <c r="B807" i="1"/>
  <c r="C807" i="1"/>
  <c r="G807" i="1"/>
  <c r="H807" i="1"/>
  <c r="I807" i="1"/>
  <c r="J807" i="1"/>
  <c r="K807" i="1"/>
  <c r="M807" i="1"/>
  <c r="N807" i="1"/>
  <c r="P807" i="1"/>
  <c r="Q807" i="1"/>
  <c r="R807" i="1"/>
  <c r="S807" i="1"/>
  <c r="T807" i="1"/>
  <c r="Z807" i="1"/>
  <c r="AL807" i="1"/>
  <c r="A808" i="1"/>
  <c r="B808" i="1"/>
  <c r="C808" i="1"/>
  <c r="G808" i="1"/>
  <c r="H808" i="1"/>
  <c r="I808" i="1"/>
  <c r="J808" i="1"/>
  <c r="K808" i="1"/>
  <c r="M808" i="1"/>
  <c r="N808" i="1"/>
  <c r="P808" i="1"/>
  <c r="Q808" i="1"/>
  <c r="R808" i="1"/>
  <c r="S808" i="1"/>
  <c r="T808" i="1"/>
  <c r="Z808" i="1"/>
  <c r="AL808" i="1"/>
  <c r="A809" i="1"/>
  <c r="B809" i="1"/>
  <c r="C809" i="1"/>
  <c r="G809" i="1"/>
  <c r="H809" i="1"/>
  <c r="I809" i="1"/>
  <c r="J809" i="1"/>
  <c r="K809" i="1"/>
  <c r="M809" i="1"/>
  <c r="N809" i="1"/>
  <c r="P809" i="1"/>
  <c r="Q809" i="1"/>
  <c r="R809" i="1"/>
  <c r="S809" i="1"/>
  <c r="T809" i="1"/>
  <c r="Z809" i="1"/>
  <c r="AL809" i="1"/>
  <c r="A810" i="1"/>
  <c r="B810" i="1"/>
  <c r="C810" i="1"/>
  <c r="G810" i="1"/>
  <c r="H810" i="1"/>
  <c r="I810" i="1"/>
  <c r="J810" i="1"/>
  <c r="K810" i="1"/>
  <c r="M810" i="1"/>
  <c r="N810" i="1"/>
  <c r="P810" i="1"/>
  <c r="Q810" i="1"/>
  <c r="R810" i="1"/>
  <c r="S810" i="1"/>
  <c r="T810" i="1"/>
  <c r="Z810" i="1"/>
  <c r="AL810" i="1"/>
  <c r="A811" i="1"/>
  <c r="B811" i="1"/>
  <c r="C811" i="1"/>
  <c r="G811" i="1"/>
  <c r="H811" i="1"/>
  <c r="I811" i="1"/>
  <c r="J811" i="1"/>
  <c r="K811" i="1"/>
  <c r="M811" i="1"/>
  <c r="N811" i="1"/>
  <c r="P811" i="1"/>
  <c r="Q811" i="1"/>
  <c r="R811" i="1"/>
  <c r="S811" i="1"/>
  <c r="T811" i="1"/>
  <c r="Z811" i="1"/>
  <c r="AL811" i="1"/>
  <c r="A812" i="1"/>
  <c r="B812" i="1"/>
  <c r="C812" i="1"/>
  <c r="G812" i="1"/>
  <c r="H812" i="1"/>
  <c r="I812" i="1"/>
  <c r="J812" i="1"/>
  <c r="K812" i="1"/>
  <c r="M812" i="1"/>
  <c r="N812" i="1"/>
  <c r="P812" i="1"/>
  <c r="Q812" i="1"/>
  <c r="R812" i="1"/>
  <c r="S812" i="1"/>
  <c r="T812" i="1"/>
  <c r="Z812" i="1"/>
  <c r="AL812" i="1"/>
  <c r="A813" i="1"/>
  <c r="B813" i="1"/>
  <c r="C813" i="1"/>
  <c r="G813" i="1"/>
  <c r="H813" i="1"/>
  <c r="I813" i="1"/>
  <c r="J813" i="1"/>
  <c r="K813" i="1"/>
  <c r="M813" i="1"/>
  <c r="N813" i="1"/>
  <c r="P813" i="1"/>
  <c r="Q813" i="1"/>
  <c r="R813" i="1"/>
  <c r="S813" i="1"/>
  <c r="T813" i="1"/>
  <c r="Z813" i="1"/>
  <c r="AL813" i="1"/>
  <c r="A814" i="1"/>
  <c r="B814" i="1"/>
  <c r="C814" i="1"/>
  <c r="G814" i="1"/>
  <c r="H814" i="1"/>
  <c r="I814" i="1"/>
  <c r="J814" i="1"/>
  <c r="K814" i="1"/>
  <c r="M814" i="1"/>
  <c r="N814" i="1"/>
  <c r="P814" i="1"/>
  <c r="Q814" i="1"/>
  <c r="R814" i="1"/>
  <c r="S814" i="1"/>
  <c r="T814" i="1"/>
  <c r="Z814" i="1"/>
  <c r="AL814" i="1"/>
  <c r="A815" i="1"/>
  <c r="B815" i="1"/>
  <c r="C815" i="1"/>
  <c r="G815" i="1"/>
  <c r="H815" i="1"/>
  <c r="I815" i="1"/>
  <c r="J815" i="1"/>
  <c r="K815" i="1"/>
  <c r="M815" i="1"/>
  <c r="N815" i="1"/>
  <c r="P815" i="1"/>
  <c r="Q815" i="1"/>
  <c r="R815" i="1"/>
  <c r="S815" i="1"/>
  <c r="T815" i="1"/>
  <c r="Z815" i="1"/>
  <c r="AL815" i="1"/>
  <c r="A816" i="1"/>
  <c r="B816" i="1"/>
  <c r="C816" i="1"/>
  <c r="G816" i="1"/>
  <c r="H816" i="1"/>
  <c r="I816" i="1"/>
  <c r="J816" i="1"/>
  <c r="K816" i="1"/>
  <c r="M816" i="1"/>
  <c r="N816" i="1"/>
  <c r="P816" i="1"/>
  <c r="Q816" i="1"/>
  <c r="R816" i="1"/>
  <c r="S816" i="1"/>
  <c r="T816" i="1"/>
  <c r="Z816" i="1"/>
  <c r="AL816" i="1"/>
  <c r="A817" i="1"/>
  <c r="B817" i="1"/>
  <c r="C817" i="1"/>
  <c r="G817" i="1"/>
  <c r="H817" i="1"/>
  <c r="I817" i="1"/>
  <c r="J817" i="1"/>
  <c r="K817" i="1"/>
  <c r="M817" i="1"/>
  <c r="N817" i="1"/>
  <c r="P817" i="1"/>
  <c r="Q817" i="1"/>
  <c r="R817" i="1"/>
  <c r="S817" i="1"/>
  <c r="T817" i="1"/>
  <c r="Z817" i="1"/>
  <c r="AL817" i="1"/>
  <c r="A818" i="1"/>
  <c r="B818" i="1"/>
  <c r="C818" i="1"/>
  <c r="G818" i="1"/>
  <c r="H818" i="1"/>
  <c r="I818" i="1"/>
  <c r="J818" i="1"/>
  <c r="K818" i="1"/>
  <c r="M818" i="1"/>
  <c r="N818" i="1"/>
  <c r="P818" i="1"/>
  <c r="Q818" i="1"/>
  <c r="R818" i="1"/>
  <c r="S818" i="1"/>
  <c r="T818" i="1"/>
  <c r="Z818" i="1"/>
  <c r="AL818" i="1"/>
  <c r="A819" i="1"/>
  <c r="B819" i="1"/>
  <c r="C819" i="1"/>
  <c r="G819" i="1"/>
  <c r="H819" i="1"/>
  <c r="I819" i="1"/>
  <c r="J819" i="1"/>
  <c r="K819" i="1"/>
  <c r="M819" i="1"/>
  <c r="N819" i="1"/>
  <c r="P819" i="1"/>
  <c r="Q819" i="1"/>
  <c r="R819" i="1"/>
  <c r="S819" i="1"/>
  <c r="T819" i="1"/>
  <c r="Z819" i="1"/>
  <c r="AL819" i="1"/>
  <c r="A820" i="1"/>
  <c r="B820" i="1"/>
  <c r="C820" i="1"/>
  <c r="G820" i="1"/>
  <c r="H820" i="1"/>
  <c r="I820" i="1"/>
  <c r="J820" i="1"/>
  <c r="K820" i="1"/>
  <c r="M820" i="1"/>
  <c r="N820" i="1"/>
  <c r="P820" i="1"/>
  <c r="Q820" i="1"/>
  <c r="R820" i="1"/>
  <c r="S820" i="1"/>
  <c r="T820" i="1"/>
  <c r="Z820" i="1"/>
  <c r="AL820" i="1"/>
  <c r="A821" i="1"/>
  <c r="B821" i="1"/>
  <c r="C821" i="1"/>
  <c r="G821" i="1"/>
  <c r="H821" i="1"/>
  <c r="I821" i="1"/>
  <c r="J821" i="1"/>
  <c r="K821" i="1"/>
  <c r="M821" i="1"/>
  <c r="N821" i="1"/>
  <c r="P821" i="1"/>
  <c r="Q821" i="1"/>
  <c r="R821" i="1"/>
  <c r="S821" i="1"/>
  <c r="T821" i="1"/>
  <c r="Z821" i="1"/>
  <c r="AL821" i="1"/>
  <c r="A822" i="1"/>
  <c r="B822" i="1"/>
  <c r="C822" i="1"/>
  <c r="G822" i="1"/>
  <c r="H822" i="1"/>
  <c r="I822" i="1"/>
  <c r="J822" i="1"/>
  <c r="K822" i="1"/>
  <c r="M822" i="1"/>
  <c r="N822" i="1"/>
  <c r="P822" i="1"/>
  <c r="Q822" i="1"/>
  <c r="R822" i="1"/>
  <c r="S822" i="1"/>
  <c r="T822" i="1"/>
  <c r="Z822" i="1"/>
  <c r="AL822" i="1"/>
  <c r="A823" i="1"/>
  <c r="B823" i="1"/>
  <c r="C823" i="1"/>
  <c r="G823" i="1"/>
  <c r="H823" i="1"/>
  <c r="I823" i="1"/>
  <c r="J823" i="1"/>
  <c r="K823" i="1"/>
  <c r="M823" i="1"/>
  <c r="N823" i="1"/>
  <c r="P823" i="1"/>
  <c r="Q823" i="1"/>
  <c r="R823" i="1"/>
  <c r="S823" i="1"/>
  <c r="T823" i="1"/>
  <c r="Z823" i="1"/>
  <c r="AL823" i="1"/>
  <c r="A824" i="1"/>
  <c r="B824" i="1"/>
  <c r="C824" i="1"/>
  <c r="G824" i="1"/>
  <c r="H824" i="1"/>
  <c r="I824" i="1"/>
  <c r="J824" i="1"/>
  <c r="K824" i="1"/>
  <c r="M824" i="1"/>
  <c r="N824" i="1"/>
  <c r="P824" i="1"/>
  <c r="Q824" i="1"/>
  <c r="R824" i="1"/>
  <c r="S824" i="1"/>
  <c r="T824" i="1"/>
  <c r="Z824" i="1"/>
  <c r="AL824" i="1"/>
  <c r="A825" i="1"/>
  <c r="B825" i="1"/>
  <c r="C825" i="1"/>
  <c r="G825" i="1"/>
  <c r="H825" i="1"/>
  <c r="I825" i="1"/>
  <c r="J825" i="1"/>
  <c r="K825" i="1"/>
  <c r="M825" i="1"/>
  <c r="N825" i="1"/>
  <c r="P825" i="1"/>
  <c r="Q825" i="1"/>
  <c r="R825" i="1"/>
  <c r="S825" i="1"/>
  <c r="T825" i="1"/>
  <c r="Z825" i="1"/>
  <c r="AL825" i="1"/>
  <c r="A826" i="1"/>
  <c r="B826" i="1"/>
  <c r="C826" i="1"/>
  <c r="G826" i="1"/>
  <c r="H826" i="1"/>
  <c r="I826" i="1"/>
  <c r="J826" i="1"/>
  <c r="K826" i="1"/>
  <c r="M826" i="1"/>
  <c r="N826" i="1"/>
  <c r="P826" i="1"/>
  <c r="Q826" i="1"/>
  <c r="R826" i="1"/>
  <c r="S826" i="1"/>
  <c r="T826" i="1"/>
  <c r="Z826" i="1"/>
  <c r="AL826" i="1"/>
  <c r="A827" i="1"/>
  <c r="B827" i="1"/>
  <c r="C827" i="1"/>
  <c r="G827" i="1"/>
  <c r="H827" i="1"/>
  <c r="I827" i="1"/>
  <c r="J827" i="1"/>
  <c r="K827" i="1"/>
  <c r="M827" i="1"/>
  <c r="N827" i="1"/>
  <c r="P827" i="1"/>
  <c r="Q827" i="1"/>
  <c r="R827" i="1"/>
  <c r="S827" i="1"/>
  <c r="T827" i="1"/>
  <c r="Z827" i="1"/>
  <c r="AL827" i="1"/>
  <c r="A828" i="1"/>
  <c r="B828" i="1"/>
  <c r="C828" i="1"/>
  <c r="G828" i="1"/>
  <c r="H828" i="1"/>
  <c r="I828" i="1"/>
  <c r="J828" i="1"/>
  <c r="K828" i="1"/>
  <c r="M828" i="1"/>
  <c r="N828" i="1"/>
  <c r="P828" i="1"/>
  <c r="Q828" i="1"/>
  <c r="R828" i="1"/>
  <c r="S828" i="1"/>
  <c r="T828" i="1"/>
  <c r="Z828" i="1"/>
  <c r="AL828" i="1"/>
  <c r="A829" i="1"/>
  <c r="B829" i="1"/>
  <c r="C829" i="1"/>
  <c r="G829" i="1"/>
  <c r="H829" i="1"/>
  <c r="I829" i="1"/>
  <c r="J829" i="1"/>
  <c r="K829" i="1"/>
  <c r="M829" i="1"/>
  <c r="N829" i="1"/>
  <c r="P829" i="1"/>
  <c r="Q829" i="1"/>
  <c r="R829" i="1"/>
  <c r="S829" i="1"/>
  <c r="T829" i="1"/>
  <c r="Z829" i="1"/>
  <c r="AL829" i="1"/>
  <c r="A830" i="1"/>
  <c r="B830" i="1"/>
  <c r="C830" i="1"/>
  <c r="G830" i="1"/>
  <c r="H830" i="1"/>
  <c r="I830" i="1"/>
  <c r="J830" i="1"/>
  <c r="K830" i="1"/>
  <c r="M830" i="1"/>
  <c r="N830" i="1"/>
  <c r="P830" i="1"/>
  <c r="Q830" i="1"/>
  <c r="R830" i="1"/>
  <c r="S830" i="1"/>
  <c r="T830" i="1"/>
  <c r="Z830" i="1"/>
  <c r="AL830" i="1"/>
  <c r="A831" i="1"/>
  <c r="B831" i="1"/>
  <c r="C831" i="1"/>
  <c r="G831" i="1"/>
  <c r="H831" i="1"/>
  <c r="I831" i="1"/>
  <c r="J831" i="1"/>
  <c r="K831" i="1"/>
  <c r="M831" i="1"/>
  <c r="N831" i="1"/>
  <c r="P831" i="1"/>
  <c r="Q831" i="1"/>
  <c r="R831" i="1"/>
  <c r="S831" i="1"/>
  <c r="T831" i="1"/>
  <c r="Z831" i="1"/>
  <c r="AL831" i="1"/>
  <c r="A832" i="1"/>
  <c r="B832" i="1"/>
  <c r="C832" i="1"/>
  <c r="G832" i="1"/>
  <c r="H832" i="1"/>
  <c r="I832" i="1"/>
  <c r="J832" i="1"/>
  <c r="K832" i="1"/>
  <c r="M832" i="1"/>
  <c r="N832" i="1"/>
  <c r="P832" i="1"/>
  <c r="Q832" i="1"/>
  <c r="R832" i="1"/>
  <c r="S832" i="1"/>
  <c r="T832" i="1"/>
  <c r="Z832" i="1"/>
  <c r="AL832" i="1"/>
  <c r="A833" i="1"/>
  <c r="B833" i="1"/>
  <c r="C833" i="1"/>
  <c r="G833" i="1"/>
  <c r="H833" i="1"/>
  <c r="I833" i="1"/>
  <c r="J833" i="1"/>
  <c r="K833" i="1"/>
  <c r="M833" i="1"/>
  <c r="N833" i="1"/>
  <c r="P833" i="1"/>
  <c r="Q833" i="1"/>
  <c r="R833" i="1"/>
  <c r="S833" i="1"/>
  <c r="T833" i="1"/>
  <c r="Z833" i="1"/>
  <c r="AL833" i="1"/>
  <c r="A834" i="1"/>
  <c r="B834" i="1"/>
  <c r="C834" i="1"/>
  <c r="G834" i="1"/>
  <c r="H834" i="1"/>
  <c r="I834" i="1"/>
  <c r="J834" i="1"/>
  <c r="K834" i="1"/>
  <c r="M834" i="1"/>
  <c r="N834" i="1"/>
  <c r="P834" i="1"/>
  <c r="Q834" i="1"/>
  <c r="R834" i="1"/>
  <c r="S834" i="1"/>
  <c r="T834" i="1"/>
  <c r="Z834" i="1"/>
  <c r="AL834" i="1"/>
  <c r="A835" i="1"/>
  <c r="B835" i="1"/>
  <c r="C835" i="1"/>
  <c r="G835" i="1"/>
  <c r="H835" i="1"/>
  <c r="I835" i="1"/>
  <c r="J835" i="1"/>
  <c r="K835" i="1"/>
  <c r="M835" i="1"/>
  <c r="N835" i="1"/>
  <c r="P835" i="1"/>
  <c r="Q835" i="1"/>
  <c r="R835" i="1"/>
  <c r="S835" i="1"/>
  <c r="T835" i="1"/>
  <c r="Z835" i="1"/>
  <c r="AL835" i="1"/>
  <c r="A836" i="1"/>
  <c r="B836" i="1"/>
  <c r="C836" i="1"/>
  <c r="G836" i="1"/>
  <c r="H836" i="1"/>
  <c r="I836" i="1"/>
  <c r="J836" i="1"/>
  <c r="K836" i="1"/>
  <c r="M836" i="1"/>
  <c r="N836" i="1"/>
  <c r="P836" i="1"/>
  <c r="Q836" i="1"/>
  <c r="R836" i="1"/>
  <c r="S836" i="1"/>
  <c r="T836" i="1"/>
  <c r="Z836" i="1"/>
  <c r="AL836" i="1"/>
  <c r="A837" i="1"/>
  <c r="B837" i="1"/>
  <c r="C837" i="1"/>
  <c r="G837" i="1"/>
  <c r="H837" i="1"/>
  <c r="I837" i="1"/>
  <c r="J837" i="1"/>
  <c r="K837" i="1"/>
  <c r="M837" i="1"/>
  <c r="N837" i="1"/>
  <c r="P837" i="1"/>
  <c r="Q837" i="1"/>
  <c r="R837" i="1"/>
  <c r="S837" i="1"/>
  <c r="T837" i="1"/>
  <c r="Z837" i="1"/>
  <c r="AL837" i="1"/>
  <c r="A838" i="1"/>
  <c r="B838" i="1"/>
  <c r="C838" i="1"/>
  <c r="G838" i="1"/>
  <c r="H838" i="1"/>
  <c r="I838" i="1"/>
  <c r="J838" i="1"/>
  <c r="K838" i="1"/>
  <c r="M838" i="1"/>
  <c r="N838" i="1"/>
  <c r="P838" i="1"/>
  <c r="Q838" i="1"/>
  <c r="R838" i="1"/>
  <c r="S838" i="1"/>
  <c r="T838" i="1"/>
  <c r="Z838" i="1"/>
  <c r="AL838" i="1"/>
  <c r="A839" i="1"/>
  <c r="B839" i="1"/>
  <c r="C839" i="1"/>
  <c r="G839" i="1"/>
  <c r="H839" i="1"/>
  <c r="I839" i="1"/>
  <c r="J839" i="1"/>
  <c r="K839" i="1"/>
  <c r="M839" i="1"/>
  <c r="N839" i="1"/>
  <c r="P839" i="1"/>
  <c r="Q839" i="1"/>
  <c r="R839" i="1"/>
  <c r="S839" i="1"/>
  <c r="T839" i="1"/>
  <c r="Z839" i="1"/>
  <c r="AL839" i="1"/>
  <c r="A840" i="1"/>
  <c r="B840" i="1"/>
  <c r="C840" i="1"/>
  <c r="G840" i="1"/>
  <c r="H840" i="1"/>
  <c r="I840" i="1"/>
  <c r="J840" i="1"/>
  <c r="K840" i="1"/>
  <c r="M840" i="1"/>
  <c r="N840" i="1"/>
  <c r="P840" i="1"/>
  <c r="Q840" i="1"/>
  <c r="R840" i="1"/>
  <c r="S840" i="1"/>
  <c r="T840" i="1"/>
  <c r="Z840" i="1"/>
  <c r="AL840" i="1"/>
  <c r="A841" i="1"/>
  <c r="B841" i="1"/>
  <c r="C841" i="1"/>
  <c r="G841" i="1"/>
  <c r="H841" i="1"/>
  <c r="I841" i="1"/>
  <c r="J841" i="1"/>
  <c r="K841" i="1"/>
  <c r="M841" i="1"/>
  <c r="N841" i="1"/>
  <c r="P841" i="1"/>
  <c r="Q841" i="1"/>
  <c r="R841" i="1"/>
  <c r="S841" i="1"/>
  <c r="T841" i="1"/>
  <c r="Z841" i="1"/>
  <c r="AL841" i="1"/>
  <c r="A842" i="1"/>
  <c r="B842" i="1"/>
  <c r="C842" i="1"/>
  <c r="G842" i="1"/>
  <c r="H842" i="1"/>
  <c r="I842" i="1"/>
  <c r="J842" i="1"/>
  <c r="K842" i="1"/>
  <c r="M842" i="1"/>
  <c r="N842" i="1"/>
  <c r="P842" i="1"/>
  <c r="Q842" i="1"/>
  <c r="R842" i="1"/>
  <c r="S842" i="1"/>
  <c r="T842" i="1"/>
  <c r="Z842" i="1"/>
  <c r="AL842" i="1"/>
  <c r="A843" i="1"/>
  <c r="B843" i="1"/>
  <c r="C843" i="1"/>
  <c r="G843" i="1"/>
  <c r="H843" i="1"/>
  <c r="I843" i="1"/>
  <c r="J843" i="1"/>
  <c r="K843" i="1"/>
  <c r="M843" i="1"/>
  <c r="N843" i="1"/>
  <c r="P843" i="1"/>
  <c r="Q843" i="1"/>
  <c r="R843" i="1"/>
  <c r="S843" i="1"/>
  <c r="T843" i="1"/>
  <c r="Z843" i="1"/>
  <c r="AL843" i="1"/>
  <c r="A844" i="1"/>
  <c r="B844" i="1"/>
  <c r="C844" i="1"/>
  <c r="G844" i="1"/>
  <c r="H844" i="1"/>
  <c r="I844" i="1"/>
  <c r="J844" i="1"/>
  <c r="K844" i="1"/>
  <c r="M844" i="1"/>
  <c r="N844" i="1"/>
  <c r="P844" i="1"/>
  <c r="Q844" i="1"/>
  <c r="R844" i="1"/>
  <c r="S844" i="1"/>
  <c r="T844" i="1"/>
  <c r="Z844" i="1"/>
  <c r="AL844" i="1"/>
  <c r="A845" i="1"/>
  <c r="B845" i="1"/>
  <c r="C845" i="1"/>
  <c r="G845" i="1"/>
  <c r="H845" i="1"/>
  <c r="I845" i="1"/>
  <c r="J845" i="1"/>
  <c r="K845" i="1"/>
  <c r="M845" i="1"/>
  <c r="N845" i="1"/>
  <c r="P845" i="1"/>
  <c r="Q845" i="1"/>
  <c r="R845" i="1"/>
  <c r="S845" i="1"/>
  <c r="T845" i="1"/>
  <c r="Z845" i="1"/>
  <c r="AL845" i="1"/>
  <c r="A846" i="1"/>
  <c r="B846" i="1"/>
  <c r="C846" i="1"/>
  <c r="G846" i="1"/>
  <c r="H846" i="1"/>
  <c r="I846" i="1"/>
  <c r="J846" i="1"/>
  <c r="K846" i="1"/>
  <c r="M846" i="1"/>
  <c r="N846" i="1"/>
  <c r="P846" i="1"/>
  <c r="Q846" i="1"/>
  <c r="R846" i="1"/>
  <c r="S846" i="1"/>
  <c r="T846" i="1"/>
  <c r="Z846" i="1"/>
  <c r="AL846" i="1"/>
  <c r="A847" i="1"/>
  <c r="B847" i="1"/>
  <c r="C847" i="1"/>
  <c r="G847" i="1"/>
  <c r="H847" i="1"/>
  <c r="I847" i="1"/>
  <c r="J847" i="1"/>
  <c r="K847" i="1"/>
  <c r="M847" i="1"/>
  <c r="N847" i="1"/>
  <c r="P847" i="1"/>
  <c r="Q847" i="1"/>
  <c r="R847" i="1"/>
  <c r="S847" i="1"/>
  <c r="T847" i="1"/>
  <c r="Z847" i="1"/>
  <c r="AL847" i="1"/>
  <c r="A848" i="1"/>
  <c r="B848" i="1"/>
  <c r="C848" i="1"/>
  <c r="G848" i="1"/>
  <c r="H848" i="1"/>
  <c r="I848" i="1"/>
  <c r="J848" i="1"/>
  <c r="K848" i="1"/>
  <c r="M848" i="1"/>
  <c r="N848" i="1"/>
  <c r="P848" i="1"/>
  <c r="Q848" i="1"/>
  <c r="R848" i="1"/>
  <c r="S848" i="1"/>
  <c r="T848" i="1"/>
  <c r="Z848" i="1"/>
  <c r="AL848" i="1"/>
  <c r="A849" i="1"/>
  <c r="B849" i="1"/>
  <c r="C849" i="1"/>
  <c r="G849" i="1"/>
  <c r="H849" i="1"/>
  <c r="I849" i="1"/>
  <c r="J849" i="1"/>
  <c r="K849" i="1"/>
  <c r="M849" i="1"/>
  <c r="N849" i="1"/>
  <c r="P849" i="1"/>
  <c r="Q849" i="1"/>
  <c r="R849" i="1"/>
  <c r="S849" i="1"/>
  <c r="T849" i="1"/>
  <c r="Z849" i="1"/>
  <c r="AL849" i="1"/>
  <c r="A850" i="1"/>
  <c r="B850" i="1"/>
  <c r="C850" i="1"/>
  <c r="G850" i="1"/>
  <c r="H850" i="1"/>
  <c r="I850" i="1"/>
  <c r="J850" i="1"/>
  <c r="K850" i="1"/>
  <c r="M850" i="1"/>
  <c r="N850" i="1"/>
  <c r="P850" i="1"/>
  <c r="Q850" i="1"/>
  <c r="R850" i="1"/>
  <c r="S850" i="1"/>
  <c r="T850" i="1"/>
  <c r="Z850" i="1"/>
  <c r="AL850" i="1"/>
  <c r="A851" i="1"/>
  <c r="B851" i="1"/>
  <c r="C851" i="1"/>
  <c r="G851" i="1"/>
  <c r="H851" i="1"/>
  <c r="I851" i="1"/>
  <c r="J851" i="1"/>
  <c r="K851" i="1"/>
  <c r="M851" i="1"/>
  <c r="N851" i="1"/>
  <c r="P851" i="1"/>
  <c r="Q851" i="1"/>
  <c r="R851" i="1"/>
  <c r="S851" i="1"/>
  <c r="T851" i="1"/>
  <c r="Z851" i="1"/>
  <c r="AL851" i="1"/>
  <c r="A852" i="1"/>
  <c r="B852" i="1"/>
  <c r="C852" i="1"/>
  <c r="G852" i="1"/>
  <c r="H852" i="1"/>
  <c r="I852" i="1"/>
  <c r="J852" i="1"/>
  <c r="K852" i="1"/>
  <c r="M852" i="1"/>
  <c r="N852" i="1"/>
  <c r="P852" i="1"/>
  <c r="Q852" i="1"/>
  <c r="R852" i="1"/>
  <c r="S852" i="1"/>
  <c r="T852" i="1"/>
  <c r="Z852" i="1"/>
  <c r="AL852" i="1"/>
  <c r="A853" i="1"/>
  <c r="B853" i="1"/>
  <c r="C853" i="1"/>
  <c r="G853" i="1"/>
  <c r="H853" i="1"/>
  <c r="I853" i="1"/>
  <c r="J853" i="1"/>
  <c r="K853" i="1"/>
  <c r="M853" i="1"/>
  <c r="N853" i="1"/>
  <c r="P853" i="1"/>
  <c r="Q853" i="1"/>
  <c r="R853" i="1"/>
  <c r="S853" i="1"/>
  <c r="T853" i="1"/>
  <c r="Z853" i="1"/>
  <c r="AL853" i="1"/>
  <c r="A854" i="1"/>
  <c r="B854" i="1"/>
  <c r="C854" i="1"/>
  <c r="G854" i="1"/>
  <c r="H854" i="1"/>
  <c r="I854" i="1"/>
  <c r="J854" i="1"/>
  <c r="K854" i="1"/>
  <c r="M854" i="1"/>
  <c r="N854" i="1"/>
  <c r="P854" i="1"/>
  <c r="Q854" i="1"/>
  <c r="R854" i="1"/>
  <c r="S854" i="1"/>
  <c r="T854" i="1"/>
  <c r="Z854" i="1"/>
  <c r="AL854" i="1"/>
  <c r="A855" i="1"/>
  <c r="B855" i="1"/>
  <c r="C855" i="1"/>
  <c r="G855" i="1"/>
  <c r="H855" i="1"/>
  <c r="I855" i="1"/>
  <c r="J855" i="1"/>
  <c r="K855" i="1"/>
  <c r="M855" i="1"/>
  <c r="N855" i="1"/>
  <c r="P855" i="1"/>
  <c r="Q855" i="1"/>
  <c r="R855" i="1"/>
  <c r="S855" i="1"/>
  <c r="T855" i="1"/>
  <c r="Z855" i="1"/>
  <c r="AL855" i="1"/>
  <c r="A856" i="1"/>
  <c r="B856" i="1"/>
  <c r="C856" i="1"/>
  <c r="G856" i="1"/>
  <c r="H856" i="1"/>
  <c r="I856" i="1"/>
  <c r="J856" i="1"/>
  <c r="K856" i="1"/>
  <c r="M856" i="1"/>
  <c r="N856" i="1"/>
  <c r="P856" i="1"/>
  <c r="Q856" i="1"/>
  <c r="R856" i="1"/>
  <c r="S856" i="1"/>
  <c r="T856" i="1"/>
  <c r="Z856" i="1"/>
  <c r="AL856" i="1"/>
  <c r="A857" i="1"/>
  <c r="B857" i="1"/>
  <c r="C857" i="1"/>
  <c r="G857" i="1"/>
  <c r="H857" i="1"/>
  <c r="I857" i="1"/>
  <c r="J857" i="1"/>
  <c r="K857" i="1"/>
  <c r="M857" i="1"/>
  <c r="N857" i="1"/>
  <c r="P857" i="1"/>
  <c r="Q857" i="1"/>
  <c r="R857" i="1"/>
  <c r="S857" i="1"/>
  <c r="T857" i="1"/>
  <c r="Z857" i="1"/>
  <c r="AL857" i="1"/>
  <c r="A858" i="1"/>
  <c r="B858" i="1"/>
  <c r="C858" i="1"/>
  <c r="G858" i="1"/>
  <c r="H858" i="1"/>
  <c r="I858" i="1"/>
  <c r="J858" i="1"/>
  <c r="K858" i="1"/>
  <c r="M858" i="1"/>
  <c r="N858" i="1"/>
  <c r="P858" i="1"/>
  <c r="Q858" i="1"/>
  <c r="R858" i="1"/>
  <c r="S858" i="1"/>
  <c r="T858" i="1"/>
  <c r="Z858" i="1"/>
  <c r="AL858" i="1"/>
  <c r="A859" i="1"/>
  <c r="B859" i="1"/>
  <c r="C859" i="1"/>
  <c r="G859" i="1"/>
  <c r="H859" i="1"/>
  <c r="I859" i="1"/>
  <c r="J859" i="1"/>
  <c r="K859" i="1"/>
  <c r="M859" i="1"/>
  <c r="N859" i="1"/>
  <c r="P859" i="1"/>
  <c r="Q859" i="1"/>
  <c r="R859" i="1"/>
  <c r="S859" i="1"/>
  <c r="T859" i="1"/>
  <c r="Z859" i="1"/>
  <c r="AL859" i="1"/>
  <c r="A860" i="1"/>
  <c r="B860" i="1"/>
  <c r="C860" i="1"/>
  <c r="G860" i="1"/>
  <c r="H860" i="1"/>
  <c r="I860" i="1"/>
  <c r="J860" i="1"/>
  <c r="K860" i="1"/>
  <c r="M860" i="1"/>
  <c r="N860" i="1"/>
  <c r="P860" i="1"/>
  <c r="Q860" i="1"/>
  <c r="R860" i="1"/>
  <c r="S860" i="1"/>
  <c r="T860" i="1"/>
  <c r="Z860" i="1"/>
  <c r="AL860" i="1"/>
  <c r="A861" i="1"/>
  <c r="B861" i="1"/>
  <c r="C861" i="1"/>
  <c r="G861" i="1"/>
  <c r="H861" i="1"/>
  <c r="I861" i="1"/>
  <c r="J861" i="1"/>
  <c r="K861" i="1"/>
  <c r="M861" i="1"/>
  <c r="N861" i="1"/>
  <c r="P861" i="1"/>
  <c r="Q861" i="1"/>
  <c r="R861" i="1"/>
  <c r="S861" i="1"/>
  <c r="T861" i="1"/>
  <c r="Z861" i="1"/>
  <c r="AL861" i="1"/>
  <c r="A862" i="1"/>
  <c r="B862" i="1"/>
  <c r="C862" i="1"/>
  <c r="G862" i="1"/>
  <c r="H862" i="1"/>
  <c r="I862" i="1"/>
  <c r="J862" i="1"/>
  <c r="K862" i="1"/>
  <c r="M862" i="1"/>
  <c r="N862" i="1"/>
  <c r="P862" i="1"/>
  <c r="Q862" i="1"/>
  <c r="R862" i="1"/>
  <c r="S862" i="1"/>
  <c r="T862" i="1"/>
  <c r="Z862" i="1"/>
  <c r="AL862" i="1"/>
  <c r="A863" i="1"/>
  <c r="B863" i="1"/>
  <c r="C863" i="1"/>
  <c r="G863" i="1"/>
  <c r="H863" i="1"/>
  <c r="I863" i="1"/>
  <c r="J863" i="1"/>
  <c r="K863" i="1"/>
  <c r="M863" i="1"/>
  <c r="N863" i="1"/>
  <c r="P863" i="1"/>
  <c r="Q863" i="1"/>
  <c r="R863" i="1"/>
  <c r="S863" i="1"/>
  <c r="T863" i="1"/>
  <c r="Z863" i="1"/>
  <c r="AL863" i="1"/>
  <c r="A864" i="1"/>
  <c r="B864" i="1"/>
  <c r="C864" i="1"/>
  <c r="G864" i="1"/>
  <c r="H864" i="1"/>
  <c r="I864" i="1"/>
  <c r="J864" i="1"/>
  <c r="K864" i="1"/>
  <c r="M864" i="1"/>
  <c r="N864" i="1"/>
  <c r="P864" i="1"/>
  <c r="Q864" i="1"/>
  <c r="R864" i="1"/>
  <c r="S864" i="1"/>
  <c r="T864" i="1"/>
  <c r="Z864" i="1"/>
  <c r="AL864" i="1"/>
  <c r="A865" i="1"/>
  <c r="B865" i="1"/>
  <c r="C865" i="1"/>
  <c r="G865" i="1"/>
  <c r="H865" i="1"/>
  <c r="I865" i="1"/>
  <c r="J865" i="1"/>
  <c r="K865" i="1"/>
  <c r="M865" i="1"/>
  <c r="N865" i="1"/>
  <c r="P865" i="1"/>
  <c r="Q865" i="1"/>
  <c r="R865" i="1"/>
  <c r="S865" i="1"/>
  <c r="T865" i="1"/>
  <c r="Z865" i="1"/>
  <c r="AL865" i="1"/>
  <c r="A866" i="1"/>
  <c r="B866" i="1"/>
  <c r="C866" i="1"/>
  <c r="G866" i="1"/>
  <c r="H866" i="1"/>
  <c r="I866" i="1"/>
  <c r="J866" i="1"/>
  <c r="K866" i="1"/>
  <c r="M866" i="1"/>
  <c r="N866" i="1"/>
  <c r="P866" i="1"/>
  <c r="Q866" i="1"/>
  <c r="R866" i="1"/>
  <c r="S866" i="1"/>
  <c r="T866" i="1"/>
  <c r="Z866" i="1"/>
  <c r="AL866" i="1"/>
  <c r="A867" i="1"/>
  <c r="B867" i="1"/>
  <c r="C867" i="1"/>
  <c r="G867" i="1"/>
  <c r="H867" i="1"/>
  <c r="I867" i="1"/>
  <c r="J867" i="1"/>
  <c r="K867" i="1"/>
  <c r="M867" i="1"/>
  <c r="N867" i="1"/>
  <c r="P867" i="1"/>
  <c r="Q867" i="1"/>
  <c r="R867" i="1"/>
  <c r="S867" i="1"/>
  <c r="T867" i="1"/>
  <c r="Z867" i="1"/>
  <c r="AL867" i="1"/>
  <c r="A868" i="1"/>
  <c r="B868" i="1"/>
  <c r="C868" i="1"/>
  <c r="G868" i="1"/>
  <c r="H868" i="1"/>
  <c r="I868" i="1"/>
  <c r="J868" i="1"/>
  <c r="K868" i="1"/>
  <c r="M868" i="1"/>
  <c r="N868" i="1"/>
  <c r="P868" i="1"/>
  <c r="Q868" i="1"/>
  <c r="R868" i="1"/>
  <c r="S868" i="1"/>
  <c r="T868" i="1"/>
  <c r="Z868" i="1"/>
  <c r="AL868" i="1"/>
  <c r="A869" i="1"/>
  <c r="B869" i="1"/>
  <c r="C869" i="1"/>
  <c r="G869" i="1"/>
  <c r="H869" i="1"/>
  <c r="I869" i="1"/>
  <c r="J869" i="1"/>
  <c r="K869" i="1"/>
  <c r="M869" i="1"/>
  <c r="N869" i="1"/>
  <c r="P869" i="1"/>
  <c r="Q869" i="1"/>
  <c r="R869" i="1"/>
  <c r="S869" i="1"/>
  <c r="T869" i="1"/>
  <c r="Z869" i="1"/>
  <c r="AL869" i="1"/>
  <c r="A870" i="1"/>
  <c r="B870" i="1"/>
  <c r="C870" i="1"/>
  <c r="G870" i="1"/>
  <c r="H870" i="1"/>
  <c r="I870" i="1"/>
  <c r="J870" i="1"/>
  <c r="K870" i="1"/>
  <c r="M870" i="1"/>
  <c r="N870" i="1"/>
  <c r="P870" i="1"/>
  <c r="Q870" i="1"/>
  <c r="R870" i="1"/>
  <c r="S870" i="1"/>
  <c r="T870" i="1"/>
  <c r="Z870" i="1"/>
  <c r="AL870" i="1"/>
  <c r="A871" i="1"/>
  <c r="B871" i="1"/>
  <c r="C871" i="1"/>
  <c r="G871" i="1"/>
  <c r="H871" i="1"/>
  <c r="I871" i="1"/>
  <c r="J871" i="1"/>
  <c r="K871" i="1"/>
  <c r="M871" i="1"/>
  <c r="N871" i="1"/>
  <c r="P871" i="1"/>
  <c r="Q871" i="1"/>
  <c r="R871" i="1"/>
  <c r="S871" i="1"/>
  <c r="T871" i="1"/>
  <c r="Z871" i="1"/>
  <c r="AL871" i="1"/>
  <c r="A872" i="1"/>
  <c r="B872" i="1"/>
  <c r="C872" i="1"/>
  <c r="G872" i="1"/>
  <c r="H872" i="1"/>
  <c r="I872" i="1"/>
  <c r="J872" i="1"/>
  <c r="K872" i="1"/>
  <c r="M872" i="1"/>
  <c r="N872" i="1"/>
  <c r="P872" i="1"/>
  <c r="Q872" i="1"/>
  <c r="R872" i="1"/>
  <c r="S872" i="1"/>
  <c r="T872" i="1"/>
  <c r="Z872" i="1"/>
  <c r="AL872" i="1"/>
  <c r="A873" i="1"/>
  <c r="B873" i="1"/>
  <c r="C873" i="1"/>
  <c r="G873" i="1"/>
  <c r="H873" i="1"/>
  <c r="I873" i="1"/>
  <c r="J873" i="1"/>
  <c r="K873" i="1"/>
  <c r="M873" i="1"/>
  <c r="N873" i="1"/>
  <c r="P873" i="1"/>
  <c r="Q873" i="1"/>
  <c r="R873" i="1"/>
  <c r="S873" i="1"/>
  <c r="T873" i="1"/>
  <c r="Z873" i="1"/>
  <c r="AL873" i="1"/>
  <c r="A874" i="1"/>
  <c r="B874" i="1"/>
  <c r="C874" i="1"/>
  <c r="G874" i="1"/>
  <c r="H874" i="1"/>
  <c r="I874" i="1"/>
  <c r="J874" i="1"/>
  <c r="K874" i="1"/>
  <c r="M874" i="1"/>
  <c r="N874" i="1"/>
  <c r="P874" i="1"/>
  <c r="Q874" i="1"/>
  <c r="R874" i="1"/>
  <c r="S874" i="1"/>
  <c r="T874" i="1"/>
  <c r="Z874" i="1"/>
  <c r="AL874" i="1"/>
  <c r="A875" i="1"/>
  <c r="B875" i="1"/>
  <c r="C875" i="1"/>
  <c r="G875" i="1"/>
  <c r="H875" i="1"/>
  <c r="I875" i="1"/>
  <c r="J875" i="1"/>
  <c r="K875" i="1"/>
  <c r="M875" i="1"/>
  <c r="N875" i="1"/>
  <c r="P875" i="1"/>
  <c r="Q875" i="1"/>
  <c r="R875" i="1"/>
  <c r="S875" i="1"/>
  <c r="T875" i="1"/>
  <c r="Z875" i="1"/>
  <c r="AL875" i="1"/>
  <c r="A876" i="1"/>
  <c r="B876" i="1"/>
  <c r="C876" i="1"/>
  <c r="G876" i="1"/>
  <c r="H876" i="1"/>
  <c r="I876" i="1"/>
  <c r="J876" i="1"/>
  <c r="K876" i="1"/>
  <c r="M876" i="1"/>
  <c r="N876" i="1"/>
  <c r="P876" i="1"/>
  <c r="Q876" i="1"/>
  <c r="R876" i="1"/>
  <c r="S876" i="1"/>
  <c r="T876" i="1"/>
  <c r="Z876" i="1"/>
  <c r="AL876" i="1"/>
  <c r="A877" i="1"/>
  <c r="B877" i="1"/>
  <c r="C877" i="1"/>
  <c r="G877" i="1"/>
  <c r="H877" i="1"/>
  <c r="I877" i="1"/>
  <c r="J877" i="1"/>
  <c r="K877" i="1"/>
  <c r="M877" i="1"/>
  <c r="N877" i="1"/>
  <c r="P877" i="1"/>
  <c r="Q877" i="1"/>
  <c r="R877" i="1"/>
  <c r="S877" i="1"/>
  <c r="T877" i="1"/>
  <c r="Z877" i="1"/>
  <c r="AL877" i="1"/>
  <c r="A878" i="1"/>
  <c r="B878" i="1"/>
  <c r="C878" i="1"/>
  <c r="G878" i="1"/>
  <c r="H878" i="1"/>
  <c r="I878" i="1"/>
  <c r="J878" i="1"/>
  <c r="K878" i="1"/>
  <c r="M878" i="1"/>
  <c r="N878" i="1"/>
  <c r="P878" i="1"/>
  <c r="Q878" i="1"/>
  <c r="R878" i="1"/>
  <c r="S878" i="1"/>
  <c r="T878" i="1"/>
  <c r="Z878" i="1"/>
  <c r="AL878" i="1"/>
  <c r="A879" i="1"/>
  <c r="B879" i="1"/>
  <c r="C879" i="1"/>
  <c r="G879" i="1"/>
  <c r="H879" i="1"/>
  <c r="I879" i="1"/>
  <c r="J879" i="1"/>
  <c r="K879" i="1"/>
  <c r="M879" i="1"/>
  <c r="N879" i="1"/>
  <c r="P879" i="1"/>
  <c r="Q879" i="1"/>
  <c r="R879" i="1"/>
  <c r="S879" i="1"/>
  <c r="T879" i="1"/>
  <c r="Z879" i="1"/>
  <c r="AL879" i="1"/>
  <c r="A880" i="1"/>
  <c r="B880" i="1"/>
  <c r="C880" i="1"/>
  <c r="G880" i="1"/>
  <c r="H880" i="1"/>
  <c r="I880" i="1"/>
  <c r="J880" i="1"/>
  <c r="K880" i="1"/>
  <c r="M880" i="1"/>
  <c r="N880" i="1"/>
  <c r="P880" i="1"/>
  <c r="Q880" i="1"/>
  <c r="R880" i="1"/>
  <c r="S880" i="1"/>
  <c r="T880" i="1"/>
  <c r="Z880" i="1"/>
  <c r="AL880" i="1"/>
  <c r="A881" i="1"/>
  <c r="B881" i="1"/>
  <c r="C881" i="1"/>
  <c r="G881" i="1"/>
  <c r="H881" i="1"/>
  <c r="I881" i="1"/>
  <c r="J881" i="1"/>
  <c r="K881" i="1"/>
  <c r="M881" i="1"/>
  <c r="N881" i="1"/>
  <c r="P881" i="1"/>
  <c r="Q881" i="1"/>
  <c r="R881" i="1"/>
  <c r="S881" i="1"/>
  <c r="T881" i="1"/>
  <c r="Z881" i="1"/>
  <c r="AL881" i="1"/>
  <c r="A882" i="1"/>
  <c r="B882" i="1"/>
  <c r="C882" i="1"/>
  <c r="G882" i="1"/>
  <c r="H882" i="1"/>
  <c r="I882" i="1"/>
  <c r="J882" i="1"/>
  <c r="K882" i="1"/>
  <c r="M882" i="1"/>
  <c r="N882" i="1"/>
  <c r="P882" i="1"/>
  <c r="Q882" i="1"/>
  <c r="R882" i="1"/>
  <c r="S882" i="1"/>
  <c r="T882" i="1"/>
  <c r="Z882" i="1"/>
  <c r="AL882" i="1"/>
  <c r="A883" i="1"/>
  <c r="B883" i="1"/>
  <c r="C883" i="1"/>
  <c r="G883" i="1"/>
  <c r="H883" i="1"/>
  <c r="I883" i="1"/>
  <c r="J883" i="1"/>
  <c r="K883" i="1"/>
  <c r="M883" i="1"/>
  <c r="N883" i="1"/>
  <c r="P883" i="1"/>
  <c r="Q883" i="1"/>
  <c r="R883" i="1"/>
  <c r="S883" i="1"/>
  <c r="T883" i="1"/>
  <c r="Z883" i="1"/>
  <c r="AL883" i="1"/>
  <c r="A884" i="1"/>
  <c r="B884" i="1"/>
  <c r="C884" i="1"/>
  <c r="G884" i="1"/>
  <c r="H884" i="1"/>
  <c r="I884" i="1"/>
  <c r="J884" i="1"/>
  <c r="K884" i="1"/>
  <c r="M884" i="1"/>
  <c r="N884" i="1"/>
  <c r="P884" i="1"/>
  <c r="Q884" i="1"/>
  <c r="R884" i="1"/>
  <c r="S884" i="1"/>
  <c r="T884" i="1"/>
  <c r="Z884" i="1"/>
  <c r="AL884" i="1"/>
  <c r="A885" i="1"/>
  <c r="B885" i="1"/>
  <c r="C885" i="1"/>
  <c r="G885" i="1"/>
  <c r="H885" i="1"/>
  <c r="I885" i="1"/>
  <c r="J885" i="1"/>
  <c r="K885" i="1"/>
  <c r="M885" i="1"/>
  <c r="N885" i="1"/>
  <c r="P885" i="1"/>
  <c r="Q885" i="1"/>
  <c r="R885" i="1"/>
  <c r="S885" i="1"/>
  <c r="T885" i="1"/>
  <c r="Z885" i="1"/>
  <c r="AL885" i="1"/>
  <c r="A886" i="1"/>
  <c r="B886" i="1"/>
  <c r="C886" i="1"/>
  <c r="G886" i="1"/>
  <c r="H886" i="1"/>
  <c r="I886" i="1"/>
  <c r="J886" i="1"/>
  <c r="K886" i="1"/>
  <c r="M886" i="1"/>
  <c r="N886" i="1"/>
  <c r="P886" i="1"/>
  <c r="Q886" i="1"/>
  <c r="R886" i="1"/>
  <c r="S886" i="1"/>
  <c r="T886" i="1"/>
  <c r="Z886" i="1"/>
  <c r="AL886" i="1"/>
  <c r="A887" i="1"/>
  <c r="B887" i="1"/>
  <c r="C887" i="1"/>
  <c r="G887" i="1"/>
  <c r="H887" i="1"/>
  <c r="I887" i="1"/>
  <c r="J887" i="1"/>
  <c r="K887" i="1"/>
  <c r="M887" i="1"/>
  <c r="N887" i="1"/>
  <c r="P887" i="1"/>
  <c r="Q887" i="1"/>
  <c r="R887" i="1"/>
  <c r="S887" i="1"/>
  <c r="T887" i="1"/>
  <c r="Z887" i="1"/>
  <c r="AL887" i="1"/>
  <c r="A888" i="1"/>
  <c r="B888" i="1"/>
  <c r="C888" i="1"/>
  <c r="G888" i="1"/>
  <c r="H888" i="1"/>
  <c r="I888" i="1"/>
  <c r="J888" i="1"/>
  <c r="K888" i="1"/>
  <c r="M888" i="1"/>
  <c r="N888" i="1"/>
  <c r="P888" i="1"/>
  <c r="Q888" i="1"/>
  <c r="R888" i="1"/>
  <c r="S888" i="1"/>
  <c r="T888" i="1"/>
  <c r="Z888" i="1"/>
  <c r="AL888" i="1"/>
  <c r="A889" i="1"/>
  <c r="B889" i="1"/>
  <c r="C889" i="1"/>
  <c r="G889" i="1"/>
  <c r="H889" i="1"/>
  <c r="I889" i="1"/>
  <c r="J889" i="1"/>
  <c r="K889" i="1"/>
  <c r="M889" i="1"/>
  <c r="N889" i="1"/>
  <c r="P889" i="1"/>
  <c r="Q889" i="1"/>
  <c r="R889" i="1"/>
  <c r="S889" i="1"/>
  <c r="T889" i="1"/>
  <c r="Z889" i="1"/>
  <c r="AL889" i="1"/>
  <c r="A890" i="1"/>
  <c r="B890" i="1"/>
  <c r="C890" i="1"/>
  <c r="G890" i="1"/>
  <c r="H890" i="1"/>
  <c r="I890" i="1"/>
  <c r="J890" i="1"/>
  <c r="K890" i="1"/>
  <c r="M890" i="1"/>
  <c r="N890" i="1"/>
  <c r="P890" i="1"/>
  <c r="Q890" i="1"/>
  <c r="R890" i="1"/>
  <c r="S890" i="1"/>
  <c r="T890" i="1"/>
  <c r="Z890" i="1"/>
  <c r="AL890" i="1"/>
  <c r="A891" i="1"/>
  <c r="B891" i="1"/>
  <c r="C891" i="1"/>
  <c r="G891" i="1"/>
  <c r="H891" i="1"/>
  <c r="I891" i="1"/>
  <c r="J891" i="1"/>
  <c r="K891" i="1"/>
  <c r="M891" i="1"/>
  <c r="N891" i="1"/>
  <c r="P891" i="1"/>
  <c r="Q891" i="1"/>
  <c r="R891" i="1"/>
  <c r="S891" i="1"/>
  <c r="T891" i="1"/>
  <c r="Z891" i="1"/>
  <c r="AL891" i="1"/>
  <c r="A892" i="1"/>
  <c r="B892" i="1"/>
  <c r="C892" i="1"/>
  <c r="G892" i="1"/>
  <c r="H892" i="1"/>
  <c r="I892" i="1"/>
  <c r="J892" i="1"/>
  <c r="K892" i="1"/>
  <c r="M892" i="1"/>
  <c r="N892" i="1"/>
  <c r="P892" i="1"/>
  <c r="Q892" i="1"/>
  <c r="R892" i="1"/>
  <c r="S892" i="1"/>
  <c r="T892" i="1"/>
  <c r="Z892" i="1"/>
  <c r="AL892" i="1"/>
  <c r="A893" i="1"/>
  <c r="B893" i="1"/>
  <c r="C893" i="1"/>
  <c r="G893" i="1"/>
  <c r="H893" i="1"/>
  <c r="I893" i="1"/>
  <c r="J893" i="1"/>
  <c r="K893" i="1"/>
  <c r="M893" i="1"/>
  <c r="N893" i="1"/>
  <c r="P893" i="1"/>
  <c r="Q893" i="1"/>
  <c r="R893" i="1"/>
  <c r="S893" i="1"/>
  <c r="T893" i="1"/>
  <c r="Z893" i="1"/>
  <c r="AL893" i="1"/>
  <c r="A894" i="1"/>
  <c r="B894" i="1"/>
  <c r="C894" i="1"/>
  <c r="G894" i="1"/>
  <c r="H894" i="1"/>
  <c r="I894" i="1"/>
  <c r="J894" i="1"/>
  <c r="K894" i="1"/>
  <c r="M894" i="1"/>
  <c r="N894" i="1"/>
  <c r="P894" i="1"/>
  <c r="Q894" i="1"/>
  <c r="R894" i="1"/>
  <c r="S894" i="1"/>
  <c r="T894" i="1"/>
  <c r="Z894" i="1"/>
  <c r="AL894" i="1"/>
  <c r="A895" i="1"/>
  <c r="B895" i="1"/>
  <c r="C895" i="1"/>
  <c r="G895" i="1"/>
  <c r="H895" i="1"/>
  <c r="I895" i="1"/>
  <c r="J895" i="1"/>
  <c r="K895" i="1"/>
  <c r="M895" i="1"/>
  <c r="N895" i="1"/>
  <c r="P895" i="1"/>
  <c r="Q895" i="1"/>
  <c r="R895" i="1"/>
  <c r="S895" i="1"/>
  <c r="T895" i="1"/>
  <c r="Z895" i="1"/>
  <c r="AL895" i="1"/>
  <c r="A896" i="1"/>
  <c r="B896" i="1"/>
  <c r="C896" i="1"/>
  <c r="G896" i="1"/>
  <c r="H896" i="1"/>
  <c r="I896" i="1"/>
  <c r="J896" i="1"/>
  <c r="K896" i="1"/>
  <c r="M896" i="1"/>
  <c r="N896" i="1"/>
  <c r="P896" i="1"/>
  <c r="Q896" i="1"/>
  <c r="R896" i="1"/>
  <c r="S896" i="1"/>
  <c r="T896" i="1"/>
  <c r="Z896" i="1"/>
  <c r="AL896" i="1"/>
  <c r="A897" i="1"/>
  <c r="B897" i="1"/>
  <c r="C897" i="1"/>
  <c r="G897" i="1"/>
  <c r="H897" i="1"/>
  <c r="I897" i="1"/>
  <c r="J897" i="1"/>
  <c r="K897" i="1"/>
  <c r="M897" i="1"/>
  <c r="N897" i="1"/>
  <c r="P897" i="1"/>
  <c r="Q897" i="1"/>
  <c r="R897" i="1"/>
  <c r="S897" i="1"/>
  <c r="T897" i="1"/>
  <c r="Z897" i="1"/>
  <c r="AL897" i="1"/>
  <c r="A898" i="1"/>
  <c r="B898" i="1"/>
  <c r="C898" i="1"/>
  <c r="G898" i="1"/>
  <c r="H898" i="1"/>
  <c r="I898" i="1"/>
  <c r="J898" i="1"/>
  <c r="K898" i="1"/>
  <c r="M898" i="1"/>
  <c r="N898" i="1"/>
  <c r="P898" i="1"/>
  <c r="Q898" i="1"/>
  <c r="R898" i="1"/>
  <c r="S898" i="1"/>
  <c r="T898" i="1"/>
  <c r="Z898" i="1"/>
  <c r="AL898" i="1"/>
  <c r="A899" i="1"/>
  <c r="B899" i="1"/>
  <c r="C899" i="1"/>
  <c r="G899" i="1"/>
  <c r="H899" i="1"/>
  <c r="I899" i="1"/>
  <c r="J899" i="1"/>
  <c r="K899" i="1"/>
  <c r="M899" i="1"/>
  <c r="N899" i="1"/>
  <c r="P899" i="1"/>
  <c r="Q899" i="1"/>
  <c r="R899" i="1"/>
  <c r="S899" i="1"/>
  <c r="T899" i="1"/>
  <c r="Z899" i="1"/>
  <c r="AL899" i="1"/>
  <c r="A900" i="1"/>
  <c r="B900" i="1"/>
  <c r="C900" i="1"/>
  <c r="G900" i="1"/>
  <c r="H900" i="1"/>
  <c r="I900" i="1"/>
  <c r="J900" i="1"/>
  <c r="K900" i="1"/>
  <c r="M900" i="1"/>
  <c r="N900" i="1"/>
  <c r="P900" i="1"/>
  <c r="Q900" i="1"/>
  <c r="R900" i="1"/>
  <c r="S900" i="1"/>
  <c r="T900" i="1"/>
  <c r="Z900" i="1"/>
  <c r="AL900" i="1"/>
  <c r="A901" i="1"/>
  <c r="B901" i="1"/>
  <c r="C901" i="1"/>
  <c r="G901" i="1"/>
  <c r="H901" i="1"/>
  <c r="I901" i="1"/>
  <c r="J901" i="1"/>
  <c r="K901" i="1"/>
  <c r="M901" i="1"/>
  <c r="N901" i="1"/>
  <c r="P901" i="1"/>
  <c r="Q901" i="1"/>
  <c r="R901" i="1"/>
  <c r="S901" i="1"/>
  <c r="T901" i="1"/>
  <c r="Z901" i="1"/>
  <c r="AL901" i="1"/>
  <c r="A902" i="1"/>
  <c r="B902" i="1"/>
  <c r="C902" i="1"/>
  <c r="G902" i="1"/>
  <c r="H902" i="1"/>
  <c r="I902" i="1"/>
  <c r="J902" i="1"/>
  <c r="K902" i="1"/>
  <c r="M902" i="1"/>
  <c r="N902" i="1"/>
  <c r="P902" i="1"/>
  <c r="Q902" i="1"/>
  <c r="R902" i="1"/>
  <c r="S902" i="1"/>
  <c r="T902" i="1"/>
  <c r="Z902" i="1"/>
  <c r="AL902" i="1"/>
  <c r="A903" i="1"/>
  <c r="B903" i="1"/>
  <c r="C903" i="1"/>
  <c r="G903" i="1"/>
  <c r="H903" i="1"/>
  <c r="I903" i="1"/>
  <c r="J903" i="1"/>
  <c r="K903" i="1"/>
  <c r="M903" i="1"/>
  <c r="N903" i="1"/>
  <c r="P903" i="1"/>
  <c r="Q903" i="1"/>
  <c r="R903" i="1"/>
  <c r="S903" i="1"/>
  <c r="T903" i="1"/>
  <c r="Z903" i="1"/>
  <c r="AL903" i="1"/>
  <c r="A904" i="1"/>
  <c r="B904" i="1"/>
  <c r="C904" i="1"/>
  <c r="G904" i="1"/>
  <c r="H904" i="1"/>
  <c r="I904" i="1"/>
  <c r="J904" i="1"/>
  <c r="K904" i="1"/>
  <c r="M904" i="1"/>
  <c r="N904" i="1"/>
  <c r="P904" i="1"/>
  <c r="Q904" i="1"/>
  <c r="R904" i="1"/>
  <c r="S904" i="1"/>
  <c r="T904" i="1"/>
  <c r="Z904" i="1"/>
  <c r="AL904" i="1"/>
  <c r="A905" i="1"/>
  <c r="B905" i="1"/>
  <c r="C905" i="1"/>
  <c r="G905" i="1"/>
  <c r="H905" i="1"/>
  <c r="I905" i="1"/>
  <c r="J905" i="1"/>
  <c r="K905" i="1"/>
  <c r="M905" i="1"/>
  <c r="N905" i="1"/>
  <c r="P905" i="1"/>
  <c r="Q905" i="1"/>
  <c r="R905" i="1"/>
  <c r="S905" i="1"/>
  <c r="T905" i="1"/>
  <c r="Z905" i="1"/>
  <c r="AL905" i="1"/>
  <c r="A906" i="1"/>
  <c r="B906" i="1"/>
  <c r="C906" i="1"/>
  <c r="G906" i="1"/>
  <c r="H906" i="1"/>
  <c r="I906" i="1"/>
  <c r="J906" i="1"/>
  <c r="K906" i="1"/>
  <c r="M906" i="1"/>
  <c r="N906" i="1"/>
  <c r="P906" i="1"/>
  <c r="Q906" i="1"/>
  <c r="R906" i="1"/>
  <c r="S906" i="1"/>
  <c r="T906" i="1"/>
  <c r="Z906" i="1"/>
  <c r="AL906" i="1"/>
  <c r="A907" i="1"/>
  <c r="B907" i="1"/>
  <c r="C907" i="1"/>
  <c r="G907" i="1"/>
  <c r="H907" i="1"/>
  <c r="I907" i="1"/>
  <c r="J907" i="1"/>
  <c r="K907" i="1"/>
  <c r="M907" i="1"/>
  <c r="N907" i="1"/>
  <c r="P907" i="1"/>
  <c r="Q907" i="1"/>
  <c r="R907" i="1"/>
  <c r="S907" i="1"/>
  <c r="T907" i="1"/>
  <c r="Z907" i="1"/>
  <c r="AL907" i="1"/>
  <c r="A908" i="1"/>
  <c r="B908" i="1"/>
  <c r="C908" i="1"/>
  <c r="G908" i="1"/>
  <c r="H908" i="1"/>
  <c r="I908" i="1"/>
  <c r="J908" i="1"/>
  <c r="K908" i="1"/>
  <c r="M908" i="1"/>
  <c r="N908" i="1"/>
  <c r="P908" i="1"/>
  <c r="Q908" i="1"/>
  <c r="R908" i="1"/>
  <c r="S908" i="1"/>
  <c r="T908" i="1"/>
  <c r="Z908" i="1"/>
  <c r="AL908" i="1"/>
  <c r="A909" i="1"/>
  <c r="B909" i="1"/>
  <c r="C909" i="1"/>
  <c r="G909" i="1"/>
  <c r="H909" i="1"/>
  <c r="I909" i="1"/>
  <c r="J909" i="1"/>
  <c r="K909" i="1"/>
  <c r="M909" i="1"/>
  <c r="N909" i="1"/>
  <c r="P909" i="1"/>
  <c r="Q909" i="1"/>
  <c r="R909" i="1"/>
  <c r="S909" i="1"/>
  <c r="T909" i="1"/>
  <c r="Z909" i="1"/>
  <c r="AL909" i="1"/>
  <c r="A910" i="1"/>
  <c r="B910" i="1"/>
  <c r="C910" i="1"/>
  <c r="G910" i="1"/>
  <c r="H910" i="1"/>
  <c r="I910" i="1"/>
  <c r="J910" i="1"/>
  <c r="K910" i="1"/>
  <c r="M910" i="1"/>
  <c r="N910" i="1"/>
  <c r="P910" i="1"/>
  <c r="Q910" i="1"/>
  <c r="R910" i="1"/>
  <c r="S910" i="1"/>
  <c r="T910" i="1"/>
  <c r="Z910" i="1"/>
  <c r="AL910" i="1"/>
  <c r="A911" i="1"/>
  <c r="B911" i="1"/>
  <c r="C911" i="1"/>
  <c r="G911" i="1"/>
  <c r="H911" i="1"/>
  <c r="I911" i="1"/>
  <c r="J911" i="1"/>
  <c r="K911" i="1"/>
  <c r="M911" i="1"/>
  <c r="N911" i="1"/>
  <c r="P911" i="1"/>
  <c r="Q911" i="1"/>
  <c r="R911" i="1"/>
  <c r="S911" i="1"/>
  <c r="T911" i="1"/>
  <c r="Z911" i="1"/>
  <c r="AL911" i="1"/>
  <c r="A912" i="1"/>
  <c r="B912" i="1"/>
  <c r="C912" i="1"/>
  <c r="G912" i="1"/>
  <c r="H912" i="1"/>
  <c r="I912" i="1"/>
  <c r="J912" i="1"/>
  <c r="K912" i="1"/>
  <c r="M912" i="1"/>
  <c r="N912" i="1"/>
  <c r="P912" i="1"/>
  <c r="Q912" i="1"/>
  <c r="R912" i="1"/>
  <c r="S912" i="1"/>
  <c r="T912" i="1"/>
  <c r="Z912" i="1"/>
  <c r="AL912" i="1"/>
  <c r="A913" i="1"/>
  <c r="B913" i="1"/>
  <c r="C913" i="1"/>
  <c r="G913" i="1"/>
  <c r="H913" i="1"/>
  <c r="I913" i="1"/>
  <c r="J913" i="1"/>
  <c r="K913" i="1"/>
  <c r="M913" i="1"/>
  <c r="N913" i="1"/>
  <c r="P913" i="1"/>
  <c r="Q913" i="1"/>
  <c r="R913" i="1"/>
  <c r="S913" i="1"/>
  <c r="T913" i="1"/>
  <c r="Z913" i="1"/>
  <c r="AL913" i="1"/>
  <c r="A914" i="1"/>
  <c r="B914" i="1"/>
  <c r="C914" i="1"/>
  <c r="G914" i="1"/>
  <c r="H914" i="1"/>
  <c r="I914" i="1"/>
  <c r="J914" i="1"/>
  <c r="K914" i="1"/>
  <c r="M914" i="1"/>
  <c r="N914" i="1"/>
  <c r="P914" i="1"/>
  <c r="Q914" i="1"/>
  <c r="R914" i="1"/>
  <c r="S914" i="1"/>
  <c r="T914" i="1"/>
  <c r="Z914" i="1"/>
  <c r="AL914" i="1"/>
  <c r="A915" i="1"/>
  <c r="B915" i="1"/>
  <c r="C915" i="1"/>
  <c r="G915" i="1"/>
  <c r="H915" i="1"/>
  <c r="I915" i="1"/>
  <c r="J915" i="1"/>
  <c r="K915" i="1"/>
  <c r="M915" i="1"/>
  <c r="N915" i="1"/>
  <c r="P915" i="1"/>
  <c r="Q915" i="1"/>
  <c r="R915" i="1"/>
  <c r="S915" i="1"/>
  <c r="T915" i="1"/>
  <c r="Z915" i="1"/>
  <c r="AL915" i="1"/>
  <c r="A916" i="1"/>
  <c r="B916" i="1"/>
  <c r="C916" i="1"/>
  <c r="G916" i="1"/>
  <c r="H916" i="1"/>
  <c r="I916" i="1"/>
  <c r="J916" i="1"/>
  <c r="K916" i="1"/>
  <c r="M916" i="1"/>
  <c r="N916" i="1"/>
  <c r="P916" i="1"/>
  <c r="Q916" i="1"/>
  <c r="R916" i="1"/>
  <c r="S916" i="1"/>
  <c r="T916" i="1"/>
  <c r="Z916" i="1"/>
  <c r="AL916" i="1"/>
  <c r="A917" i="1"/>
  <c r="B917" i="1"/>
  <c r="C917" i="1"/>
  <c r="G917" i="1"/>
  <c r="H917" i="1"/>
  <c r="I917" i="1"/>
  <c r="J917" i="1"/>
  <c r="K917" i="1"/>
  <c r="M917" i="1"/>
  <c r="N917" i="1"/>
  <c r="P917" i="1"/>
  <c r="Q917" i="1"/>
  <c r="R917" i="1"/>
  <c r="S917" i="1"/>
  <c r="T917" i="1"/>
  <c r="Z917" i="1"/>
  <c r="AL917" i="1"/>
  <c r="A918" i="1"/>
  <c r="B918" i="1"/>
  <c r="C918" i="1"/>
  <c r="G918" i="1"/>
  <c r="H918" i="1"/>
  <c r="I918" i="1"/>
  <c r="J918" i="1"/>
  <c r="K918" i="1"/>
  <c r="M918" i="1"/>
  <c r="N918" i="1"/>
  <c r="P918" i="1"/>
  <c r="Q918" i="1"/>
  <c r="R918" i="1"/>
  <c r="S918" i="1"/>
  <c r="T918" i="1"/>
  <c r="Z918" i="1"/>
  <c r="AL918" i="1"/>
  <c r="A919" i="1"/>
  <c r="B919" i="1"/>
  <c r="C919" i="1"/>
  <c r="G919" i="1"/>
  <c r="H919" i="1"/>
  <c r="I919" i="1"/>
  <c r="J919" i="1"/>
  <c r="K919" i="1"/>
  <c r="M919" i="1"/>
  <c r="N919" i="1"/>
  <c r="P919" i="1"/>
  <c r="Q919" i="1"/>
  <c r="R919" i="1"/>
  <c r="S919" i="1"/>
  <c r="T919" i="1"/>
  <c r="Z919" i="1"/>
  <c r="AL919" i="1"/>
  <c r="A920" i="1"/>
  <c r="B920" i="1"/>
  <c r="C920" i="1"/>
  <c r="G920" i="1"/>
  <c r="H920" i="1"/>
  <c r="I920" i="1"/>
  <c r="J920" i="1"/>
  <c r="K920" i="1"/>
  <c r="M920" i="1"/>
  <c r="N920" i="1"/>
  <c r="P920" i="1"/>
  <c r="Q920" i="1"/>
  <c r="R920" i="1"/>
  <c r="S920" i="1"/>
  <c r="T920" i="1"/>
  <c r="Z920" i="1"/>
  <c r="AL920" i="1"/>
  <c r="A921" i="1"/>
  <c r="B921" i="1"/>
  <c r="C921" i="1"/>
  <c r="G921" i="1"/>
  <c r="H921" i="1"/>
  <c r="I921" i="1"/>
  <c r="J921" i="1"/>
  <c r="K921" i="1"/>
  <c r="M921" i="1"/>
  <c r="N921" i="1"/>
  <c r="P921" i="1"/>
  <c r="Q921" i="1"/>
  <c r="R921" i="1"/>
  <c r="S921" i="1"/>
  <c r="T921" i="1"/>
  <c r="Z921" i="1"/>
  <c r="AL921" i="1"/>
  <c r="A922" i="1"/>
  <c r="B922" i="1"/>
  <c r="C922" i="1"/>
  <c r="G922" i="1"/>
  <c r="H922" i="1"/>
  <c r="I922" i="1"/>
  <c r="J922" i="1"/>
  <c r="K922" i="1"/>
  <c r="M922" i="1"/>
  <c r="N922" i="1"/>
  <c r="P922" i="1"/>
  <c r="Q922" i="1"/>
  <c r="R922" i="1"/>
  <c r="S922" i="1"/>
  <c r="T922" i="1"/>
  <c r="Z922" i="1"/>
  <c r="AL922" i="1"/>
  <c r="A923" i="1"/>
  <c r="B923" i="1"/>
  <c r="C923" i="1"/>
  <c r="G923" i="1"/>
  <c r="H923" i="1"/>
  <c r="I923" i="1"/>
  <c r="J923" i="1"/>
  <c r="K923" i="1"/>
  <c r="M923" i="1"/>
  <c r="N923" i="1"/>
  <c r="P923" i="1"/>
  <c r="Q923" i="1"/>
  <c r="R923" i="1"/>
  <c r="S923" i="1"/>
  <c r="T923" i="1"/>
  <c r="Z923" i="1"/>
  <c r="AL923" i="1"/>
  <c r="A924" i="1"/>
  <c r="B924" i="1"/>
  <c r="C924" i="1"/>
  <c r="G924" i="1"/>
  <c r="H924" i="1"/>
  <c r="I924" i="1"/>
  <c r="J924" i="1"/>
  <c r="K924" i="1"/>
  <c r="M924" i="1"/>
  <c r="N924" i="1"/>
  <c r="P924" i="1"/>
  <c r="Q924" i="1"/>
  <c r="R924" i="1"/>
  <c r="S924" i="1"/>
  <c r="T924" i="1"/>
  <c r="Z924" i="1"/>
  <c r="AL924" i="1"/>
  <c r="A925" i="1"/>
  <c r="B925" i="1"/>
  <c r="C925" i="1"/>
  <c r="G925" i="1"/>
  <c r="H925" i="1"/>
  <c r="I925" i="1"/>
  <c r="J925" i="1"/>
  <c r="K925" i="1"/>
  <c r="M925" i="1"/>
  <c r="N925" i="1"/>
  <c r="P925" i="1"/>
  <c r="Q925" i="1"/>
  <c r="R925" i="1"/>
  <c r="S925" i="1"/>
  <c r="T925" i="1"/>
  <c r="Z925" i="1"/>
  <c r="AL925" i="1"/>
  <c r="A926" i="1"/>
  <c r="B926" i="1"/>
  <c r="C926" i="1"/>
  <c r="G926" i="1"/>
  <c r="H926" i="1"/>
  <c r="I926" i="1"/>
  <c r="J926" i="1"/>
  <c r="K926" i="1"/>
  <c r="M926" i="1"/>
  <c r="N926" i="1"/>
  <c r="P926" i="1"/>
  <c r="Q926" i="1"/>
  <c r="R926" i="1"/>
  <c r="S926" i="1"/>
  <c r="T926" i="1"/>
  <c r="Z926" i="1"/>
  <c r="AL926" i="1"/>
  <c r="A927" i="1"/>
  <c r="B927" i="1"/>
  <c r="C927" i="1"/>
  <c r="G927" i="1"/>
  <c r="H927" i="1"/>
  <c r="I927" i="1"/>
  <c r="J927" i="1"/>
  <c r="K927" i="1"/>
  <c r="M927" i="1"/>
  <c r="N927" i="1"/>
  <c r="P927" i="1"/>
  <c r="Q927" i="1"/>
  <c r="R927" i="1"/>
  <c r="S927" i="1"/>
  <c r="T927" i="1"/>
  <c r="Z927" i="1"/>
  <c r="AL927" i="1"/>
  <c r="A928" i="1"/>
  <c r="B928" i="1"/>
  <c r="C928" i="1"/>
  <c r="G928" i="1"/>
  <c r="H928" i="1"/>
  <c r="I928" i="1"/>
  <c r="J928" i="1"/>
  <c r="K928" i="1"/>
  <c r="M928" i="1"/>
  <c r="N928" i="1"/>
  <c r="P928" i="1"/>
  <c r="Q928" i="1"/>
  <c r="R928" i="1"/>
  <c r="S928" i="1"/>
  <c r="T928" i="1"/>
  <c r="Z928" i="1"/>
  <c r="AL928" i="1"/>
  <c r="A929" i="1"/>
  <c r="B929" i="1"/>
  <c r="C929" i="1"/>
  <c r="G929" i="1"/>
  <c r="H929" i="1"/>
  <c r="I929" i="1"/>
  <c r="J929" i="1"/>
  <c r="K929" i="1"/>
  <c r="M929" i="1"/>
  <c r="N929" i="1"/>
  <c r="P929" i="1"/>
  <c r="Q929" i="1"/>
  <c r="R929" i="1"/>
  <c r="S929" i="1"/>
  <c r="T929" i="1"/>
  <c r="Z929" i="1"/>
  <c r="AL929" i="1"/>
  <c r="A930" i="1"/>
  <c r="B930" i="1"/>
  <c r="C930" i="1"/>
  <c r="G930" i="1"/>
  <c r="H930" i="1"/>
  <c r="I930" i="1"/>
  <c r="J930" i="1"/>
  <c r="K930" i="1"/>
  <c r="M930" i="1"/>
  <c r="N930" i="1"/>
  <c r="P930" i="1"/>
  <c r="Q930" i="1"/>
  <c r="R930" i="1"/>
  <c r="S930" i="1"/>
  <c r="T930" i="1"/>
  <c r="Z930" i="1"/>
  <c r="AL930" i="1"/>
  <c r="A931" i="1"/>
  <c r="B931" i="1"/>
  <c r="C931" i="1"/>
  <c r="G931" i="1"/>
  <c r="H931" i="1"/>
  <c r="I931" i="1"/>
  <c r="J931" i="1"/>
  <c r="K931" i="1"/>
  <c r="M931" i="1"/>
  <c r="N931" i="1"/>
  <c r="P931" i="1"/>
  <c r="Q931" i="1"/>
  <c r="R931" i="1"/>
  <c r="S931" i="1"/>
  <c r="T931" i="1"/>
  <c r="Z931" i="1"/>
  <c r="AL931" i="1"/>
  <c r="A932" i="1"/>
  <c r="B932" i="1"/>
  <c r="C932" i="1"/>
  <c r="G932" i="1"/>
  <c r="H932" i="1"/>
  <c r="I932" i="1"/>
  <c r="J932" i="1"/>
  <c r="K932" i="1"/>
  <c r="M932" i="1"/>
  <c r="N932" i="1"/>
  <c r="P932" i="1"/>
  <c r="Q932" i="1"/>
  <c r="R932" i="1"/>
  <c r="S932" i="1"/>
  <c r="T932" i="1"/>
  <c r="Z932" i="1"/>
  <c r="AL932" i="1"/>
  <c r="A933" i="1"/>
  <c r="B933" i="1"/>
  <c r="C933" i="1"/>
  <c r="G933" i="1"/>
  <c r="H933" i="1"/>
  <c r="I933" i="1"/>
  <c r="J933" i="1"/>
  <c r="K933" i="1"/>
  <c r="M933" i="1"/>
  <c r="N933" i="1"/>
  <c r="P933" i="1"/>
  <c r="Q933" i="1"/>
  <c r="R933" i="1"/>
  <c r="S933" i="1"/>
  <c r="T933" i="1"/>
  <c r="Z933" i="1"/>
  <c r="AL933" i="1"/>
  <c r="A934" i="1"/>
  <c r="B934" i="1"/>
  <c r="C934" i="1"/>
  <c r="G934" i="1"/>
  <c r="H934" i="1"/>
  <c r="I934" i="1"/>
  <c r="J934" i="1"/>
  <c r="K934" i="1"/>
  <c r="M934" i="1"/>
  <c r="N934" i="1"/>
  <c r="P934" i="1"/>
  <c r="Q934" i="1"/>
  <c r="R934" i="1"/>
  <c r="S934" i="1"/>
  <c r="T934" i="1"/>
  <c r="Z934" i="1"/>
  <c r="AL934" i="1"/>
  <c r="A935" i="1"/>
  <c r="B935" i="1"/>
  <c r="C935" i="1"/>
  <c r="G935" i="1"/>
  <c r="H935" i="1"/>
  <c r="I935" i="1"/>
  <c r="J935" i="1"/>
  <c r="K935" i="1"/>
  <c r="M935" i="1"/>
  <c r="N935" i="1"/>
  <c r="P935" i="1"/>
  <c r="Q935" i="1"/>
  <c r="R935" i="1"/>
  <c r="S935" i="1"/>
  <c r="T935" i="1"/>
  <c r="Z935" i="1"/>
  <c r="AL935" i="1"/>
  <c r="A936" i="1"/>
  <c r="B936" i="1"/>
  <c r="C936" i="1"/>
  <c r="G936" i="1"/>
  <c r="H936" i="1"/>
  <c r="I936" i="1"/>
  <c r="J936" i="1"/>
  <c r="K936" i="1"/>
  <c r="M936" i="1"/>
  <c r="N936" i="1"/>
  <c r="P936" i="1"/>
  <c r="Q936" i="1"/>
  <c r="R936" i="1"/>
  <c r="S936" i="1"/>
  <c r="T936" i="1"/>
  <c r="Z936" i="1"/>
  <c r="AL936" i="1"/>
  <c r="A937" i="1"/>
  <c r="B937" i="1"/>
  <c r="C937" i="1"/>
  <c r="G937" i="1"/>
  <c r="H937" i="1"/>
  <c r="I937" i="1"/>
  <c r="J937" i="1"/>
  <c r="K937" i="1"/>
  <c r="M937" i="1"/>
  <c r="N937" i="1"/>
  <c r="P937" i="1"/>
  <c r="Q937" i="1"/>
  <c r="R937" i="1"/>
  <c r="S937" i="1"/>
  <c r="T937" i="1"/>
  <c r="Z937" i="1"/>
  <c r="AL937" i="1"/>
  <c r="A938" i="1"/>
  <c r="B938" i="1"/>
  <c r="C938" i="1"/>
  <c r="G938" i="1"/>
  <c r="H938" i="1"/>
  <c r="I938" i="1"/>
  <c r="J938" i="1"/>
  <c r="K938" i="1"/>
  <c r="M938" i="1"/>
  <c r="N938" i="1"/>
  <c r="P938" i="1"/>
  <c r="Q938" i="1"/>
  <c r="R938" i="1"/>
  <c r="S938" i="1"/>
  <c r="T938" i="1"/>
  <c r="Z938" i="1"/>
  <c r="AL938" i="1"/>
  <c r="A939" i="1"/>
  <c r="B939" i="1"/>
  <c r="C939" i="1"/>
  <c r="G939" i="1"/>
  <c r="H939" i="1"/>
  <c r="I939" i="1"/>
  <c r="J939" i="1"/>
  <c r="K939" i="1"/>
  <c r="M939" i="1"/>
  <c r="N939" i="1"/>
  <c r="P939" i="1"/>
  <c r="Q939" i="1"/>
  <c r="R939" i="1"/>
  <c r="S939" i="1"/>
  <c r="T939" i="1"/>
  <c r="Z939" i="1"/>
  <c r="AL939" i="1"/>
  <c r="A940" i="1"/>
  <c r="B940" i="1"/>
  <c r="C940" i="1"/>
  <c r="G940" i="1"/>
  <c r="H940" i="1"/>
  <c r="I940" i="1"/>
  <c r="J940" i="1"/>
  <c r="K940" i="1"/>
  <c r="M940" i="1"/>
  <c r="N940" i="1"/>
  <c r="P940" i="1"/>
  <c r="Q940" i="1"/>
  <c r="R940" i="1"/>
  <c r="S940" i="1"/>
  <c r="T940" i="1"/>
  <c r="Z940" i="1"/>
  <c r="AL940" i="1"/>
  <c r="A941" i="1"/>
  <c r="B941" i="1"/>
  <c r="C941" i="1"/>
  <c r="G941" i="1"/>
  <c r="H941" i="1"/>
  <c r="I941" i="1"/>
  <c r="J941" i="1"/>
  <c r="K941" i="1"/>
  <c r="M941" i="1"/>
  <c r="N941" i="1"/>
  <c r="P941" i="1"/>
  <c r="Q941" i="1"/>
  <c r="R941" i="1"/>
  <c r="S941" i="1"/>
  <c r="T941" i="1"/>
  <c r="Z941" i="1"/>
  <c r="AL941" i="1"/>
  <c r="A942" i="1"/>
  <c r="B942" i="1"/>
  <c r="C942" i="1"/>
  <c r="G942" i="1"/>
  <c r="H942" i="1"/>
  <c r="I942" i="1"/>
  <c r="J942" i="1"/>
  <c r="K942" i="1"/>
  <c r="M942" i="1"/>
  <c r="N942" i="1"/>
  <c r="P942" i="1"/>
  <c r="Q942" i="1"/>
  <c r="R942" i="1"/>
  <c r="S942" i="1"/>
  <c r="T942" i="1"/>
  <c r="Z942" i="1"/>
  <c r="AL942" i="1"/>
  <c r="A943" i="1"/>
  <c r="B943" i="1"/>
  <c r="C943" i="1"/>
  <c r="G943" i="1"/>
  <c r="H943" i="1"/>
  <c r="I943" i="1"/>
  <c r="J943" i="1"/>
  <c r="K943" i="1"/>
  <c r="M943" i="1"/>
  <c r="N943" i="1"/>
  <c r="P943" i="1"/>
  <c r="Q943" i="1"/>
  <c r="R943" i="1"/>
  <c r="S943" i="1"/>
  <c r="T943" i="1"/>
  <c r="Z943" i="1"/>
  <c r="AL943" i="1"/>
  <c r="A944" i="1"/>
  <c r="B944" i="1"/>
  <c r="C944" i="1"/>
  <c r="G944" i="1"/>
  <c r="H944" i="1"/>
  <c r="I944" i="1"/>
  <c r="J944" i="1"/>
  <c r="K944" i="1"/>
  <c r="M944" i="1"/>
  <c r="N944" i="1"/>
  <c r="P944" i="1"/>
  <c r="Q944" i="1"/>
  <c r="R944" i="1"/>
  <c r="S944" i="1"/>
  <c r="T944" i="1"/>
  <c r="Z944" i="1"/>
  <c r="AL944" i="1"/>
  <c r="A945" i="1"/>
  <c r="B945" i="1"/>
  <c r="C945" i="1"/>
  <c r="G945" i="1"/>
  <c r="H945" i="1"/>
  <c r="I945" i="1"/>
  <c r="J945" i="1"/>
  <c r="K945" i="1"/>
  <c r="P945" i="1"/>
  <c r="Q945" i="1"/>
  <c r="R945" i="1"/>
  <c r="S945" i="1"/>
  <c r="T945" i="1"/>
  <c r="Z945" i="1"/>
  <c r="AL945" i="1"/>
  <c r="A946" i="1"/>
  <c r="B946" i="1"/>
  <c r="C946" i="1"/>
  <c r="G946" i="1"/>
  <c r="H946" i="1"/>
  <c r="I946" i="1"/>
  <c r="J946" i="1"/>
  <c r="K946" i="1"/>
  <c r="M946" i="1"/>
  <c r="N946" i="1"/>
  <c r="P946" i="1"/>
  <c r="Q946" i="1"/>
  <c r="R946" i="1"/>
  <c r="S946" i="1"/>
  <c r="T946" i="1"/>
  <c r="Z946" i="1"/>
  <c r="AL946" i="1"/>
  <c r="A947" i="1"/>
  <c r="B947" i="1"/>
  <c r="C947" i="1"/>
  <c r="G947" i="1"/>
  <c r="H947" i="1"/>
  <c r="I947" i="1"/>
  <c r="J947" i="1"/>
  <c r="K947" i="1"/>
  <c r="M947" i="1"/>
  <c r="N947" i="1"/>
  <c r="P947" i="1"/>
  <c r="Q947" i="1"/>
  <c r="R947" i="1"/>
  <c r="S947" i="1"/>
  <c r="T947" i="1"/>
  <c r="Z947" i="1"/>
  <c r="AL947" i="1"/>
  <c r="A948" i="1"/>
  <c r="B948" i="1"/>
  <c r="C948" i="1"/>
  <c r="G948" i="1"/>
  <c r="H948" i="1"/>
  <c r="I948" i="1"/>
  <c r="J948" i="1"/>
  <c r="K948" i="1"/>
  <c r="M948" i="1"/>
  <c r="N948" i="1"/>
  <c r="P948" i="1"/>
  <c r="Q948" i="1"/>
  <c r="R948" i="1"/>
  <c r="S948" i="1"/>
  <c r="T948" i="1"/>
  <c r="Z948" i="1"/>
  <c r="AL948" i="1"/>
  <c r="A949" i="1"/>
  <c r="B949" i="1"/>
  <c r="C949" i="1"/>
  <c r="G949" i="1"/>
  <c r="H949" i="1"/>
  <c r="I949" i="1"/>
  <c r="J949" i="1"/>
  <c r="K949" i="1"/>
  <c r="M949" i="1"/>
  <c r="N949" i="1"/>
  <c r="P949" i="1"/>
  <c r="Q949" i="1"/>
  <c r="R949" i="1"/>
  <c r="S949" i="1"/>
  <c r="T949" i="1"/>
  <c r="Z949" i="1"/>
  <c r="AL949" i="1"/>
  <c r="A950" i="1"/>
  <c r="B950" i="1"/>
  <c r="C950" i="1"/>
  <c r="G950" i="1"/>
  <c r="H950" i="1"/>
  <c r="I950" i="1"/>
  <c r="J950" i="1"/>
  <c r="K950" i="1"/>
  <c r="M950" i="1"/>
  <c r="N950" i="1"/>
  <c r="P950" i="1"/>
  <c r="Q950" i="1"/>
  <c r="R950" i="1"/>
  <c r="S950" i="1"/>
  <c r="T950" i="1"/>
  <c r="Z950" i="1"/>
  <c r="AL950" i="1"/>
  <c r="A951" i="1"/>
  <c r="B951" i="1"/>
  <c r="C951" i="1"/>
  <c r="G951" i="1"/>
  <c r="H951" i="1"/>
  <c r="I951" i="1"/>
  <c r="J951" i="1"/>
  <c r="K951" i="1"/>
  <c r="M951" i="1"/>
  <c r="N951" i="1"/>
  <c r="P951" i="1"/>
  <c r="Q951" i="1"/>
  <c r="R951" i="1"/>
  <c r="S951" i="1"/>
  <c r="T951" i="1"/>
  <c r="Z951" i="1"/>
  <c r="AL951" i="1"/>
  <c r="A952" i="1"/>
  <c r="B952" i="1"/>
  <c r="C952" i="1"/>
  <c r="G952" i="1"/>
  <c r="H952" i="1"/>
  <c r="I952" i="1"/>
  <c r="J952" i="1"/>
  <c r="K952" i="1"/>
  <c r="M952" i="1"/>
  <c r="N952" i="1"/>
  <c r="P952" i="1"/>
  <c r="Q952" i="1"/>
  <c r="R952" i="1"/>
  <c r="S952" i="1"/>
  <c r="T952" i="1"/>
  <c r="Z952" i="1"/>
  <c r="AL952" i="1"/>
  <c r="A953" i="1"/>
  <c r="B953" i="1"/>
  <c r="C953" i="1"/>
  <c r="G953" i="1"/>
  <c r="H953" i="1"/>
  <c r="I953" i="1"/>
  <c r="J953" i="1"/>
  <c r="K953" i="1"/>
  <c r="M953" i="1"/>
  <c r="N953" i="1"/>
  <c r="P953" i="1"/>
  <c r="Q953" i="1"/>
  <c r="R953" i="1"/>
  <c r="S953" i="1"/>
  <c r="T953" i="1"/>
  <c r="Z953" i="1"/>
  <c r="AL953" i="1"/>
  <c r="A954" i="1"/>
  <c r="B954" i="1"/>
  <c r="C954" i="1"/>
  <c r="G954" i="1"/>
  <c r="H954" i="1"/>
  <c r="I954" i="1"/>
  <c r="J954" i="1"/>
  <c r="K954" i="1"/>
  <c r="M954" i="1"/>
  <c r="N954" i="1"/>
  <c r="P954" i="1"/>
  <c r="Q954" i="1"/>
  <c r="R954" i="1"/>
  <c r="S954" i="1"/>
  <c r="T954" i="1"/>
  <c r="Z954" i="1"/>
  <c r="AL954" i="1"/>
  <c r="A955" i="1"/>
  <c r="B955" i="1"/>
  <c r="C955" i="1"/>
  <c r="G955" i="1"/>
  <c r="H955" i="1"/>
  <c r="I955" i="1"/>
  <c r="J955" i="1"/>
  <c r="K955" i="1"/>
  <c r="M955" i="1"/>
  <c r="N955" i="1"/>
  <c r="P955" i="1"/>
  <c r="Q955" i="1"/>
  <c r="R955" i="1"/>
  <c r="S955" i="1"/>
  <c r="T955" i="1"/>
  <c r="Z955" i="1"/>
  <c r="AL955" i="1"/>
  <c r="A956" i="1"/>
  <c r="B956" i="1"/>
  <c r="C956" i="1"/>
  <c r="G956" i="1"/>
  <c r="H956" i="1"/>
  <c r="I956" i="1"/>
  <c r="J956" i="1"/>
  <c r="K956" i="1"/>
  <c r="M956" i="1"/>
  <c r="N956" i="1"/>
  <c r="P956" i="1"/>
  <c r="Q956" i="1"/>
  <c r="R956" i="1"/>
  <c r="S956" i="1"/>
  <c r="T956" i="1"/>
  <c r="Z956" i="1"/>
  <c r="AL956" i="1"/>
  <c r="A957" i="1"/>
  <c r="B957" i="1"/>
  <c r="C957" i="1"/>
  <c r="G957" i="1"/>
  <c r="H957" i="1"/>
  <c r="I957" i="1"/>
  <c r="J957" i="1"/>
  <c r="K957" i="1"/>
  <c r="M957" i="1"/>
  <c r="N957" i="1"/>
  <c r="P957" i="1"/>
  <c r="Q957" i="1"/>
  <c r="R957" i="1"/>
  <c r="S957" i="1"/>
  <c r="T957" i="1"/>
  <c r="Z957" i="1"/>
  <c r="AL957" i="1"/>
  <c r="A958" i="1"/>
  <c r="B958" i="1"/>
  <c r="C958" i="1"/>
  <c r="G958" i="1"/>
  <c r="H958" i="1"/>
  <c r="I958" i="1"/>
  <c r="J958" i="1"/>
  <c r="K958" i="1"/>
  <c r="M958" i="1"/>
  <c r="N958" i="1"/>
  <c r="P958" i="1"/>
  <c r="Q958" i="1"/>
  <c r="R958" i="1"/>
  <c r="S958" i="1"/>
  <c r="T958" i="1"/>
  <c r="Z958" i="1"/>
  <c r="AL958" i="1"/>
  <c r="A959" i="1"/>
  <c r="B959" i="1"/>
  <c r="C959" i="1"/>
  <c r="G959" i="1"/>
  <c r="H959" i="1"/>
  <c r="I959" i="1"/>
  <c r="J959" i="1"/>
  <c r="K959" i="1"/>
  <c r="M959" i="1"/>
  <c r="N959" i="1"/>
  <c r="P959" i="1"/>
  <c r="Q959" i="1"/>
  <c r="R959" i="1"/>
  <c r="S959" i="1"/>
  <c r="T959" i="1"/>
  <c r="Z959" i="1"/>
  <c r="AL959" i="1"/>
  <c r="A960" i="1"/>
  <c r="B960" i="1"/>
  <c r="C960" i="1"/>
  <c r="G960" i="1"/>
  <c r="H960" i="1"/>
  <c r="I960" i="1"/>
  <c r="J960" i="1"/>
  <c r="K960" i="1"/>
  <c r="M960" i="1"/>
  <c r="N960" i="1"/>
  <c r="P960" i="1"/>
  <c r="Q960" i="1"/>
  <c r="R960" i="1"/>
  <c r="S960" i="1"/>
  <c r="T960" i="1"/>
  <c r="Z960" i="1"/>
  <c r="AL960" i="1"/>
  <c r="A961" i="1"/>
  <c r="B961" i="1"/>
  <c r="C961" i="1"/>
  <c r="G961" i="1"/>
  <c r="H961" i="1"/>
  <c r="I961" i="1"/>
  <c r="J961" i="1"/>
  <c r="K961" i="1"/>
  <c r="M961" i="1"/>
  <c r="N961" i="1"/>
  <c r="P961" i="1"/>
  <c r="Q961" i="1"/>
  <c r="R961" i="1"/>
  <c r="S961" i="1"/>
  <c r="T961" i="1"/>
  <c r="Z961" i="1"/>
  <c r="AL961" i="1"/>
  <c r="A962" i="1"/>
  <c r="B962" i="1"/>
  <c r="C962" i="1"/>
  <c r="G962" i="1"/>
  <c r="H962" i="1"/>
  <c r="I962" i="1"/>
  <c r="J962" i="1"/>
  <c r="K962" i="1"/>
  <c r="M962" i="1"/>
  <c r="N962" i="1"/>
  <c r="P962" i="1"/>
  <c r="Q962" i="1"/>
  <c r="R962" i="1"/>
  <c r="S962" i="1"/>
  <c r="T962" i="1"/>
  <c r="Z962" i="1"/>
  <c r="AL962" i="1"/>
  <c r="A963" i="1"/>
  <c r="B963" i="1"/>
  <c r="C963" i="1"/>
  <c r="G963" i="1"/>
  <c r="H963" i="1"/>
  <c r="I963" i="1"/>
  <c r="J963" i="1"/>
  <c r="K963" i="1"/>
  <c r="M963" i="1"/>
  <c r="N963" i="1"/>
  <c r="P963" i="1"/>
  <c r="Q963" i="1"/>
  <c r="R963" i="1"/>
  <c r="S963" i="1"/>
  <c r="T963" i="1"/>
  <c r="Z963" i="1"/>
  <c r="AL963" i="1"/>
  <c r="A964" i="1"/>
  <c r="B964" i="1"/>
  <c r="C964" i="1"/>
  <c r="G964" i="1"/>
  <c r="H964" i="1"/>
  <c r="I964" i="1"/>
  <c r="J964" i="1"/>
  <c r="K964" i="1"/>
  <c r="M964" i="1"/>
  <c r="N964" i="1"/>
  <c r="P964" i="1"/>
  <c r="Q964" i="1"/>
  <c r="R964" i="1"/>
  <c r="S964" i="1"/>
  <c r="T964" i="1"/>
  <c r="Z964" i="1"/>
  <c r="AL964" i="1"/>
  <c r="A965" i="1"/>
  <c r="B965" i="1"/>
  <c r="C965" i="1"/>
  <c r="G965" i="1"/>
  <c r="H965" i="1"/>
  <c r="I965" i="1"/>
  <c r="J965" i="1"/>
  <c r="K965" i="1"/>
  <c r="M965" i="1"/>
  <c r="N965" i="1"/>
  <c r="P965" i="1"/>
  <c r="Q965" i="1"/>
  <c r="R965" i="1"/>
  <c r="S965" i="1"/>
  <c r="T965" i="1"/>
  <c r="Z965" i="1"/>
  <c r="AL965" i="1"/>
  <c r="A966" i="1"/>
  <c r="B966" i="1"/>
  <c r="C966" i="1"/>
  <c r="G966" i="1"/>
  <c r="H966" i="1"/>
  <c r="I966" i="1"/>
  <c r="J966" i="1"/>
  <c r="K966" i="1"/>
  <c r="M966" i="1"/>
  <c r="N966" i="1"/>
  <c r="P966" i="1"/>
  <c r="Q966" i="1"/>
  <c r="R966" i="1"/>
  <c r="S966" i="1"/>
  <c r="T966" i="1"/>
  <c r="Z966" i="1"/>
  <c r="AL966" i="1"/>
  <c r="A967" i="1"/>
  <c r="B967" i="1"/>
  <c r="C967" i="1"/>
  <c r="G967" i="1"/>
  <c r="H967" i="1"/>
  <c r="I967" i="1"/>
  <c r="J967" i="1"/>
  <c r="K967" i="1"/>
  <c r="M967" i="1"/>
  <c r="N967" i="1"/>
  <c r="P967" i="1"/>
  <c r="Q967" i="1"/>
  <c r="R967" i="1"/>
  <c r="S967" i="1"/>
  <c r="T967" i="1"/>
  <c r="Z967" i="1"/>
  <c r="AL967" i="1"/>
  <c r="A968" i="1"/>
  <c r="B968" i="1"/>
  <c r="C968" i="1"/>
  <c r="G968" i="1"/>
  <c r="H968" i="1"/>
  <c r="I968" i="1"/>
  <c r="J968" i="1"/>
  <c r="K968" i="1"/>
  <c r="M968" i="1"/>
  <c r="N968" i="1"/>
  <c r="P968" i="1"/>
  <c r="Q968" i="1"/>
  <c r="R968" i="1"/>
  <c r="S968" i="1"/>
  <c r="T968" i="1"/>
  <c r="Z968" i="1"/>
  <c r="AL968" i="1"/>
  <c r="A969" i="1"/>
  <c r="B969" i="1"/>
  <c r="C969" i="1"/>
  <c r="G969" i="1"/>
  <c r="H969" i="1"/>
  <c r="I969" i="1"/>
  <c r="J969" i="1"/>
  <c r="K969" i="1"/>
  <c r="M969" i="1"/>
  <c r="N969" i="1"/>
  <c r="P969" i="1"/>
  <c r="Q969" i="1"/>
  <c r="R969" i="1"/>
  <c r="S969" i="1"/>
  <c r="T969" i="1"/>
  <c r="Z969" i="1"/>
  <c r="AL969" i="1"/>
  <c r="A970" i="1"/>
  <c r="B970" i="1"/>
  <c r="C970" i="1"/>
  <c r="G970" i="1"/>
  <c r="H970" i="1"/>
  <c r="I970" i="1"/>
  <c r="J970" i="1"/>
  <c r="K970" i="1"/>
  <c r="M970" i="1"/>
  <c r="N970" i="1"/>
  <c r="P970" i="1"/>
  <c r="Q970" i="1"/>
  <c r="R970" i="1"/>
  <c r="S970" i="1"/>
  <c r="T970" i="1"/>
  <c r="Z970" i="1"/>
  <c r="AL970" i="1"/>
  <c r="A971" i="1"/>
  <c r="B971" i="1"/>
  <c r="C971" i="1"/>
  <c r="G971" i="1"/>
  <c r="H971" i="1"/>
  <c r="I971" i="1"/>
  <c r="J971" i="1"/>
  <c r="K971" i="1"/>
  <c r="M971" i="1"/>
  <c r="N971" i="1"/>
  <c r="P971" i="1"/>
  <c r="Q971" i="1"/>
  <c r="R971" i="1"/>
  <c r="S971" i="1"/>
  <c r="T971" i="1"/>
  <c r="Z971" i="1"/>
  <c r="AL971" i="1"/>
  <c r="A972" i="1"/>
  <c r="B972" i="1"/>
  <c r="C972" i="1"/>
  <c r="G972" i="1"/>
  <c r="H972" i="1"/>
  <c r="I972" i="1"/>
  <c r="J972" i="1"/>
  <c r="K972" i="1"/>
  <c r="M972" i="1"/>
  <c r="N972" i="1"/>
  <c r="P972" i="1"/>
  <c r="Q972" i="1"/>
  <c r="R972" i="1"/>
  <c r="S972" i="1"/>
  <c r="T972" i="1"/>
  <c r="Z972" i="1"/>
  <c r="AL972" i="1"/>
  <c r="A973" i="1"/>
  <c r="B973" i="1"/>
  <c r="C973" i="1"/>
  <c r="G973" i="1"/>
  <c r="H973" i="1"/>
  <c r="I973" i="1"/>
  <c r="J973" i="1"/>
  <c r="K973" i="1"/>
  <c r="M973" i="1"/>
  <c r="N973" i="1"/>
  <c r="P973" i="1"/>
  <c r="Q973" i="1"/>
  <c r="R973" i="1"/>
  <c r="S973" i="1"/>
  <c r="T973" i="1"/>
  <c r="Z973" i="1"/>
  <c r="AL973" i="1"/>
  <c r="A974" i="1"/>
  <c r="B974" i="1"/>
  <c r="C974" i="1"/>
  <c r="G974" i="1"/>
  <c r="H974" i="1"/>
  <c r="I974" i="1"/>
  <c r="J974" i="1"/>
  <c r="K974" i="1"/>
  <c r="M974" i="1"/>
  <c r="N974" i="1"/>
  <c r="P974" i="1"/>
  <c r="Q974" i="1"/>
  <c r="R974" i="1"/>
  <c r="S974" i="1"/>
  <c r="T974" i="1"/>
  <c r="Z974" i="1"/>
  <c r="AL974" i="1"/>
  <c r="A975" i="1"/>
  <c r="B975" i="1"/>
  <c r="C975" i="1"/>
  <c r="G975" i="1"/>
  <c r="H975" i="1"/>
  <c r="I975" i="1"/>
  <c r="J975" i="1"/>
  <c r="K975" i="1"/>
  <c r="M975" i="1"/>
  <c r="N975" i="1"/>
  <c r="P975" i="1"/>
  <c r="Q975" i="1"/>
  <c r="R975" i="1"/>
  <c r="S975" i="1"/>
  <c r="T975" i="1"/>
  <c r="Z975" i="1"/>
  <c r="AL975" i="1"/>
  <c r="A976" i="1"/>
  <c r="B976" i="1"/>
  <c r="C976" i="1"/>
  <c r="G976" i="1"/>
  <c r="H976" i="1"/>
  <c r="I976" i="1"/>
  <c r="J976" i="1"/>
  <c r="K976" i="1"/>
  <c r="M976" i="1"/>
  <c r="N976" i="1"/>
  <c r="P976" i="1"/>
  <c r="Q976" i="1"/>
  <c r="R976" i="1"/>
  <c r="S976" i="1"/>
  <c r="T976" i="1"/>
  <c r="Z976" i="1"/>
  <c r="AL976" i="1"/>
  <c r="A977" i="1"/>
  <c r="B977" i="1"/>
  <c r="C977" i="1"/>
  <c r="G977" i="1"/>
  <c r="H977" i="1"/>
  <c r="I977" i="1"/>
  <c r="J977" i="1"/>
  <c r="K977" i="1"/>
  <c r="M977" i="1"/>
  <c r="N977" i="1"/>
  <c r="P977" i="1"/>
  <c r="Q977" i="1"/>
  <c r="R977" i="1"/>
  <c r="S977" i="1"/>
  <c r="T977" i="1"/>
  <c r="Z977" i="1"/>
  <c r="AL977" i="1"/>
  <c r="A978" i="1"/>
  <c r="B978" i="1"/>
  <c r="C978" i="1"/>
  <c r="G978" i="1"/>
  <c r="H978" i="1"/>
  <c r="I978" i="1"/>
  <c r="J978" i="1"/>
  <c r="K978" i="1"/>
  <c r="M978" i="1"/>
  <c r="N978" i="1"/>
  <c r="P978" i="1"/>
  <c r="Q978" i="1"/>
  <c r="R978" i="1"/>
  <c r="S978" i="1"/>
  <c r="T978" i="1"/>
  <c r="Z978" i="1"/>
  <c r="AL978" i="1"/>
  <c r="A979" i="1"/>
  <c r="B979" i="1"/>
  <c r="C979" i="1"/>
  <c r="G979" i="1"/>
  <c r="H979" i="1"/>
  <c r="I979" i="1"/>
  <c r="J979" i="1"/>
  <c r="K979" i="1"/>
  <c r="M979" i="1"/>
  <c r="N979" i="1"/>
  <c r="P979" i="1"/>
  <c r="Q979" i="1"/>
  <c r="R979" i="1"/>
  <c r="S979" i="1"/>
  <c r="T979" i="1"/>
  <c r="Z979" i="1"/>
  <c r="AL979" i="1"/>
  <c r="A980" i="1"/>
  <c r="B980" i="1"/>
  <c r="C980" i="1"/>
  <c r="G980" i="1"/>
  <c r="H980" i="1"/>
  <c r="I980" i="1"/>
  <c r="J980" i="1"/>
  <c r="K980" i="1"/>
  <c r="M980" i="1"/>
  <c r="N980" i="1"/>
  <c r="P980" i="1"/>
  <c r="Q980" i="1"/>
  <c r="R980" i="1"/>
  <c r="S980" i="1"/>
  <c r="T980" i="1"/>
  <c r="Z980" i="1"/>
  <c r="AL980" i="1"/>
  <c r="A981" i="1"/>
  <c r="B981" i="1"/>
  <c r="C981" i="1"/>
  <c r="G981" i="1"/>
  <c r="H981" i="1"/>
  <c r="I981" i="1"/>
  <c r="J981" i="1"/>
  <c r="K981" i="1"/>
  <c r="M981" i="1"/>
  <c r="N981" i="1"/>
  <c r="P981" i="1"/>
  <c r="Q981" i="1"/>
  <c r="R981" i="1"/>
  <c r="S981" i="1"/>
  <c r="T981" i="1"/>
  <c r="Z981" i="1"/>
  <c r="AL981" i="1"/>
  <c r="A982" i="1"/>
  <c r="B982" i="1"/>
  <c r="C982" i="1"/>
  <c r="G982" i="1"/>
  <c r="H982" i="1"/>
  <c r="I982" i="1"/>
  <c r="J982" i="1"/>
  <c r="K982" i="1"/>
  <c r="M982" i="1"/>
  <c r="N982" i="1"/>
  <c r="P982" i="1"/>
  <c r="Q982" i="1"/>
  <c r="R982" i="1"/>
  <c r="S982" i="1"/>
  <c r="T982" i="1"/>
  <c r="Z982" i="1"/>
  <c r="AL982" i="1"/>
  <c r="A983" i="1"/>
  <c r="B983" i="1"/>
  <c r="C983" i="1"/>
  <c r="G983" i="1"/>
  <c r="H983" i="1"/>
  <c r="I983" i="1"/>
  <c r="J983" i="1"/>
  <c r="K983" i="1"/>
  <c r="M983" i="1"/>
  <c r="N983" i="1"/>
  <c r="P983" i="1"/>
  <c r="Q983" i="1"/>
  <c r="R983" i="1"/>
  <c r="S983" i="1"/>
  <c r="T983" i="1"/>
  <c r="Z983" i="1"/>
  <c r="AL983" i="1"/>
  <c r="A984" i="1"/>
  <c r="B984" i="1"/>
  <c r="C984" i="1"/>
  <c r="G984" i="1"/>
  <c r="H984" i="1"/>
  <c r="I984" i="1"/>
  <c r="J984" i="1"/>
  <c r="K984" i="1"/>
  <c r="M984" i="1"/>
  <c r="N984" i="1"/>
  <c r="P984" i="1"/>
  <c r="Q984" i="1"/>
  <c r="R984" i="1"/>
  <c r="S984" i="1"/>
  <c r="T984" i="1"/>
  <c r="Z984" i="1"/>
  <c r="AL984" i="1"/>
  <c r="A985" i="1"/>
  <c r="B985" i="1"/>
  <c r="C985" i="1"/>
  <c r="G985" i="1"/>
  <c r="H985" i="1"/>
  <c r="I985" i="1"/>
  <c r="J985" i="1"/>
  <c r="K985" i="1"/>
  <c r="M985" i="1"/>
  <c r="N985" i="1"/>
  <c r="P985" i="1"/>
  <c r="Q985" i="1"/>
  <c r="R985" i="1"/>
  <c r="S985" i="1"/>
  <c r="T985" i="1"/>
  <c r="Z985" i="1"/>
  <c r="AL985" i="1"/>
  <c r="A986" i="1"/>
  <c r="B986" i="1"/>
  <c r="C986" i="1"/>
  <c r="G986" i="1"/>
  <c r="H986" i="1"/>
  <c r="I986" i="1"/>
  <c r="J986" i="1"/>
  <c r="K986" i="1"/>
  <c r="M986" i="1"/>
  <c r="N986" i="1"/>
  <c r="P986" i="1"/>
  <c r="Q986" i="1"/>
  <c r="R986" i="1"/>
  <c r="S986" i="1"/>
  <c r="T986" i="1"/>
  <c r="Z986" i="1"/>
  <c r="AL986" i="1"/>
  <c r="A987" i="1"/>
  <c r="B987" i="1"/>
  <c r="C987" i="1"/>
  <c r="G987" i="1"/>
  <c r="H987" i="1"/>
  <c r="I987" i="1"/>
  <c r="J987" i="1"/>
  <c r="K987" i="1"/>
  <c r="M987" i="1"/>
  <c r="N987" i="1"/>
  <c r="P987" i="1"/>
  <c r="Q987" i="1"/>
  <c r="R987" i="1"/>
  <c r="S987" i="1"/>
  <c r="T987" i="1"/>
  <c r="Z987" i="1"/>
  <c r="AL987" i="1"/>
  <c r="A988" i="1"/>
  <c r="B988" i="1"/>
  <c r="C988" i="1"/>
  <c r="G988" i="1"/>
  <c r="H988" i="1"/>
  <c r="I988" i="1"/>
  <c r="J988" i="1"/>
  <c r="K988" i="1"/>
  <c r="M988" i="1"/>
  <c r="N988" i="1"/>
  <c r="P988" i="1"/>
  <c r="Q988" i="1"/>
  <c r="R988" i="1"/>
  <c r="S988" i="1"/>
  <c r="T988" i="1"/>
  <c r="Z988" i="1"/>
  <c r="AL988" i="1"/>
  <c r="A989" i="1"/>
  <c r="B989" i="1"/>
  <c r="C989" i="1"/>
  <c r="G989" i="1"/>
  <c r="H989" i="1"/>
  <c r="I989" i="1"/>
  <c r="J989" i="1"/>
  <c r="K989" i="1"/>
  <c r="M989" i="1"/>
  <c r="N989" i="1"/>
  <c r="P989" i="1"/>
  <c r="Q989" i="1"/>
  <c r="R989" i="1"/>
  <c r="S989" i="1"/>
  <c r="T989" i="1"/>
  <c r="Z989" i="1"/>
  <c r="AL989" i="1"/>
  <c r="A990" i="1"/>
  <c r="B990" i="1"/>
  <c r="C990" i="1"/>
  <c r="G990" i="1"/>
  <c r="H990" i="1"/>
  <c r="I990" i="1"/>
  <c r="J990" i="1"/>
  <c r="K990" i="1"/>
  <c r="M990" i="1"/>
  <c r="N990" i="1"/>
  <c r="P990" i="1"/>
  <c r="Q990" i="1"/>
  <c r="R990" i="1"/>
  <c r="S990" i="1"/>
  <c r="T990" i="1"/>
  <c r="Z990" i="1"/>
  <c r="AL990" i="1"/>
  <c r="A991" i="1"/>
  <c r="B991" i="1"/>
  <c r="C991" i="1"/>
  <c r="G991" i="1"/>
  <c r="H991" i="1"/>
  <c r="I991" i="1"/>
  <c r="J991" i="1"/>
  <c r="K991" i="1"/>
  <c r="M991" i="1"/>
  <c r="N991" i="1"/>
  <c r="P991" i="1"/>
  <c r="Q991" i="1"/>
  <c r="R991" i="1"/>
  <c r="S991" i="1"/>
  <c r="T991" i="1"/>
  <c r="Z991" i="1"/>
  <c r="AL991" i="1"/>
  <c r="A992" i="1"/>
  <c r="B992" i="1"/>
  <c r="C992" i="1"/>
  <c r="G992" i="1"/>
  <c r="H992" i="1"/>
  <c r="I992" i="1"/>
  <c r="J992" i="1"/>
  <c r="K992" i="1"/>
  <c r="M992" i="1"/>
  <c r="N992" i="1"/>
  <c r="P992" i="1"/>
  <c r="Q992" i="1"/>
  <c r="R992" i="1"/>
  <c r="S992" i="1"/>
  <c r="T992" i="1"/>
  <c r="Z992" i="1"/>
  <c r="AL992" i="1"/>
  <c r="A993" i="1"/>
  <c r="B993" i="1"/>
  <c r="C993" i="1"/>
  <c r="G993" i="1"/>
  <c r="H993" i="1"/>
  <c r="I993" i="1"/>
  <c r="J993" i="1"/>
  <c r="K993" i="1"/>
  <c r="M993" i="1"/>
  <c r="N993" i="1"/>
  <c r="P993" i="1"/>
  <c r="Q993" i="1"/>
  <c r="R993" i="1"/>
  <c r="S993" i="1"/>
  <c r="T993" i="1"/>
  <c r="Z993" i="1"/>
  <c r="AL993" i="1"/>
  <c r="A994" i="1"/>
  <c r="B994" i="1"/>
  <c r="C994" i="1"/>
  <c r="G994" i="1"/>
  <c r="H994" i="1"/>
  <c r="I994" i="1"/>
  <c r="J994" i="1"/>
  <c r="K994" i="1"/>
  <c r="M994" i="1"/>
  <c r="N994" i="1"/>
  <c r="P994" i="1"/>
  <c r="Q994" i="1"/>
  <c r="R994" i="1"/>
  <c r="S994" i="1"/>
  <c r="T994" i="1"/>
  <c r="Z994" i="1"/>
  <c r="AL994" i="1"/>
  <c r="A995" i="1"/>
  <c r="B995" i="1"/>
  <c r="C995" i="1"/>
  <c r="G995" i="1"/>
  <c r="H995" i="1"/>
  <c r="I995" i="1"/>
  <c r="J995" i="1"/>
  <c r="K995" i="1"/>
  <c r="M995" i="1"/>
  <c r="N995" i="1"/>
  <c r="P995" i="1"/>
  <c r="Q995" i="1"/>
  <c r="R995" i="1"/>
  <c r="S995" i="1"/>
  <c r="T995" i="1"/>
  <c r="Z995" i="1"/>
  <c r="AL995" i="1"/>
  <c r="A996" i="1"/>
  <c r="B996" i="1"/>
  <c r="C996" i="1"/>
  <c r="G996" i="1"/>
  <c r="H996" i="1"/>
  <c r="I996" i="1"/>
  <c r="J996" i="1"/>
  <c r="K996" i="1"/>
  <c r="M996" i="1"/>
  <c r="N996" i="1"/>
  <c r="P996" i="1"/>
  <c r="Q996" i="1"/>
  <c r="R996" i="1"/>
  <c r="S996" i="1"/>
  <c r="T996" i="1"/>
  <c r="Z996" i="1"/>
  <c r="AL996" i="1"/>
  <c r="A997" i="1"/>
  <c r="B997" i="1"/>
  <c r="C997" i="1"/>
  <c r="G997" i="1"/>
  <c r="H997" i="1"/>
  <c r="I997" i="1"/>
  <c r="J997" i="1"/>
  <c r="K997" i="1"/>
  <c r="M997" i="1"/>
  <c r="N997" i="1"/>
  <c r="P997" i="1"/>
  <c r="Q997" i="1"/>
  <c r="R997" i="1"/>
  <c r="S997" i="1"/>
  <c r="T997" i="1"/>
  <c r="Z997" i="1"/>
  <c r="AL997" i="1"/>
  <c r="A998" i="1"/>
  <c r="B998" i="1"/>
  <c r="C998" i="1"/>
  <c r="G998" i="1"/>
  <c r="H998" i="1"/>
  <c r="I998" i="1"/>
  <c r="J998" i="1"/>
  <c r="K998" i="1"/>
  <c r="M998" i="1"/>
  <c r="N998" i="1"/>
  <c r="P998" i="1"/>
  <c r="Q998" i="1"/>
  <c r="R998" i="1"/>
  <c r="S998" i="1"/>
  <c r="T998" i="1"/>
  <c r="Z998" i="1"/>
  <c r="AL998" i="1"/>
  <c r="A999" i="1"/>
  <c r="B999" i="1"/>
  <c r="C999" i="1"/>
  <c r="G999" i="1"/>
  <c r="H999" i="1"/>
  <c r="I999" i="1"/>
  <c r="J999" i="1"/>
  <c r="K999" i="1"/>
  <c r="M999" i="1"/>
  <c r="N999" i="1"/>
  <c r="P999" i="1"/>
  <c r="Q999" i="1"/>
  <c r="R999" i="1"/>
  <c r="S999" i="1"/>
  <c r="T999" i="1"/>
  <c r="Z999" i="1"/>
  <c r="AL999" i="1"/>
  <c r="A1000" i="1"/>
  <c r="B1000" i="1"/>
  <c r="C1000" i="1"/>
  <c r="G1000" i="1"/>
  <c r="H1000" i="1"/>
  <c r="I1000" i="1"/>
  <c r="J1000" i="1"/>
  <c r="K1000" i="1"/>
  <c r="M1000" i="1"/>
  <c r="N1000" i="1"/>
  <c r="P1000" i="1"/>
  <c r="Q1000" i="1"/>
  <c r="R1000" i="1"/>
  <c r="S1000" i="1"/>
  <c r="T1000" i="1"/>
  <c r="Z1000" i="1"/>
  <c r="AL1000" i="1"/>
  <c r="A1001" i="1"/>
  <c r="B1001" i="1"/>
  <c r="C1001" i="1"/>
  <c r="G1001" i="1"/>
  <c r="H1001" i="1"/>
  <c r="I1001" i="1"/>
  <c r="J1001" i="1"/>
  <c r="K1001" i="1"/>
  <c r="M1001" i="1"/>
  <c r="N1001" i="1"/>
  <c r="P1001" i="1"/>
  <c r="Q1001" i="1"/>
  <c r="R1001" i="1"/>
  <c r="S1001" i="1"/>
  <c r="T1001" i="1"/>
  <c r="Z1001" i="1"/>
  <c r="AL1001" i="1"/>
  <c r="A1002" i="1"/>
  <c r="B1002" i="1"/>
  <c r="C1002" i="1"/>
  <c r="G1002" i="1"/>
  <c r="H1002" i="1"/>
  <c r="I1002" i="1"/>
  <c r="J1002" i="1"/>
  <c r="K1002" i="1"/>
  <c r="P1002" i="1"/>
  <c r="Q1002" i="1"/>
  <c r="R1002" i="1"/>
  <c r="S1002" i="1"/>
  <c r="T1002" i="1"/>
  <c r="Z1002" i="1"/>
  <c r="AL1002" i="1"/>
  <c r="A1003" i="1"/>
  <c r="B1003" i="1"/>
  <c r="C1003" i="1"/>
  <c r="G1003" i="1"/>
  <c r="H1003" i="1"/>
  <c r="I1003" i="1"/>
  <c r="J1003" i="1"/>
  <c r="K1003" i="1"/>
  <c r="M1003" i="1"/>
  <c r="N1003" i="1"/>
  <c r="P1003" i="1"/>
  <c r="Q1003" i="1"/>
  <c r="R1003" i="1"/>
  <c r="S1003" i="1"/>
  <c r="T1003" i="1"/>
  <c r="Z1003" i="1"/>
  <c r="AL1003" i="1"/>
  <c r="A1004" i="1"/>
  <c r="B1004" i="1"/>
  <c r="C1004" i="1"/>
  <c r="G1004" i="1"/>
  <c r="H1004" i="1"/>
  <c r="I1004" i="1"/>
  <c r="J1004" i="1"/>
  <c r="K1004" i="1"/>
  <c r="M1004" i="1"/>
  <c r="N1004" i="1"/>
  <c r="P1004" i="1"/>
  <c r="Q1004" i="1"/>
  <c r="R1004" i="1"/>
  <c r="S1004" i="1"/>
  <c r="T1004" i="1"/>
  <c r="Z1004" i="1"/>
  <c r="AL1004" i="1"/>
  <c r="A1005" i="1"/>
  <c r="B1005" i="1"/>
  <c r="C1005" i="1"/>
  <c r="G1005" i="1"/>
  <c r="H1005" i="1"/>
  <c r="I1005" i="1"/>
  <c r="J1005" i="1"/>
  <c r="K1005" i="1"/>
  <c r="M1005" i="1"/>
  <c r="N1005" i="1"/>
  <c r="P1005" i="1"/>
  <c r="Q1005" i="1"/>
  <c r="R1005" i="1"/>
  <c r="S1005" i="1"/>
  <c r="T1005" i="1"/>
  <c r="Z1005" i="1"/>
  <c r="AL1005" i="1"/>
  <c r="A1006" i="1"/>
  <c r="B1006" i="1"/>
  <c r="C1006" i="1"/>
  <c r="G1006" i="1"/>
  <c r="H1006" i="1"/>
  <c r="I1006" i="1"/>
  <c r="J1006" i="1"/>
  <c r="K1006" i="1"/>
  <c r="M1006" i="1"/>
  <c r="N1006" i="1"/>
  <c r="P1006" i="1"/>
  <c r="Q1006" i="1"/>
  <c r="R1006" i="1"/>
  <c r="S1006" i="1"/>
  <c r="T1006" i="1"/>
  <c r="Z1006" i="1"/>
  <c r="AL1006" i="1"/>
  <c r="A1007" i="1"/>
  <c r="B1007" i="1"/>
  <c r="C1007" i="1"/>
  <c r="G1007" i="1"/>
  <c r="H1007" i="1"/>
  <c r="I1007" i="1"/>
  <c r="J1007" i="1"/>
  <c r="K1007" i="1"/>
  <c r="M1007" i="1"/>
  <c r="N1007" i="1"/>
  <c r="P1007" i="1"/>
  <c r="Q1007" i="1"/>
  <c r="R1007" i="1"/>
  <c r="S1007" i="1"/>
  <c r="T1007" i="1"/>
  <c r="Z1007" i="1"/>
  <c r="AL1007" i="1"/>
  <c r="A1008" i="1"/>
  <c r="B1008" i="1"/>
  <c r="C1008" i="1"/>
  <c r="G1008" i="1"/>
  <c r="H1008" i="1"/>
  <c r="I1008" i="1"/>
  <c r="J1008" i="1"/>
  <c r="K1008" i="1"/>
  <c r="M1008" i="1"/>
  <c r="N1008" i="1"/>
  <c r="P1008" i="1"/>
  <c r="Q1008" i="1"/>
  <c r="R1008" i="1"/>
  <c r="S1008" i="1"/>
  <c r="T1008" i="1"/>
  <c r="Z1008" i="1"/>
  <c r="AL1008" i="1"/>
  <c r="A1009" i="1"/>
  <c r="B1009" i="1"/>
  <c r="C1009" i="1"/>
  <c r="G1009" i="1"/>
  <c r="H1009" i="1"/>
  <c r="I1009" i="1"/>
  <c r="J1009" i="1"/>
  <c r="K1009" i="1"/>
  <c r="M1009" i="1"/>
  <c r="N1009" i="1"/>
  <c r="P1009" i="1"/>
  <c r="Q1009" i="1"/>
  <c r="R1009" i="1"/>
  <c r="S1009" i="1"/>
  <c r="T1009" i="1"/>
  <c r="Z1009" i="1"/>
  <c r="AL1009" i="1"/>
  <c r="A1010" i="1"/>
  <c r="B1010" i="1"/>
  <c r="C1010" i="1"/>
  <c r="G1010" i="1"/>
  <c r="H1010" i="1"/>
  <c r="I1010" i="1"/>
  <c r="J1010" i="1"/>
  <c r="K1010" i="1"/>
  <c r="M1010" i="1"/>
  <c r="N1010" i="1"/>
  <c r="P1010" i="1"/>
  <c r="Q1010" i="1"/>
  <c r="R1010" i="1"/>
  <c r="S1010" i="1"/>
  <c r="T1010" i="1"/>
  <c r="Z1010" i="1"/>
  <c r="AL1010" i="1"/>
  <c r="A1011" i="1"/>
  <c r="B1011" i="1"/>
  <c r="C1011" i="1"/>
  <c r="G1011" i="1"/>
  <c r="H1011" i="1"/>
  <c r="I1011" i="1"/>
  <c r="J1011" i="1"/>
  <c r="K1011" i="1"/>
  <c r="P1011" i="1"/>
  <c r="Q1011" i="1"/>
  <c r="R1011" i="1"/>
  <c r="S1011" i="1"/>
  <c r="T1011" i="1"/>
  <c r="Z1011" i="1"/>
  <c r="AL1011" i="1"/>
  <c r="A1012" i="1"/>
  <c r="B1012" i="1"/>
  <c r="C1012" i="1"/>
  <c r="G1012" i="1"/>
  <c r="H1012" i="1"/>
  <c r="I1012" i="1"/>
  <c r="J1012" i="1"/>
  <c r="K1012" i="1"/>
  <c r="M1012" i="1"/>
  <c r="N1012" i="1"/>
  <c r="P1012" i="1"/>
  <c r="Q1012" i="1"/>
  <c r="R1012" i="1"/>
  <c r="S1012" i="1"/>
  <c r="T1012" i="1"/>
  <c r="Z1012" i="1"/>
  <c r="AL1012" i="1"/>
  <c r="A1013" i="1"/>
  <c r="B1013" i="1"/>
  <c r="C1013" i="1"/>
  <c r="G1013" i="1"/>
  <c r="H1013" i="1"/>
  <c r="I1013" i="1"/>
  <c r="J1013" i="1"/>
  <c r="K1013" i="1"/>
  <c r="M1013" i="1"/>
  <c r="N1013" i="1"/>
  <c r="P1013" i="1"/>
  <c r="Q1013" i="1"/>
  <c r="R1013" i="1"/>
  <c r="S1013" i="1"/>
  <c r="T1013" i="1"/>
  <c r="Z1013" i="1"/>
  <c r="AL1013" i="1"/>
  <c r="A1014" i="1"/>
  <c r="B1014" i="1"/>
  <c r="C1014" i="1"/>
  <c r="G1014" i="1"/>
  <c r="H1014" i="1"/>
  <c r="I1014" i="1"/>
  <c r="J1014" i="1"/>
  <c r="K1014" i="1"/>
  <c r="P1014" i="1"/>
  <c r="Q1014" i="1"/>
  <c r="R1014" i="1"/>
  <c r="S1014" i="1"/>
  <c r="T1014" i="1"/>
  <c r="Z1014" i="1"/>
  <c r="AL1014" i="1"/>
  <c r="A1015" i="1"/>
  <c r="B1015" i="1"/>
  <c r="C1015" i="1"/>
  <c r="G1015" i="1"/>
  <c r="H1015" i="1"/>
  <c r="I1015" i="1"/>
  <c r="J1015" i="1"/>
  <c r="K1015" i="1"/>
  <c r="M1015" i="1"/>
  <c r="N1015" i="1"/>
  <c r="P1015" i="1"/>
  <c r="Q1015" i="1"/>
  <c r="R1015" i="1"/>
  <c r="S1015" i="1"/>
  <c r="T1015" i="1"/>
  <c r="Z1015" i="1"/>
  <c r="AL1015" i="1"/>
  <c r="A1016" i="1"/>
  <c r="B1016" i="1"/>
  <c r="C1016" i="1"/>
  <c r="G1016" i="1"/>
  <c r="H1016" i="1"/>
  <c r="I1016" i="1"/>
  <c r="J1016" i="1"/>
  <c r="K1016" i="1"/>
  <c r="M1016" i="1"/>
  <c r="N1016" i="1"/>
  <c r="P1016" i="1"/>
  <c r="Q1016" i="1"/>
  <c r="R1016" i="1"/>
  <c r="S1016" i="1"/>
  <c r="T1016" i="1"/>
  <c r="Z1016" i="1"/>
  <c r="AL1016" i="1"/>
  <c r="A1017" i="1"/>
  <c r="B1017" i="1"/>
  <c r="C1017" i="1"/>
  <c r="G1017" i="1"/>
  <c r="H1017" i="1"/>
  <c r="I1017" i="1"/>
  <c r="J1017" i="1"/>
  <c r="K1017" i="1"/>
  <c r="M1017" i="1"/>
  <c r="N1017" i="1"/>
  <c r="P1017" i="1"/>
  <c r="Q1017" i="1"/>
  <c r="R1017" i="1"/>
  <c r="S1017" i="1"/>
  <c r="T1017" i="1"/>
  <c r="Z1017" i="1"/>
  <c r="AL1017" i="1"/>
  <c r="A1018" i="1"/>
  <c r="B1018" i="1"/>
  <c r="C1018" i="1"/>
  <c r="G1018" i="1"/>
  <c r="H1018" i="1"/>
  <c r="I1018" i="1"/>
  <c r="J1018" i="1"/>
  <c r="K1018" i="1"/>
  <c r="M1018" i="1"/>
  <c r="N1018" i="1"/>
  <c r="P1018" i="1"/>
  <c r="Q1018" i="1"/>
  <c r="R1018" i="1"/>
  <c r="S1018" i="1"/>
  <c r="T1018" i="1"/>
  <c r="Z1018" i="1"/>
  <c r="AL1018" i="1"/>
  <c r="A1019" i="1"/>
  <c r="B1019" i="1"/>
  <c r="C1019" i="1"/>
  <c r="G1019" i="1"/>
  <c r="H1019" i="1"/>
  <c r="I1019" i="1"/>
  <c r="J1019" i="1"/>
  <c r="K1019" i="1"/>
  <c r="M1019" i="1"/>
  <c r="N1019" i="1"/>
  <c r="P1019" i="1"/>
  <c r="Q1019" i="1"/>
  <c r="R1019" i="1"/>
  <c r="S1019" i="1"/>
  <c r="T1019" i="1"/>
  <c r="Z1019" i="1"/>
  <c r="AL1019" i="1"/>
  <c r="A1020" i="1"/>
  <c r="B1020" i="1"/>
  <c r="C1020" i="1"/>
  <c r="G1020" i="1"/>
  <c r="H1020" i="1"/>
  <c r="I1020" i="1"/>
  <c r="J1020" i="1"/>
  <c r="K1020" i="1"/>
  <c r="M1020" i="1"/>
  <c r="N1020" i="1"/>
  <c r="P1020" i="1"/>
  <c r="Q1020" i="1"/>
  <c r="R1020" i="1"/>
  <c r="S1020" i="1"/>
  <c r="T1020" i="1"/>
  <c r="Z1020" i="1"/>
  <c r="AL1020" i="1"/>
  <c r="A1021" i="1"/>
  <c r="B1021" i="1"/>
  <c r="C1021" i="1"/>
  <c r="G1021" i="1"/>
  <c r="H1021" i="1"/>
  <c r="I1021" i="1"/>
  <c r="J1021" i="1"/>
  <c r="K1021" i="1"/>
  <c r="M1021" i="1"/>
  <c r="N1021" i="1"/>
  <c r="P1021" i="1"/>
  <c r="Q1021" i="1"/>
  <c r="R1021" i="1"/>
  <c r="S1021" i="1"/>
  <c r="T1021" i="1"/>
  <c r="Z1021" i="1"/>
  <c r="AL1021" i="1"/>
  <c r="A1022" i="1"/>
  <c r="B1022" i="1"/>
  <c r="C1022" i="1"/>
  <c r="G1022" i="1"/>
  <c r="H1022" i="1"/>
  <c r="I1022" i="1"/>
  <c r="J1022" i="1"/>
  <c r="K1022" i="1"/>
  <c r="M1022" i="1"/>
  <c r="N1022" i="1"/>
  <c r="P1022" i="1"/>
  <c r="Q1022" i="1"/>
  <c r="R1022" i="1"/>
  <c r="S1022" i="1"/>
  <c r="T1022" i="1"/>
  <c r="Z1022" i="1"/>
  <c r="AL1022" i="1"/>
  <c r="A1023" i="1"/>
  <c r="B1023" i="1"/>
  <c r="C1023" i="1"/>
  <c r="G1023" i="1"/>
  <c r="H1023" i="1"/>
  <c r="I1023" i="1"/>
  <c r="J1023" i="1"/>
  <c r="K1023" i="1"/>
  <c r="M1023" i="1"/>
  <c r="N1023" i="1"/>
  <c r="P1023" i="1"/>
  <c r="Q1023" i="1"/>
  <c r="R1023" i="1"/>
  <c r="S1023" i="1"/>
  <c r="T1023" i="1"/>
  <c r="Z1023" i="1"/>
  <c r="AL1023" i="1"/>
  <c r="A1024" i="1"/>
  <c r="B1024" i="1"/>
  <c r="C1024" i="1"/>
  <c r="G1024" i="1"/>
  <c r="H1024" i="1"/>
  <c r="I1024" i="1"/>
  <c r="J1024" i="1"/>
  <c r="K1024" i="1"/>
  <c r="M1024" i="1"/>
  <c r="N1024" i="1"/>
  <c r="P1024" i="1"/>
  <c r="Q1024" i="1"/>
  <c r="R1024" i="1"/>
  <c r="S1024" i="1"/>
  <c r="T1024" i="1"/>
  <c r="Z1024" i="1"/>
  <c r="AL1024" i="1"/>
  <c r="A1025" i="1"/>
  <c r="B1025" i="1"/>
  <c r="C1025" i="1"/>
  <c r="G1025" i="1"/>
  <c r="H1025" i="1"/>
  <c r="I1025" i="1"/>
  <c r="J1025" i="1"/>
  <c r="K1025" i="1"/>
  <c r="M1025" i="1"/>
  <c r="N1025" i="1"/>
  <c r="P1025" i="1"/>
  <c r="Q1025" i="1"/>
  <c r="R1025" i="1"/>
  <c r="S1025" i="1"/>
  <c r="T1025" i="1"/>
  <c r="Z1025" i="1"/>
  <c r="AL1025" i="1"/>
  <c r="A1026" i="1"/>
  <c r="B1026" i="1"/>
  <c r="C1026" i="1"/>
  <c r="G1026" i="1"/>
  <c r="H1026" i="1"/>
  <c r="I1026" i="1"/>
  <c r="J1026" i="1"/>
  <c r="K1026" i="1"/>
  <c r="M1026" i="1"/>
  <c r="N1026" i="1"/>
  <c r="P1026" i="1"/>
  <c r="Q1026" i="1"/>
  <c r="R1026" i="1"/>
  <c r="S1026" i="1"/>
  <c r="T1026" i="1"/>
  <c r="Z1026" i="1"/>
  <c r="AL1026" i="1"/>
  <c r="A1027" i="1"/>
  <c r="B1027" i="1"/>
  <c r="C1027" i="1"/>
  <c r="G1027" i="1"/>
  <c r="H1027" i="1"/>
  <c r="I1027" i="1"/>
  <c r="J1027" i="1"/>
  <c r="K1027" i="1"/>
  <c r="M1027" i="1"/>
  <c r="N1027" i="1"/>
  <c r="P1027" i="1"/>
  <c r="Q1027" i="1"/>
  <c r="R1027" i="1"/>
  <c r="S1027" i="1"/>
  <c r="T1027" i="1"/>
  <c r="Z1027" i="1"/>
  <c r="AL1027" i="1"/>
  <c r="A1028" i="1"/>
  <c r="C1028" i="1"/>
  <c r="G1028" i="1"/>
  <c r="H1028" i="1"/>
  <c r="I1028" i="1"/>
  <c r="J1028" i="1"/>
  <c r="K1028" i="1"/>
  <c r="M1028" i="1"/>
  <c r="N1028" i="1"/>
  <c r="P1028" i="1"/>
  <c r="Q1028" i="1"/>
  <c r="R1028" i="1"/>
  <c r="S1028" i="1"/>
  <c r="T1028" i="1"/>
  <c r="Z1028" i="1"/>
  <c r="AL1028" i="1"/>
  <c r="A1029" i="1"/>
  <c r="B1029" i="1"/>
  <c r="C1029" i="1"/>
  <c r="G1029" i="1"/>
  <c r="H1029" i="1"/>
  <c r="I1029" i="1"/>
  <c r="J1029" i="1"/>
  <c r="K1029" i="1"/>
  <c r="M1029" i="1"/>
  <c r="N1029" i="1"/>
  <c r="P1029" i="1"/>
  <c r="Q1029" i="1"/>
  <c r="R1029" i="1"/>
  <c r="S1029" i="1"/>
  <c r="T1029" i="1"/>
  <c r="Z1029" i="1"/>
  <c r="AL1029" i="1"/>
  <c r="A1030" i="1"/>
  <c r="B1030" i="1"/>
  <c r="C1030" i="1"/>
  <c r="G1030" i="1"/>
  <c r="H1030" i="1"/>
  <c r="I1030" i="1"/>
  <c r="J1030" i="1"/>
  <c r="K1030" i="1"/>
  <c r="M1030" i="1"/>
  <c r="N1030" i="1"/>
  <c r="P1030" i="1"/>
  <c r="Q1030" i="1"/>
  <c r="R1030" i="1"/>
  <c r="S1030" i="1"/>
  <c r="T1030" i="1"/>
  <c r="Z1030" i="1"/>
  <c r="AL1030" i="1"/>
  <c r="A1031" i="1"/>
  <c r="B1031" i="1"/>
  <c r="C1031" i="1"/>
  <c r="G1031" i="1"/>
  <c r="H1031" i="1"/>
  <c r="I1031" i="1"/>
  <c r="J1031" i="1"/>
  <c r="K1031" i="1"/>
  <c r="M1031" i="1"/>
  <c r="N1031" i="1"/>
  <c r="P1031" i="1"/>
  <c r="Q1031" i="1"/>
  <c r="R1031" i="1"/>
  <c r="S1031" i="1"/>
  <c r="T1031" i="1"/>
  <c r="Z1031" i="1"/>
  <c r="AL1031" i="1"/>
  <c r="A1032" i="1"/>
  <c r="B1032" i="1"/>
  <c r="C1032" i="1"/>
  <c r="G1032" i="1"/>
  <c r="H1032" i="1"/>
  <c r="I1032" i="1"/>
  <c r="J1032" i="1"/>
  <c r="K1032" i="1"/>
  <c r="P1032" i="1"/>
  <c r="Q1032" i="1"/>
  <c r="R1032" i="1"/>
  <c r="S1032" i="1"/>
  <c r="T1032" i="1"/>
  <c r="Z1032" i="1"/>
  <c r="AL1032" i="1"/>
  <c r="A1033" i="1"/>
  <c r="B1033" i="1"/>
  <c r="C1033" i="1"/>
  <c r="G1033" i="1"/>
  <c r="H1033" i="1"/>
  <c r="I1033" i="1"/>
  <c r="J1033" i="1"/>
  <c r="K1033" i="1"/>
  <c r="M1033" i="1"/>
  <c r="N1033" i="1"/>
  <c r="P1033" i="1"/>
  <c r="Q1033" i="1"/>
  <c r="R1033" i="1"/>
  <c r="S1033" i="1"/>
  <c r="T1033" i="1"/>
  <c r="Z1033" i="1"/>
  <c r="AL1033" i="1"/>
  <c r="A1034" i="1"/>
  <c r="B1034" i="1"/>
  <c r="C1034" i="1"/>
  <c r="G1034" i="1"/>
  <c r="H1034" i="1"/>
  <c r="I1034" i="1"/>
  <c r="J1034" i="1"/>
  <c r="K1034" i="1"/>
  <c r="P1034" i="1"/>
  <c r="Q1034" i="1"/>
  <c r="R1034" i="1"/>
  <c r="S1034" i="1"/>
  <c r="T1034" i="1"/>
  <c r="Z1034" i="1"/>
  <c r="AL1034" i="1"/>
  <c r="A1035" i="1"/>
  <c r="B1035" i="1"/>
  <c r="C1035" i="1"/>
  <c r="G1035" i="1"/>
  <c r="H1035" i="1"/>
  <c r="I1035" i="1"/>
  <c r="J1035" i="1"/>
  <c r="K1035" i="1"/>
  <c r="M1035" i="1"/>
  <c r="N1035" i="1"/>
  <c r="P1035" i="1"/>
  <c r="Q1035" i="1"/>
  <c r="R1035" i="1"/>
  <c r="S1035" i="1"/>
  <c r="T1035" i="1"/>
  <c r="Z1035" i="1"/>
  <c r="AL1035" i="1"/>
  <c r="A1036" i="1"/>
  <c r="B1036" i="1"/>
  <c r="C1036" i="1"/>
  <c r="G1036" i="1"/>
  <c r="H1036" i="1"/>
  <c r="I1036" i="1"/>
  <c r="J1036" i="1"/>
  <c r="K1036" i="1"/>
  <c r="M1036" i="1"/>
  <c r="N1036" i="1"/>
  <c r="P1036" i="1"/>
  <c r="Q1036" i="1"/>
  <c r="R1036" i="1"/>
  <c r="S1036" i="1"/>
  <c r="T1036" i="1"/>
  <c r="Z1036" i="1"/>
  <c r="AL1036" i="1"/>
  <c r="A1037" i="1"/>
  <c r="B1037" i="1"/>
  <c r="C1037" i="1"/>
  <c r="G1037" i="1"/>
  <c r="H1037" i="1"/>
  <c r="I1037" i="1"/>
  <c r="J1037" i="1"/>
  <c r="K1037" i="1"/>
  <c r="M1037" i="1"/>
  <c r="N1037" i="1"/>
  <c r="P1037" i="1"/>
  <c r="Q1037" i="1"/>
  <c r="R1037" i="1"/>
  <c r="S1037" i="1"/>
  <c r="T1037" i="1"/>
  <c r="Z1037" i="1"/>
  <c r="AL1037" i="1"/>
  <c r="A1038" i="1"/>
  <c r="B1038" i="1"/>
  <c r="C1038" i="1"/>
  <c r="G1038" i="1"/>
  <c r="H1038" i="1"/>
  <c r="I1038" i="1"/>
  <c r="J1038" i="1"/>
  <c r="K1038" i="1"/>
  <c r="M1038" i="1"/>
  <c r="N1038" i="1"/>
  <c r="P1038" i="1"/>
  <c r="Q1038" i="1"/>
  <c r="R1038" i="1"/>
  <c r="S1038" i="1"/>
  <c r="T1038" i="1"/>
  <c r="Z1038" i="1"/>
  <c r="AL1038" i="1"/>
  <c r="A1039" i="1"/>
  <c r="B1039" i="1"/>
  <c r="C1039" i="1"/>
  <c r="G1039" i="1"/>
  <c r="H1039" i="1"/>
  <c r="I1039" i="1"/>
  <c r="J1039" i="1"/>
  <c r="K1039" i="1"/>
  <c r="M1039" i="1"/>
  <c r="N1039" i="1"/>
  <c r="P1039" i="1"/>
  <c r="Q1039" i="1"/>
  <c r="R1039" i="1"/>
  <c r="S1039" i="1"/>
  <c r="T1039" i="1"/>
  <c r="Z1039" i="1"/>
  <c r="AL1039" i="1"/>
  <c r="A1040" i="1"/>
  <c r="B1040" i="1"/>
  <c r="C1040" i="1"/>
  <c r="G1040" i="1"/>
  <c r="H1040" i="1"/>
  <c r="I1040" i="1"/>
  <c r="J1040" i="1"/>
  <c r="K1040" i="1"/>
  <c r="M1040" i="1"/>
  <c r="N1040" i="1"/>
  <c r="P1040" i="1"/>
  <c r="Q1040" i="1"/>
  <c r="R1040" i="1"/>
  <c r="S1040" i="1"/>
  <c r="T1040" i="1"/>
  <c r="Z1040" i="1"/>
  <c r="AL1040" i="1"/>
  <c r="A1041" i="1"/>
  <c r="B1041" i="1"/>
  <c r="C1041" i="1"/>
  <c r="G1041" i="1"/>
  <c r="H1041" i="1"/>
  <c r="I1041" i="1"/>
  <c r="J1041" i="1"/>
  <c r="K1041" i="1"/>
  <c r="M1041" i="1"/>
  <c r="N1041" i="1"/>
  <c r="P1041" i="1"/>
  <c r="Q1041" i="1"/>
  <c r="R1041" i="1"/>
  <c r="S1041" i="1"/>
  <c r="T1041" i="1"/>
  <c r="Z1041" i="1"/>
  <c r="AL1041" i="1"/>
  <c r="A1042" i="1"/>
  <c r="B1042" i="1"/>
  <c r="C1042" i="1"/>
  <c r="G1042" i="1"/>
  <c r="H1042" i="1"/>
  <c r="I1042" i="1"/>
  <c r="J1042" i="1"/>
  <c r="K1042" i="1"/>
  <c r="M1042" i="1"/>
  <c r="N1042" i="1"/>
  <c r="P1042" i="1"/>
  <c r="Q1042" i="1"/>
  <c r="R1042" i="1"/>
  <c r="S1042" i="1"/>
  <c r="T1042" i="1"/>
  <c r="Z1042" i="1"/>
  <c r="AL1042" i="1"/>
  <c r="A1043" i="1"/>
  <c r="B1043" i="1"/>
  <c r="C1043" i="1"/>
  <c r="G1043" i="1"/>
  <c r="H1043" i="1"/>
  <c r="I1043" i="1"/>
  <c r="J1043" i="1"/>
  <c r="K1043" i="1"/>
  <c r="M1043" i="1"/>
  <c r="N1043" i="1"/>
  <c r="P1043" i="1"/>
  <c r="Q1043" i="1"/>
  <c r="R1043" i="1"/>
  <c r="S1043" i="1"/>
  <c r="T1043" i="1"/>
  <c r="Z1043" i="1"/>
  <c r="AL1043" i="1"/>
  <c r="A1044" i="1"/>
  <c r="B1044" i="1"/>
  <c r="C1044" i="1"/>
  <c r="G1044" i="1"/>
  <c r="H1044" i="1"/>
  <c r="I1044" i="1"/>
  <c r="J1044" i="1"/>
  <c r="K1044" i="1"/>
  <c r="M1044" i="1"/>
  <c r="N1044" i="1"/>
  <c r="P1044" i="1"/>
  <c r="Q1044" i="1"/>
  <c r="R1044" i="1"/>
  <c r="S1044" i="1"/>
  <c r="T1044" i="1"/>
  <c r="Z1044" i="1"/>
  <c r="AL1044" i="1"/>
  <c r="A1045" i="1"/>
  <c r="B1045" i="1"/>
  <c r="C1045" i="1"/>
  <c r="G1045" i="1"/>
  <c r="H1045" i="1"/>
  <c r="I1045" i="1"/>
  <c r="J1045" i="1"/>
  <c r="K1045" i="1"/>
  <c r="M1045" i="1"/>
  <c r="N1045" i="1"/>
  <c r="P1045" i="1"/>
  <c r="Q1045" i="1"/>
  <c r="R1045" i="1"/>
  <c r="S1045" i="1"/>
  <c r="T1045" i="1"/>
  <c r="Z1045" i="1"/>
  <c r="AL1045" i="1"/>
  <c r="A1046" i="1"/>
  <c r="B1046" i="1"/>
  <c r="C1046" i="1"/>
  <c r="G1046" i="1"/>
  <c r="H1046" i="1"/>
  <c r="I1046" i="1"/>
  <c r="J1046" i="1"/>
  <c r="K1046" i="1"/>
  <c r="M1046" i="1"/>
  <c r="N1046" i="1"/>
  <c r="P1046" i="1"/>
  <c r="Q1046" i="1"/>
  <c r="R1046" i="1"/>
  <c r="S1046" i="1"/>
  <c r="T1046" i="1"/>
  <c r="Z1046" i="1"/>
  <c r="AL1046" i="1"/>
  <c r="A1047" i="1"/>
  <c r="B1047" i="1"/>
  <c r="C1047" i="1"/>
  <c r="G1047" i="1"/>
  <c r="H1047" i="1"/>
  <c r="I1047" i="1"/>
  <c r="J1047" i="1"/>
  <c r="K1047" i="1"/>
  <c r="M1047" i="1"/>
  <c r="N1047" i="1"/>
  <c r="P1047" i="1"/>
  <c r="Q1047" i="1"/>
  <c r="R1047" i="1"/>
  <c r="S1047" i="1"/>
  <c r="T1047" i="1"/>
  <c r="Z1047" i="1"/>
  <c r="AL1047" i="1"/>
  <c r="A1048" i="1"/>
  <c r="B1048" i="1"/>
  <c r="C1048" i="1"/>
  <c r="G1048" i="1"/>
  <c r="H1048" i="1"/>
  <c r="I1048" i="1"/>
  <c r="J1048" i="1"/>
  <c r="K1048" i="1"/>
  <c r="M1048" i="1"/>
  <c r="N1048" i="1"/>
  <c r="P1048" i="1"/>
  <c r="Q1048" i="1"/>
  <c r="R1048" i="1"/>
  <c r="S1048" i="1"/>
  <c r="T1048" i="1"/>
  <c r="Z1048" i="1"/>
  <c r="AL1048" i="1"/>
  <c r="A1049" i="1"/>
  <c r="B1049" i="1"/>
  <c r="C1049" i="1"/>
  <c r="G1049" i="1"/>
  <c r="H1049" i="1"/>
  <c r="I1049" i="1"/>
  <c r="J1049" i="1"/>
  <c r="K1049" i="1"/>
  <c r="M1049" i="1"/>
  <c r="N1049" i="1"/>
  <c r="P1049" i="1"/>
  <c r="Q1049" i="1"/>
  <c r="R1049" i="1"/>
  <c r="S1049" i="1"/>
  <c r="T1049" i="1"/>
  <c r="Z1049" i="1"/>
  <c r="AL1049" i="1"/>
  <c r="A1050" i="1"/>
  <c r="B1050" i="1"/>
  <c r="C1050" i="1"/>
  <c r="G1050" i="1"/>
  <c r="H1050" i="1"/>
  <c r="I1050" i="1"/>
  <c r="J1050" i="1"/>
  <c r="K1050" i="1"/>
  <c r="M1050" i="1"/>
  <c r="N1050" i="1"/>
  <c r="P1050" i="1"/>
  <c r="Q1050" i="1"/>
  <c r="R1050" i="1"/>
  <c r="S1050" i="1"/>
  <c r="T1050" i="1"/>
  <c r="Z1050" i="1"/>
  <c r="AL1050" i="1"/>
  <c r="A1051" i="1"/>
  <c r="B1051" i="1"/>
  <c r="C1051" i="1"/>
  <c r="G1051" i="1"/>
  <c r="H1051" i="1"/>
  <c r="I1051" i="1"/>
  <c r="J1051" i="1"/>
  <c r="K1051" i="1"/>
  <c r="M1051" i="1"/>
  <c r="N1051" i="1"/>
  <c r="P1051" i="1"/>
  <c r="Q1051" i="1"/>
  <c r="R1051" i="1"/>
  <c r="S1051" i="1"/>
  <c r="T1051" i="1"/>
  <c r="Z1051" i="1"/>
  <c r="AL1051" i="1"/>
  <c r="A1052" i="1"/>
  <c r="B1052" i="1"/>
  <c r="C1052" i="1"/>
  <c r="G1052" i="1"/>
  <c r="H1052" i="1"/>
  <c r="I1052" i="1"/>
  <c r="J1052" i="1"/>
  <c r="K1052" i="1"/>
  <c r="M1052" i="1"/>
  <c r="N1052" i="1"/>
  <c r="P1052" i="1"/>
  <c r="Q1052" i="1"/>
  <c r="R1052" i="1"/>
  <c r="S1052" i="1"/>
  <c r="T1052" i="1"/>
  <c r="Z1052" i="1"/>
  <c r="AL1052" i="1"/>
  <c r="A1053" i="1"/>
  <c r="B1053" i="1"/>
  <c r="C1053" i="1"/>
  <c r="G1053" i="1"/>
  <c r="H1053" i="1"/>
  <c r="I1053" i="1"/>
  <c r="J1053" i="1"/>
  <c r="K1053" i="1"/>
  <c r="M1053" i="1"/>
  <c r="N1053" i="1"/>
  <c r="P1053" i="1"/>
  <c r="Q1053" i="1"/>
  <c r="R1053" i="1"/>
  <c r="S1053" i="1"/>
  <c r="T1053" i="1"/>
  <c r="Z1053" i="1"/>
  <c r="AL1053" i="1"/>
  <c r="A1054" i="1"/>
  <c r="B1054" i="1"/>
  <c r="C1054" i="1"/>
  <c r="G1054" i="1"/>
  <c r="H1054" i="1"/>
  <c r="I1054" i="1"/>
  <c r="J1054" i="1"/>
  <c r="K1054" i="1"/>
  <c r="M1054" i="1"/>
  <c r="N1054" i="1"/>
  <c r="P1054" i="1"/>
  <c r="Q1054" i="1"/>
  <c r="R1054" i="1"/>
  <c r="S1054" i="1"/>
  <c r="T1054" i="1"/>
  <c r="Z1054" i="1"/>
  <c r="AL1054" i="1"/>
  <c r="A1055" i="1"/>
  <c r="B1055" i="1"/>
  <c r="C1055" i="1"/>
  <c r="G1055" i="1"/>
  <c r="H1055" i="1"/>
  <c r="I1055" i="1"/>
  <c r="J1055" i="1"/>
  <c r="K1055" i="1"/>
  <c r="M1055" i="1"/>
  <c r="N1055" i="1"/>
  <c r="P1055" i="1"/>
  <c r="Q1055" i="1"/>
  <c r="R1055" i="1"/>
  <c r="S1055" i="1"/>
  <c r="T1055" i="1"/>
  <c r="Z1055" i="1"/>
  <c r="AL1055" i="1"/>
  <c r="A1056" i="1"/>
  <c r="B1056" i="1"/>
  <c r="C1056" i="1"/>
  <c r="G1056" i="1"/>
  <c r="H1056" i="1"/>
  <c r="I1056" i="1"/>
  <c r="J1056" i="1"/>
  <c r="K1056" i="1"/>
  <c r="M1056" i="1"/>
  <c r="N1056" i="1"/>
  <c r="P1056" i="1"/>
  <c r="Q1056" i="1"/>
  <c r="R1056" i="1"/>
  <c r="S1056" i="1"/>
  <c r="T1056" i="1"/>
  <c r="Z1056" i="1"/>
  <c r="AL1056" i="1"/>
  <c r="A1057" i="1"/>
  <c r="B1057" i="1"/>
  <c r="C1057" i="1"/>
  <c r="G1057" i="1"/>
  <c r="H1057" i="1"/>
  <c r="I1057" i="1"/>
  <c r="J1057" i="1"/>
  <c r="K1057" i="1"/>
  <c r="M1057" i="1"/>
  <c r="N1057" i="1"/>
  <c r="P1057" i="1"/>
  <c r="Q1057" i="1"/>
  <c r="R1057" i="1"/>
  <c r="S1057" i="1"/>
  <c r="T1057" i="1"/>
  <c r="Z1057" i="1"/>
  <c r="AL1057" i="1"/>
  <c r="A1058" i="1"/>
  <c r="B1058" i="1"/>
  <c r="C1058" i="1"/>
  <c r="G1058" i="1"/>
  <c r="H1058" i="1"/>
  <c r="I1058" i="1"/>
  <c r="J1058" i="1"/>
  <c r="K1058" i="1"/>
  <c r="M1058" i="1"/>
  <c r="N1058" i="1"/>
  <c r="P1058" i="1"/>
  <c r="Q1058" i="1"/>
  <c r="R1058" i="1"/>
  <c r="S1058" i="1"/>
  <c r="T1058" i="1"/>
  <c r="Z1058" i="1"/>
  <c r="AL1058" i="1"/>
  <c r="A1059" i="1"/>
  <c r="B1059" i="1"/>
  <c r="C1059" i="1"/>
  <c r="G1059" i="1"/>
  <c r="H1059" i="1"/>
  <c r="I1059" i="1"/>
  <c r="J1059" i="1"/>
  <c r="K1059" i="1"/>
  <c r="M1059" i="1"/>
  <c r="N1059" i="1"/>
  <c r="P1059" i="1"/>
  <c r="Q1059" i="1"/>
  <c r="R1059" i="1"/>
  <c r="S1059" i="1"/>
  <c r="T1059" i="1"/>
  <c r="Z1059" i="1"/>
  <c r="AL1059" i="1"/>
  <c r="A1060" i="1"/>
  <c r="B1060" i="1"/>
  <c r="C1060" i="1"/>
  <c r="G1060" i="1"/>
  <c r="H1060" i="1"/>
  <c r="I1060" i="1"/>
  <c r="J1060" i="1"/>
  <c r="K1060" i="1"/>
  <c r="M1060" i="1"/>
  <c r="N1060" i="1"/>
  <c r="P1060" i="1"/>
  <c r="Q1060" i="1"/>
  <c r="R1060" i="1"/>
  <c r="S1060" i="1"/>
  <c r="T1060" i="1"/>
  <c r="Z1060" i="1"/>
  <c r="AL1060" i="1"/>
  <c r="A1061" i="1"/>
  <c r="B1061" i="1"/>
  <c r="C1061" i="1"/>
  <c r="G1061" i="1"/>
  <c r="H1061" i="1"/>
  <c r="I1061" i="1"/>
  <c r="J1061" i="1"/>
  <c r="K1061" i="1"/>
  <c r="M1061" i="1"/>
  <c r="N1061" i="1"/>
  <c r="P1061" i="1"/>
  <c r="Q1061" i="1"/>
  <c r="R1061" i="1"/>
  <c r="S1061" i="1"/>
  <c r="T1061" i="1"/>
  <c r="Z1061" i="1"/>
  <c r="AL1061" i="1"/>
  <c r="A1062" i="1"/>
  <c r="B1062" i="1"/>
  <c r="C1062" i="1"/>
  <c r="G1062" i="1"/>
  <c r="H1062" i="1"/>
  <c r="I1062" i="1"/>
  <c r="J1062" i="1"/>
  <c r="K1062" i="1"/>
  <c r="M1062" i="1"/>
  <c r="N1062" i="1"/>
  <c r="P1062" i="1"/>
  <c r="Q1062" i="1"/>
  <c r="R1062" i="1"/>
  <c r="S1062" i="1"/>
  <c r="T1062" i="1"/>
  <c r="Z1062" i="1"/>
  <c r="AL1062" i="1"/>
  <c r="A1063" i="1"/>
  <c r="B1063" i="1"/>
  <c r="C1063" i="1"/>
  <c r="G1063" i="1"/>
  <c r="H1063" i="1"/>
  <c r="I1063" i="1"/>
  <c r="J1063" i="1"/>
  <c r="K1063" i="1"/>
  <c r="M1063" i="1"/>
  <c r="N1063" i="1"/>
  <c r="P1063" i="1"/>
  <c r="Q1063" i="1"/>
  <c r="R1063" i="1"/>
  <c r="S1063" i="1"/>
  <c r="T1063" i="1"/>
  <c r="Z1063" i="1"/>
  <c r="AL1063" i="1"/>
  <c r="A1064" i="1"/>
  <c r="B1064" i="1"/>
  <c r="C1064" i="1"/>
  <c r="G1064" i="1"/>
  <c r="H1064" i="1"/>
  <c r="I1064" i="1"/>
  <c r="J1064" i="1"/>
  <c r="K1064" i="1"/>
  <c r="P1064" i="1"/>
  <c r="Q1064" i="1"/>
  <c r="R1064" i="1"/>
  <c r="S1064" i="1"/>
  <c r="T1064" i="1"/>
  <c r="Z1064" i="1"/>
  <c r="AL1064" i="1"/>
  <c r="A1065" i="1"/>
  <c r="B1065" i="1"/>
  <c r="C1065" i="1"/>
  <c r="G1065" i="1"/>
  <c r="H1065" i="1"/>
  <c r="I1065" i="1"/>
  <c r="J1065" i="1"/>
  <c r="K1065" i="1"/>
  <c r="M1065" i="1"/>
  <c r="N1065" i="1"/>
  <c r="P1065" i="1"/>
  <c r="Q1065" i="1"/>
  <c r="R1065" i="1"/>
  <c r="S1065" i="1"/>
  <c r="T1065" i="1"/>
  <c r="Z1065" i="1"/>
  <c r="AL1065" i="1"/>
  <c r="A1066" i="1"/>
  <c r="B1066" i="1"/>
  <c r="C1066" i="1"/>
  <c r="G1066" i="1"/>
  <c r="H1066" i="1"/>
  <c r="I1066" i="1"/>
  <c r="J1066" i="1"/>
  <c r="K1066" i="1"/>
  <c r="M1066" i="1"/>
  <c r="N1066" i="1"/>
  <c r="P1066" i="1"/>
  <c r="Q1066" i="1"/>
  <c r="R1066" i="1"/>
  <c r="S1066" i="1"/>
  <c r="T1066" i="1"/>
  <c r="Z1066" i="1"/>
  <c r="AL1066" i="1"/>
  <c r="A1067" i="1"/>
  <c r="B1067" i="1"/>
  <c r="C1067" i="1"/>
  <c r="G1067" i="1"/>
  <c r="H1067" i="1"/>
  <c r="I1067" i="1"/>
  <c r="J1067" i="1"/>
  <c r="K1067" i="1"/>
  <c r="M1067" i="1"/>
  <c r="N1067" i="1"/>
  <c r="P1067" i="1"/>
  <c r="Q1067" i="1"/>
  <c r="R1067" i="1"/>
  <c r="S1067" i="1"/>
  <c r="T1067" i="1"/>
  <c r="Z1067" i="1"/>
  <c r="AL1067" i="1"/>
  <c r="A1068" i="1"/>
  <c r="B1068" i="1"/>
  <c r="C1068" i="1"/>
  <c r="G1068" i="1"/>
  <c r="H1068" i="1"/>
  <c r="I1068" i="1"/>
  <c r="J1068" i="1"/>
  <c r="K1068" i="1"/>
  <c r="M1068" i="1"/>
  <c r="N1068" i="1"/>
  <c r="P1068" i="1"/>
  <c r="Q1068" i="1"/>
  <c r="R1068" i="1"/>
  <c r="S1068" i="1"/>
  <c r="T1068" i="1"/>
  <c r="Z1068" i="1"/>
  <c r="AL1068" i="1"/>
  <c r="A1069" i="1"/>
  <c r="B1069" i="1"/>
  <c r="C1069" i="1"/>
  <c r="G1069" i="1"/>
  <c r="H1069" i="1"/>
  <c r="I1069" i="1"/>
  <c r="J1069" i="1"/>
  <c r="K1069" i="1"/>
  <c r="M1069" i="1"/>
  <c r="N1069" i="1"/>
  <c r="P1069" i="1"/>
  <c r="Q1069" i="1"/>
  <c r="R1069" i="1"/>
  <c r="S1069" i="1"/>
  <c r="T1069" i="1"/>
  <c r="Z1069" i="1"/>
  <c r="AL1069" i="1"/>
  <c r="A1070" i="1"/>
  <c r="B1070" i="1"/>
  <c r="C1070" i="1"/>
  <c r="G1070" i="1"/>
  <c r="H1070" i="1"/>
  <c r="I1070" i="1"/>
  <c r="J1070" i="1"/>
  <c r="K1070" i="1"/>
  <c r="M1070" i="1"/>
  <c r="N1070" i="1"/>
  <c r="P1070" i="1"/>
  <c r="Q1070" i="1"/>
  <c r="R1070" i="1"/>
  <c r="S1070" i="1"/>
  <c r="T1070" i="1"/>
  <c r="Z1070" i="1"/>
  <c r="AL1070" i="1"/>
  <c r="A1071" i="1"/>
  <c r="B1071" i="1"/>
  <c r="C1071" i="1"/>
  <c r="G1071" i="1"/>
  <c r="H1071" i="1"/>
  <c r="I1071" i="1"/>
  <c r="J1071" i="1"/>
  <c r="K1071" i="1"/>
  <c r="M1071" i="1"/>
  <c r="N1071" i="1"/>
  <c r="P1071" i="1"/>
  <c r="Q1071" i="1"/>
  <c r="R1071" i="1"/>
  <c r="S1071" i="1"/>
  <c r="T1071" i="1"/>
  <c r="Z1071" i="1"/>
  <c r="AL1071" i="1"/>
  <c r="A1072" i="1"/>
  <c r="B1072" i="1"/>
  <c r="C1072" i="1"/>
  <c r="G1072" i="1"/>
  <c r="H1072" i="1"/>
  <c r="I1072" i="1"/>
  <c r="J1072" i="1"/>
  <c r="K1072" i="1"/>
  <c r="M1072" i="1"/>
  <c r="N1072" i="1"/>
  <c r="P1072" i="1"/>
  <c r="Q1072" i="1"/>
  <c r="R1072" i="1"/>
  <c r="S1072" i="1"/>
  <c r="T1072" i="1"/>
  <c r="Z1072" i="1"/>
  <c r="AL1072" i="1"/>
  <c r="A1073" i="1"/>
  <c r="B1073" i="1"/>
  <c r="C1073" i="1"/>
  <c r="G1073" i="1"/>
  <c r="H1073" i="1"/>
  <c r="I1073" i="1"/>
  <c r="J1073" i="1"/>
  <c r="K1073" i="1"/>
  <c r="M1073" i="1"/>
  <c r="N1073" i="1"/>
  <c r="P1073" i="1"/>
  <c r="Q1073" i="1"/>
  <c r="R1073" i="1"/>
  <c r="S1073" i="1"/>
  <c r="T1073" i="1"/>
  <c r="Z1073" i="1"/>
  <c r="AL1073" i="1"/>
  <c r="A1074" i="1"/>
  <c r="B1074" i="1"/>
  <c r="C1074" i="1"/>
  <c r="G1074" i="1"/>
  <c r="H1074" i="1"/>
  <c r="I1074" i="1"/>
  <c r="J1074" i="1"/>
  <c r="K1074" i="1"/>
  <c r="M1074" i="1"/>
  <c r="N1074" i="1"/>
  <c r="P1074" i="1"/>
  <c r="Q1074" i="1"/>
  <c r="R1074" i="1"/>
  <c r="S1074" i="1"/>
  <c r="T1074" i="1"/>
  <c r="Z1074" i="1"/>
  <c r="AL1074" i="1"/>
  <c r="A1075" i="1"/>
  <c r="B1075" i="1"/>
  <c r="C1075" i="1"/>
  <c r="G1075" i="1"/>
  <c r="H1075" i="1"/>
  <c r="I1075" i="1"/>
  <c r="J1075" i="1"/>
  <c r="K1075" i="1"/>
  <c r="M1075" i="1"/>
  <c r="N1075" i="1"/>
  <c r="P1075" i="1"/>
  <c r="Q1075" i="1"/>
  <c r="R1075" i="1"/>
  <c r="S1075" i="1"/>
  <c r="T1075" i="1"/>
  <c r="Z1075" i="1"/>
  <c r="AL1075" i="1"/>
  <c r="A1076" i="1"/>
  <c r="B1076" i="1"/>
  <c r="C1076" i="1"/>
  <c r="G1076" i="1"/>
  <c r="H1076" i="1"/>
  <c r="I1076" i="1"/>
  <c r="J1076" i="1"/>
  <c r="K1076" i="1"/>
  <c r="M1076" i="1"/>
  <c r="N1076" i="1"/>
  <c r="P1076" i="1"/>
  <c r="Q1076" i="1"/>
  <c r="R1076" i="1"/>
  <c r="S1076" i="1"/>
  <c r="T1076" i="1"/>
  <c r="Z1076" i="1"/>
  <c r="AL1076" i="1"/>
  <c r="A1077" i="1"/>
  <c r="B1077" i="1"/>
  <c r="C1077" i="1"/>
  <c r="G1077" i="1"/>
  <c r="H1077" i="1"/>
  <c r="I1077" i="1"/>
  <c r="J1077" i="1"/>
  <c r="K1077" i="1"/>
  <c r="M1077" i="1"/>
  <c r="N1077" i="1"/>
  <c r="P1077" i="1"/>
  <c r="Q1077" i="1"/>
  <c r="R1077" i="1"/>
  <c r="S1077" i="1"/>
  <c r="T1077" i="1"/>
  <c r="Z1077" i="1"/>
  <c r="AL1077" i="1"/>
  <c r="A1078" i="1"/>
  <c r="B1078" i="1"/>
  <c r="C1078" i="1"/>
  <c r="G1078" i="1"/>
  <c r="H1078" i="1"/>
  <c r="I1078" i="1"/>
  <c r="J1078" i="1"/>
  <c r="K1078" i="1"/>
  <c r="M1078" i="1"/>
  <c r="N1078" i="1"/>
  <c r="P1078" i="1"/>
  <c r="Q1078" i="1"/>
  <c r="R1078" i="1"/>
  <c r="S1078" i="1"/>
  <c r="T1078" i="1"/>
  <c r="Z1078" i="1"/>
  <c r="AL1078" i="1"/>
  <c r="A1079" i="1"/>
  <c r="B1079" i="1"/>
  <c r="C1079" i="1"/>
  <c r="G1079" i="1"/>
  <c r="H1079" i="1"/>
  <c r="I1079" i="1"/>
  <c r="J1079" i="1"/>
  <c r="K1079" i="1"/>
  <c r="M1079" i="1"/>
  <c r="N1079" i="1"/>
  <c r="P1079" i="1"/>
  <c r="Q1079" i="1"/>
  <c r="R1079" i="1"/>
  <c r="S1079" i="1"/>
  <c r="T1079" i="1"/>
  <c r="Z1079" i="1"/>
  <c r="AL1079" i="1"/>
  <c r="A1080" i="1"/>
  <c r="B1080" i="1"/>
  <c r="C1080" i="1"/>
  <c r="G1080" i="1"/>
  <c r="H1080" i="1"/>
  <c r="I1080" i="1"/>
  <c r="J1080" i="1"/>
  <c r="K1080" i="1"/>
  <c r="M1080" i="1"/>
  <c r="N1080" i="1"/>
  <c r="P1080" i="1"/>
  <c r="Q1080" i="1"/>
  <c r="R1080" i="1"/>
  <c r="S1080" i="1"/>
  <c r="T1080" i="1"/>
  <c r="Z1080" i="1"/>
  <c r="AL1080" i="1"/>
  <c r="A1081" i="1"/>
  <c r="B1081" i="1"/>
  <c r="C1081" i="1"/>
  <c r="G1081" i="1"/>
  <c r="H1081" i="1"/>
  <c r="I1081" i="1"/>
  <c r="J1081" i="1"/>
  <c r="K1081" i="1"/>
  <c r="M1081" i="1"/>
  <c r="N1081" i="1"/>
  <c r="P1081" i="1"/>
  <c r="Q1081" i="1"/>
  <c r="R1081" i="1"/>
  <c r="S1081" i="1"/>
  <c r="T1081" i="1"/>
  <c r="Z1081" i="1"/>
  <c r="AL1081" i="1"/>
  <c r="A1082" i="1"/>
  <c r="B1082" i="1"/>
  <c r="C1082" i="1"/>
  <c r="G1082" i="1"/>
  <c r="H1082" i="1"/>
  <c r="I1082" i="1"/>
  <c r="J1082" i="1"/>
  <c r="K1082" i="1"/>
  <c r="M1082" i="1"/>
  <c r="N1082" i="1"/>
  <c r="P1082" i="1"/>
  <c r="Q1082" i="1"/>
  <c r="R1082" i="1"/>
  <c r="S1082" i="1"/>
  <c r="T1082" i="1"/>
  <c r="Z1082" i="1"/>
  <c r="AL1082" i="1"/>
  <c r="A1083" i="1"/>
  <c r="B1083" i="1"/>
  <c r="C1083" i="1"/>
  <c r="G1083" i="1"/>
  <c r="H1083" i="1"/>
  <c r="I1083" i="1"/>
  <c r="J1083" i="1"/>
  <c r="K1083" i="1"/>
  <c r="M1083" i="1"/>
  <c r="N1083" i="1"/>
  <c r="P1083" i="1"/>
  <c r="Q1083" i="1"/>
  <c r="R1083" i="1"/>
  <c r="S1083" i="1"/>
  <c r="T1083" i="1"/>
  <c r="Z1083" i="1"/>
  <c r="AL1083" i="1"/>
  <c r="A1084" i="1"/>
  <c r="B1084" i="1"/>
  <c r="C1084" i="1"/>
  <c r="G1084" i="1"/>
  <c r="H1084" i="1"/>
  <c r="I1084" i="1"/>
  <c r="J1084" i="1"/>
  <c r="K1084" i="1"/>
  <c r="M1084" i="1"/>
  <c r="N1084" i="1"/>
  <c r="P1084" i="1"/>
  <c r="Q1084" i="1"/>
  <c r="R1084" i="1"/>
  <c r="S1084" i="1"/>
  <c r="T1084" i="1"/>
  <c r="Z1084" i="1"/>
  <c r="AL1084" i="1"/>
  <c r="A1085" i="1"/>
  <c r="B1085" i="1"/>
  <c r="C1085" i="1"/>
  <c r="G1085" i="1"/>
  <c r="H1085" i="1"/>
  <c r="I1085" i="1"/>
  <c r="J1085" i="1"/>
  <c r="K1085" i="1"/>
  <c r="M1085" i="1"/>
  <c r="N1085" i="1"/>
  <c r="P1085" i="1"/>
  <c r="Q1085" i="1"/>
  <c r="R1085" i="1"/>
  <c r="S1085" i="1"/>
  <c r="T1085" i="1"/>
  <c r="Z1085" i="1"/>
  <c r="AL1085" i="1"/>
  <c r="A1086" i="1"/>
  <c r="B1086" i="1"/>
  <c r="C1086" i="1"/>
  <c r="G1086" i="1"/>
  <c r="H1086" i="1"/>
  <c r="I1086" i="1"/>
  <c r="J1086" i="1"/>
  <c r="K1086" i="1"/>
  <c r="P1086" i="1"/>
  <c r="Q1086" i="1"/>
  <c r="R1086" i="1"/>
  <c r="S1086" i="1"/>
  <c r="T1086" i="1"/>
  <c r="Z1086" i="1"/>
  <c r="AL1086" i="1"/>
  <c r="A1087" i="1"/>
  <c r="B1087" i="1"/>
  <c r="C1087" i="1"/>
  <c r="G1087" i="1"/>
  <c r="H1087" i="1"/>
  <c r="I1087" i="1"/>
  <c r="J1087" i="1"/>
  <c r="K1087" i="1"/>
  <c r="P1087" i="1"/>
  <c r="Q1087" i="1"/>
  <c r="R1087" i="1"/>
  <c r="S1087" i="1"/>
  <c r="T1087" i="1"/>
  <c r="Z1087" i="1"/>
  <c r="AL1087" i="1"/>
  <c r="A1088" i="1"/>
  <c r="B1088" i="1"/>
  <c r="C1088" i="1"/>
  <c r="G1088" i="1"/>
  <c r="H1088" i="1"/>
  <c r="I1088" i="1"/>
  <c r="J1088" i="1"/>
  <c r="K1088" i="1"/>
  <c r="M1088" i="1"/>
  <c r="N1088" i="1"/>
  <c r="P1088" i="1"/>
  <c r="Q1088" i="1"/>
  <c r="R1088" i="1"/>
  <c r="S1088" i="1"/>
  <c r="T1088" i="1"/>
  <c r="Z1088" i="1"/>
  <c r="AL1088" i="1"/>
  <c r="A1089" i="1"/>
  <c r="B1089" i="1"/>
  <c r="C1089" i="1"/>
  <c r="G1089" i="1"/>
  <c r="H1089" i="1"/>
  <c r="I1089" i="1"/>
  <c r="J1089" i="1"/>
  <c r="K1089" i="1"/>
  <c r="P1089" i="1"/>
  <c r="Q1089" i="1"/>
  <c r="R1089" i="1"/>
  <c r="S1089" i="1"/>
  <c r="T1089" i="1"/>
  <c r="Z1089" i="1"/>
  <c r="AL1089" i="1"/>
  <c r="A1090" i="1"/>
  <c r="B1090" i="1"/>
  <c r="C1090" i="1"/>
  <c r="G1090" i="1"/>
  <c r="H1090" i="1"/>
  <c r="I1090" i="1"/>
  <c r="J1090" i="1"/>
  <c r="K1090" i="1"/>
  <c r="M1090" i="1"/>
  <c r="N1090" i="1"/>
  <c r="P1090" i="1"/>
  <c r="Q1090" i="1"/>
  <c r="R1090" i="1"/>
  <c r="S1090" i="1"/>
  <c r="T1090" i="1"/>
  <c r="Z1090" i="1"/>
  <c r="AL1090" i="1"/>
  <c r="A1091" i="1"/>
  <c r="B1091" i="1"/>
  <c r="C1091" i="1"/>
  <c r="G1091" i="1"/>
  <c r="H1091" i="1"/>
  <c r="I1091" i="1"/>
  <c r="J1091" i="1"/>
  <c r="K1091" i="1"/>
  <c r="M1091" i="1"/>
  <c r="N1091" i="1"/>
  <c r="P1091" i="1"/>
  <c r="Q1091" i="1"/>
  <c r="R1091" i="1"/>
  <c r="S1091" i="1"/>
  <c r="T1091" i="1"/>
  <c r="Z1091" i="1"/>
  <c r="AL1091" i="1"/>
  <c r="A1092" i="1"/>
  <c r="B1092" i="1"/>
  <c r="C1092" i="1"/>
  <c r="G1092" i="1"/>
  <c r="H1092" i="1"/>
  <c r="I1092" i="1"/>
  <c r="J1092" i="1"/>
  <c r="K1092" i="1"/>
  <c r="M1092" i="1"/>
  <c r="N1092" i="1"/>
  <c r="P1092" i="1"/>
  <c r="Q1092" i="1"/>
  <c r="R1092" i="1"/>
  <c r="S1092" i="1"/>
  <c r="T1092" i="1"/>
  <c r="Z1092" i="1"/>
  <c r="AL1092" i="1"/>
  <c r="A1093" i="1"/>
  <c r="B1093" i="1"/>
  <c r="C1093" i="1"/>
  <c r="G1093" i="1"/>
  <c r="H1093" i="1"/>
  <c r="I1093" i="1"/>
  <c r="J1093" i="1"/>
  <c r="K1093" i="1"/>
  <c r="M1093" i="1"/>
  <c r="N1093" i="1"/>
  <c r="P1093" i="1"/>
  <c r="Q1093" i="1"/>
  <c r="R1093" i="1"/>
  <c r="S1093" i="1"/>
  <c r="T1093" i="1"/>
  <c r="Z1093" i="1"/>
  <c r="AL1093" i="1"/>
  <c r="A1094" i="1"/>
  <c r="B1094" i="1"/>
  <c r="C1094" i="1"/>
  <c r="G1094" i="1"/>
  <c r="H1094" i="1"/>
  <c r="I1094" i="1"/>
  <c r="J1094" i="1"/>
  <c r="K1094" i="1"/>
  <c r="M1094" i="1"/>
  <c r="N1094" i="1"/>
  <c r="P1094" i="1"/>
  <c r="Q1094" i="1"/>
  <c r="R1094" i="1"/>
  <c r="S1094" i="1"/>
  <c r="T1094" i="1"/>
  <c r="Z1094" i="1"/>
  <c r="AL1094" i="1"/>
  <c r="A1095" i="1"/>
  <c r="B1095" i="1"/>
  <c r="C1095" i="1"/>
  <c r="G1095" i="1"/>
  <c r="H1095" i="1"/>
  <c r="I1095" i="1"/>
  <c r="J1095" i="1"/>
  <c r="K1095" i="1"/>
  <c r="M1095" i="1"/>
  <c r="N1095" i="1"/>
  <c r="P1095" i="1"/>
  <c r="Q1095" i="1"/>
  <c r="R1095" i="1"/>
  <c r="S1095" i="1"/>
  <c r="T1095" i="1"/>
  <c r="Z1095" i="1"/>
  <c r="AL1095" i="1"/>
  <c r="A1096" i="1"/>
  <c r="B1096" i="1"/>
  <c r="C1096" i="1"/>
  <c r="G1096" i="1"/>
  <c r="H1096" i="1"/>
  <c r="I1096" i="1"/>
  <c r="J1096" i="1"/>
  <c r="K1096" i="1"/>
  <c r="M1096" i="1"/>
  <c r="N1096" i="1"/>
  <c r="P1096" i="1"/>
  <c r="Q1096" i="1"/>
  <c r="R1096" i="1"/>
  <c r="S1096" i="1"/>
  <c r="T1096" i="1"/>
  <c r="Z1096" i="1"/>
  <c r="AL1096" i="1"/>
  <c r="A1097" i="1"/>
  <c r="B1097" i="1"/>
  <c r="C1097" i="1"/>
  <c r="G1097" i="1"/>
  <c r="H1097" i="1"/>
  <c r="I1097" i="1"/>
  <c r="J1097" i="1"/>
  <c r="K1097" i="1"/>
  <c r="M1097" i="1"/>
  <c r="N1097" i="1"/>
  <c r="P1097" i="1"/>
  <c r="Q1097" i="1"/>
  <c r="R1097" i="1"/>
  <c r="S1097" i="1"/>
  <c r="T1097" i="1"/>
  <c r="Z1097" i="1"/>
  <c r="AL1097" i="1"/>
  <c r="A1098" i="1"/>
  <c r="B1098" i="1"/>
  <c r="C1098" i="1"/>
  <c r="G1098" i="1"/>
  <c r="H1098" i="1"/>
  <c r="I1098" i="1"/>
  <c r="J1098" i="1"/>
  <c r="K1098" i="1"/>
  <c r="M1098" i="1"/>
  <c r="N1098" i="1"/>
  <c r="P1098" i="1"/>
  <c r="Q1098" i="1"/>
  <c r="R1098" i="1"/>
  <c r="S1098" i="1"/>
  <c r="T1098" i="1"/>
  <c r="Z1098" i="1"/>
  <c r="AL1098" i="1"/>
  <c r="A1099" i="1"/>
  <c r="B1099" i="1"/>
  <c r="C1099" i="1"/>
  <c r="G1099" i="1"/>
  <c r="H1099" i="1"/>
  <c r="I1099" i="1"/>
  <c r="J1099" i="1"/>
  <c r="K1099" i="1"/>
  <c r="M1099" i="1"/>
  <c r="N1099" i="1"/>
  <c r="P1099" i="1"/>
  <c r="Q1099" i="1"/>
  <c r="R1099" i="1"/>
  <c r="S1099" i="1"/>
  <c r="T1099" i="1"/>
  <c r="Z1099" i="1"/>
  <c r="AL1099" i="1"/>
  <c r="A1100" i="1"/>
  <c r="B1100" i="1"/>
  <c r="C1100" i="1"/>
  <c r="G1100" i="1"/>
  <c r="H1100" i="1"/>
  <c r="I1100" i="1"/>
  <c r="J1100" i="1"/>
  <c r="K1100" i="1"/>
  <c r="M1100" i="1"/>
  <c r="N1100" i="1"/>
  <c r="P1100" i="1"/>
  <c r="Q1100" i="1"/>
  <c r="R1100" i="1"/>
  <c r="S1100" i="1"/>
  <c r="T1100" i="1"/>
  <c r="Z1100" i="1"/>
  <c r="AL1100" i="1"/>
  <c r="A1101" i="1"/>
  <c r="B1101" i="1"/>
  <c r="C1101" i="1"/>
  <c r="G1101" i="1"/>
  <c r="H1101" i="1"/>
  <c r="I1101" i="1"/>
  <c r="J1101" i="1"/>
  <c r="K1101" i="1"/>
  <c r="M1101" i="1"/>
  <c r="N1101" i="1"/>
  <c r="P1101" i="1"/>
  <c r="Q1101" i="1"/>
  <c r="R1101" i="1"/>
  <c r="S1101" i="1"/>
  <c r="T1101" i="1"/>
  <c r="Z1101" i="1"/>
  <c r="AL1101" i="1"/>
  <c r="A1102" i="1"/>
  <c r="B1102" i="1"/>
  <c r="C1102" i="1"/>
  <c r="G1102" i="1"/>
  <c r="H1102" i="1"/>
  <c r="I1102" i="1"/>
  <c r="J1102" i="1"/>
  <c r="K1102" i="1"/>
  <c r="M1102" i="1"/>
  <c r="N1102" i="1"/>
  <c r="P1102" i="1"/>
  <c r="Q1102" i="1"/>
  <c r="R1102" i="1"/>
  <c r="S1102" i="1"/>
  <c r="T1102" i="1"/>
  <c r="Z1102" i="1"/>
  <c r="AL1102" i="1"/>
  <c r="A1103" i="1"/>
  <c r="B1103" i="1"/>
  <c r="C1103" i="1"/>
  <c r="G1103" i="1"/>
  <c r="H1103" i="1"/>
  <c r="I1103" i="1"/>
  <c r="J1103" i="1"/>
  <c r="K1103" i="1"/>
  <c r="M1103" i="1"/>
  <c r="N1103" i="1"/>
  <c r="P1103" i="1"/>
  <c r="Q1103" i="1"/>
  <c r="R1103" i="1"/>
  <c r="S1103" i="1"/>
  <c r="T1103" i="1"/>
  <c r="Z1103" i="1"/>
  <c r="AL1103" i="1"/>
  <c r="A1104" i="1"/>
  <c r="B1104" i="1"/>
  <c r="C1104" i="1"/>
  <c r="G1104" i="1"/>
  <c r="H1104" i="1"/>
  <c r="I1104" i="1"/>
  <c r="J1104" i="1"/>
  <c r="K1104" i="1"/>
  <c r="M1104" i="1"/>
  <c r="N1104" i="1"/>
  <c r="P1104" i="1"/>
  <c r="Q1104" i="1"/>
  <c r="R1104" i="1"/>
  <c r="S1104" i="1"/>
  <c r="T1104" i="1"/>
  <c r="Z1104" i="1"/>
  <c r="AL1104" i="1"/>
  <c r="A1105" i="1"/>
  <c r="B1105" i="1"/>
  <c r="C1105" i="1"/>
  <c r="G1105" i="1"/>
  <c r="H1105" i="1"/>
  <c r="I1105" i="1"/>
  <c r="J1105" i="1"/>
  <c r="K1105" i="1"/>
  <c r="M1105" i="1"/>
  <c r="N1105" i="1"/>
  <c r="P1105" i="1"/>
  <c r="Q1105" i="1"/>
  <c r="R1105" i="1"/>
  <c r="S1105" i="1"/>
  <c r="T1105" i="1"/>
  <c r="Z1105" i="1"/>
  <c r="AL1105" i="1"/>
  <c r="A1106" i="1"/>
  <c r="B1106" i="1"/>
  <c r="C1106" i="1"/>
  <c r="G1106" i="1"/>
  <c r="H1106" i="1"/>
  <c r="I1106" i="1"/>
  <c r="J1106" i="1"/>
  <c r="K1106" i="1"/>
  <c r="M1106" i="1"/>
  <c r="N1106" i="1"/>
  <c r="P1106" i="1"/>
  <c r="Q1106" i="1"/>
  <c r="R1106" i="1"/>
  <c r="S1106" i="1"/>
  <c r="T1106" i="1"/>
  <c r="Z1106" i="1"/>
  <c r="AL1106" i="1"/>
  <c r="A1107" i="1"/>
  <c r="B1107" i="1"/>
  <c r="C1107" i="1"/>
  <c r="G1107" i="1"/>
  <c r="H1107" i="1"/>
  <c r="I1107" i="1"/>
  <c r="J1107" i="1"/>
  <c r="K1107" i="1"/>
  <c r="M1107" i="1"/>
  <c r="N1107" i="1"/>
  <c r="P1107" i="1"/>
  <c r="Q1107" i="1"/>
  <c r="R1107" i="1"/>
  <c r="S1107" i="1"/>
  <c r="T1107" i="1"/>
  <c r="Z1107" i="1"/>
  <c r="AL1107" i="1"/>
  <c r="A1108" i="1"/>
  <c r="B1108" i="1"/>
  <c r="C1108" i="1"/>
  <c r="G1108" i="1"/>
  <c r="H1108" i="1"/>
  <c r="I1108" i="1"/>
  <c r="J1108" i="1"/>
  <c r="K1108" i="1"/>
  <c r="M1108" i="1"/>
  <c r="N1108" i="1"/>
  <c r="P1108" i="1"/>
  <c r="Q1108" i="1"/>
  <c r="R1108" i="1"/>
  <c r="S1108" i="1"/>
  <c r="T1108" i="1"/>
  <c r="Z1108" i="1"/>
  <c r="AL1108" i="1"/>
  <c r="A1109" i="1"/>
  <c r="B1109" i="1"/>
  <c r="C1109" i="1"/>
  <c r="G1109" i="1"/>
  <c r="H1109" i="1"/>
  <c r="I1109" i="1"/>
  <c r="J1109" i="1"/>
  <c r="K1109" i="1"/>
  <c r="M1109" i="1"/>
  <c r="N1109" i="1"/>
  <c r="P1109" i="1"/>
  <c r="Q1109" i="1"/>
  <c r="R1109" i="1"/>
  <c r="S1109" i="1"/>
  <c r="T1109" i="1"/>
  <c r="Z1109" i="1"/>
  <c r="AL1109" i="1"/>
  <c r="A1110" i="1"/>
  <c r="B1110" i="1"/>
  <c r="C1110" i="1"/>
  <c r="G1110" i="1"/>
  <c r="H1110" i="1"/>
  <c r="I1110" i="1"/>
  <c r="J1110" i="1"/>
  <c r="K1110" i="1"/>
  <c r="M1110" i="1"/>
  <c r="N1110" i="1"/>
  <c r="P1110" i="1"/>
  <c r="Q1110" i="1"/>
  <c r="R1110" i="1"/>
  <c r="S1110" i="1"/>
  <c r="T1110" i="1"/>
  <c r="Z1110" i="1"/>
  <c r="AL1110" i="1"/>
  <c r="A1111" i="1"/>
  <c r="B1111" i="1"/>
  <c r="C1111" i="1"/>
  <c r="G1111" i="1"/>
  <c r="H1111" i="1"/>
  <c r="I1111" i="1"/>
  <c r="J1111" i="1"/>
  <c r="K1111" i="1"/>
  <c r="M1111" i="1"/>
  <c r="N1111" i="1"/>
  <c r="P1111" i="1"/>
  <c r="Q1111" i="1"/>
  <c r="R1111" i="1"/>
  <c r="S1111" i="1"/>
  <c r="T1111" i="1"/>
  <c r="Z1111" i="1"/>
  <c r="AL1111" i="1"/>
  <c r="A1112" i="1"/>
  <c r="B1112" i="1"/>
  <c r="C1112" i="1"/>
  <c r="G1112" i="1"/>
  <c r="H1112" i="1"/>
  <c r="I1112" i="1"/>
  <c r="J1112" i="1"/>
  <c r="K1112" i="1"/>
  <c r="M1112" i="1"/>
  <c r="N1112" i="1"/>
  <c r="P1112" i="1"/>
  <c r="Q1112" i="1"/>
  <c r="R1112" i="1"/>
  <c r="S1112" i="1"/>
  <c r="T1112" i="1"/>
  <c r="Z1112" i="1"/>
  <c r="AL1112" i="1"/>
  <c r="A1113" i="1"/>
  <c r="B1113" i="1"/>
  <c r="C1113" i="1"/>
  <c r="G1113" i="1"/>
  <c r="H1113" i="1"/>
  <c r="I1113" i="1"/>
  <c r="J1113" i="1"/>
  <c r="K1113" i="1"/>
  <c r="M1113" i="1"/>
  <c r="N1113" i="1"/>
  <c r="P1113" i="1"/>
  <c r="Q1113" i="1"/>
  <c r="R1113" i="1"/>
  <c r="S1113" i="1"/>
  <c r="T1113" i="1"/>
  <c r="Z1113" i="1"/>
  <c r="AL1113" i="1"/>
  <c r="A1114" i="1"/>
  <c r="B1114" i="1"/>
  <c r="C1114" i="1"/>
  <c r="G1114" i="1"/>
  <c r="H1114" i="1"/>
  <c r="I1114" i="1"/>
  <c r="J1114" i="1"/>
  <c r="K1114" i="1"/>
  <c r="M1114" i="1"/>
  <c r="N1114" i="1"/>
  <c r="P1114" i="1"/>
  <c r="Q1114" i="1"/>
  <c r="R1114" i="1"/>
  <c r="S1114" i="1"/>
  <c r="T1114" i="1"/>
  <c r="Z1114" i="1"/>
  <c r="AL1114" i="1"/>
  <c r="A1115" i="1"/>
  <c r="B1115" i="1"/>
  <c r="C1115" i="1"/>
  <c r="G1115" i="1"/>
  <c r="H1115" i="1"/>
  <c r="I1115" i="1"/>
  <c r="J1115" i="1"/>
  <c r="K1115" i="1"/>
  <c r="M1115" i="1"/>
  <c r="N1115" i="1"/>
  <c r="P1115" i="1"/>
  <c r="Q1115" i="1"/>
  <c r="R1115" i="1"/>
  <c r="S1115" i="1"/>
  <c r="T1115" i="1"/>
  <c r="Z1115" i="1"/>
  <c r="AL1115" i="1"/>
  <c r="A1116" i="1"/>
  <c r="B1116" i="1"/>
  <c r="C1116" i="1"/>
  <c r="G1116" i="1"/>
  <c r="H1116" i="1"/>
  <c r="I1116" i="1"/>
  <c r="J1116" i="1"/>
  <c r="K1116" i="1"/>
  <c r="M1116" i="1"/>
  <c r="N1116" i="1"/>
  <c r="P1116" i="1"/>
  <c r="Q1116" i="1"/>
  <c r="R1116" i="1"/>
  <c r="S1116" i="1"/>
  <c r="T1116" i="1"/>
  <c r="Z1116" i="1"/>
  <c r="AL1116" i="1"/>
  <c r="A1117" i="1"/>
  <c r="B1117" i="1"/>
  <c r="C1117" i="1"/>
  <c r="G1117" i="1"/>
  <c r="H1117" i="1"/>
  <c r="I1117" i="1"/>
  <c r="J1117" i="1"/>
  <c r="K1117" i="1"/>
  <c r="P1117" i="1"/>
  <c r="Q1117" i="1"/>
  <c r="R1117" i="1"/>
  <c r="S1117" i="1"/>
  <c r="T1117" i="1"/>
  <c r="Z1117" i="1"/>
  <c r="AL1117" i="1"/>
  <c r="A1118" i="1"/>
  <c r="B1118" i="1"/>
  <c r="C1118" i="1"/>
  <c r="G1118" i="1"/>
  <c r="H1118" i="1"/>
  <c r="I1118" i="1"/>
  <c r="J1118" i="1"/>
  <c r="K1118" i="1"/>
  <c r="M1118" i="1"/>
  <c r="N1118" i="1"/>
  <c r="P1118" i="1"/>
  <c r="Q1118" i="1"/>
  <c r="R1118" i="1"/>
  <c r="S1118" i="1"/>
  <c r="T1118" i="1"/>
  <c r="Z1118" i="1"/>
  <c r="AL1118" i="1"/>
  <c r="A1119" i="1"/>
  <c r="B1119" i="1"/>
  <c r="C1119" i="1"/>
  <c r="G1119" i="1"/>
  <c r="H1119" i="1"/>
  <c r="I1119" i="1"/>
  <c r="J1119" i="1"/>
  <c r="K1119" i="1"/>
  <c r="M1119" i="1"/>
  <c r="N1119" i="1"/>
  <c r="P1119" i="1"/>
  <c r="Q1119" i="1"/>
  <c r="R1119" i="1"/>
  <c r="S1119" i="1"/>
  <c r="T1119" i="1"/>
  <c r="Z1119" i="1"/>
  <c r="AL1119" i="1"/>
  <c r="A1120" i="1"/>
  <c r="B1120" i="1"/>
  <c r="C1120" i="1"/>
  <c r="G1120" i="1"/>
  <c r="H1120" i="1"/>
  <c r="I1120" i="1"/>
  <c r="J1120" i="1"/>
  <c r="K1120" i="1"/>
  <c r="M1120" i="1"/>
  <c r="N1120" i="1"/>
  <c r="P1120" i="1"/>
  <c r="Q1120" i="1"/>
  <c r="R1120" i="1"/>
  <c r="S1120" i="1"/>
  <c r="T1120" i="1"/>
  <c r="Z1120" i="1"/>
  <c r="AL1120" i="1"/>
  <c r="A1121" i="1"/>
  <c r="B1121" i="1"/>
  <c r="C1121" i="1"/>
  <c r="G1121" i="1"/>
  <c r="H1121" i="1"/>
  <c r="I1121" i="1"/>
  <c r="J1121" i="1"/>
  <c r="K1121" i="1"/>
  <c r="M1121" i="1"/>
  <c r="N1121" i="1"/>
  <c r="P1121" i="1"/>
  <c r="Q1121" i="1"/>
  <c r="R1121" i="1"/>
  <c r="S1121" i="1"/>
  <c r="T1121" i="1"/>
  <c r="Z1121" i="1"/>
  <c r="AL1121" i="1"/>
  <c r="A1122" i="1"/>
  <c r="B1122" i="1"/>
  <c r="C1122" i="1"/>
  <c r="G1122" i="1"/>
  <c r="H1122" i="1"/>
  <c r="I1122" i="1"/>
  <c r="J1122" i="1"/>
  <c r="K1122" i="1"/>
  <c r="P1122" i="1"/>
  <c r="Q1122" i="1"/>
  <c r="R1122" i="1"/>
  <c r="S1122" i="1"/>
  <c r="T1122" i="1"/>
  <c r="Z1122" i="1"/>
  <c r="AL1122" i="1"/>
  <c r="A1123" i="1"/>
  <c r="B1123" i="1"/>
  <c r="C1123" i="1"/>
  <c r="G1123" i="1"/>
  <c r="H1123" i="1"/>
  <c r="I1123" i="1"/>
  <c r="J1123" i="1"/>
  <c r="K1123" i="1"/>
  <c r="M1123" i="1"/>
  <c r="N1123" i="1"/>
  <c r="P1123" i="1"/>
  <c r="Q1123" i="1"/>
  <c r="R1123" i="1"/>
  <c r="S1123" i="1"/>
  <c r="T1123" i="1"/>
  <c r="Z1123" i="1"/>
  <c r="AL1123" i="1"/>
  <c r="A1124" i="1"/>
  <c r="B1124" i="1"/>
  <c r="C1124" i="1"/>
  <c r="G1124" i="1"/>
  <c r="H1124" i="1"/>
  <c r="I1124" i="1"/>
  <c r="J1124" i="1"/>
  <c r="K1124" i="1"/>
  <c r="M1124" i="1"/>
  <c r="N1124" i="1"/>
  <c r="P1124" i="1"/>
  <c r="Q1124" i="1"/>
  <c r="R1124" i="1"/>
  <c r="S1124" i="1"/>
  <c r="T1124" i="1"/>
  <c r="Z1124" i="1"/>
  <c r="AL1124" i="1"/>
  <c r="A1125" i="1"/>
  <c r="B1125" i="1"/>
  <c r="C1125" i="1"/>
  <c r="G1125" i="1"/>
  <c r="H1125" i="1"/>
  <c r="I1125" i="1"/>
  <c r="J1125" i="1"/>
  <c r="K1125" i="1"/>
  <c r="M1125" i="1"/>
  <c r="N1125" i="1"/>
  <c r="P1125" i="1"/>
  <c r="Q1125" i="1"/>
  <c r="R1125" i="1"/>
  <c r="S1125" i="1"/>
  <c r="T1125" i="1"/>
  <c r="Z1125" i="1"/>
  <c r="AL1125" i="1"/>
  <c r="A1126" i="1"/>
  <c r="B1126" i="1"/>
  <c r="C1126" i="1"/>
  <c r="G1126" i="1"/>
  <c r="H1126" i="1"/>
  <c r="I1126" i="1"/>
  <c r="J1126" i="1"/>
  <c r="K1126" i="1"/>
  <c r="M1126" i="1"/>
  <c r="N1126" i="1"/>
  <c r="P1126" i="1"/>
  <c r="Q1126" i="1"/>
  <c r="R1126" i="1"/>
  <c r="S1126" i="1"/>
  <c r="T1126" i="1"/>
  <c r="Z1126" i="1"/>
  <c r="AL1126" i="1"/>
  <c r="A1127" i="1"/>
  <c r="B1127" i="1"/>
  <c r="C1127" i="1"/>
  <c r="G1127" i="1"/>
  <c r="H1127" i="1"/>
  <c r="I1127" i="1"/>
  <c r="J1127" i="1"/>
  <c r="K1127" i="1"/>
  <c r="M1127" i="1"/>
  <c r="N1127" i="1"/>
  <c r="P1127" i="1"/>
  <c r="Q1127" i="1"/>
  <c r="R1127" i="1"/>
  <c r="S1127" i="1"/>
  <c r="T1127" i="1"/>
  <c r="Z1127" i="1"/>
  <c r="AL1127" i="1"/>
  <c r="A1128" i="1"/>
  <c r="B1128" i="1"/>
  <c r="C1128" i="1"/>
  <c r="G1128" i="1"/>
  <c r="H1128" i="1"/>
  <c r="I1128" i="1"/>
  <c r="J1128" i="1"/>
  <c r="K1128" i="1"/>
  <c r="M1128" i="1"/>
  <c r="N1128" i="1"/>
  <c r="P1128" i="1"/>
  <c r="Q1128" i="1"/>
  <c r="R1128" i="1"/>
  <c r="S1128" i="1"/>
  <c r="T1128" i="1"/>
  <c r="Z1128" i="1"/>
  <c r="AL1128" i="1"/>
  <c r="A1129" i="1"/>
  <c r="B1129" i="1"/>
  <c r="C1129" i="1"/>
  <c r="G1129" i="1"/>
  <c r="H1129" i="1"/>
  <c r="I1129" i="1"/>
  <c r="J1129" i="1"/>
  <c r="K1129" i="1"/>
  <c r="M1129" i="1"/>
  <c r="N1129" i="1"/>
  <c r="P1129" i="1"/>
  <c r="Q1129" i="1"/>
  <c r="R1129" i="1"/>
  <c r="S1129" i="1"/>
  <c r="T1129" i="1"/>
  <c r="Z1129" i="1"/>
  <c r="AL1129" i="1"/>
  <c r="A1130" i="1"/>
  <c r="B1130" i="1"/>
  <c r="C1130" i="1"/>
  <c r="G1130" i="1"/>
  <c r="H1130" i="1"/>
  <c r="I1130" i="1"/>
  <c r="J1130" i="1"/>
  <c r="K1130" i="1"/>
  <c r="M1130" i="1"/>
  <c r="N1130" i="1"/>
  <c r="P1130" i="1"/>
  <c r="Q1130" i="1"/>
  <c r="R1130" i="1"/>
  <c r="S1130" i="1"/>
  <c r="T1130" i="1"/>
  <c r="Z1130" i="1"/>
  <c r="AL1130" i="1"/>
  <c r="A1131" i="1"/>
  <c r="B1131" i="1"/>
  <c r="C1131" i="1"/>
  <c r="G1131" i="1"/>
  <c r="H1131" i="1"/>
  <c r="I1131" i="1"/>
  <c r="J1131" i="1"/>
  <c r="K1131" i="1"/>
  <c r="M1131" i="1"/>
  <c r="N1131" i="1"/>
  <c r="P1131" i="1"/>
  <c r="Q1131" i="1"/>
  <c r="R1131" i="1"/>
  <c r="S1131" i="1"/>
  <c r="T1131" i="1"/>
  <c r="Z1131" i="1"/>
  <c r="AL1131" i="1"/>
  <c r="A1132" i="1"/>
  <c r="B1132" i="1"/>
  <c r="C1132" i="1"/>
  <c r="G1132" i="1"/>
  <c r="H1132" i="1"/>
  <c r="J1132" i="1"/>
  <c r="K1132" i="1"/>
  <c r="P1132" i="1"/>
  <c r="Q1132" i="1"/>
  <c r="R1132" i="1"/>
  <c r="T1132" i="1"/>
  <c r="Z1132" i="1"/>
  <c r="AL1132" i="1"/>
  <c r="A1133" i="1"/>
  <c r="B1133" i="1"/>
  <c r="C1133" i="1"/>
  <c r="G1133" i="1"/>
  <c r="H1133" i="1"/>
  <c r="I1133" i="1"/>
  <c r="J1133" i="1"/>
  <c r="K1133" i="1"/>
  <c r="M1133" i="1"/>
  <c r="N1133" i="1"/>
  <c r="P1133" i="1"/>
  <c r="Q1133" i="1"/>
  <c r="R1133" i="1"/>
  <c r="S1133" i="1"/>
  <c r="T1133" i="1"/>
  <c r="Z1133" i="1"/>
  <c r="AL1133" i="1"/>
  <c r="A1134" i="1"/>
  <c r="B1134" i="1"/>
  <c r="C1134" i="1"/>
  <c r="G1134" i="1"/>
  <c r="H1134" i="1"/>
  <c r="I1134" i="1"/>
  <c r="J1134" i="1"/>
  <c r="K1134" i="1"/>
  <c r="M1134" i="1"/>
  <c r="N1134" i="1"/>
  <c r="P1134" i="1"/>
  <c r="Q1134" i="1"/>
  <c r="R1134" i="1"/>
  <c r="S1134" i="1"/>
  <c r="T1134" i="1"/>
  <c r="Z1134" i="1"/>
  <c r="AL1134" i="1"/>
  <c r="A1135" i="1"/>
  <c r="B1135" i="1"/>
  <c r="C1135" i="1"/>
  <c r="G1135" i="1"/>
  <c r="H1135" i="1"/>
  <c r="J1135" i="1"/>
  <c r="K1135" i="1"/>
  <c r="M1135" i="1"/>
  <c r="N1135" i="1"/>
  <c r="P1135" i="1"/>
  <c r="Q1135" i="1"/>
  <c r="R1135" i="1"/>
  <c r="T1135" i="1"/>
  <c r="Z1135" i="1"/>
  <c r="AL1135" i="1"/>
  <c r="A1136" i="1"/>
  <c r="B1136" i="1"/>
  <c r="C1136" i="1"/>
  <c r="G1136" i="1"/>
  <c r="H1136" i="1"/>
  <c r="I1136" i="1"/>
  <c r="J1136" i="1"/>
  <c r="K1136" i="1"/>
  <c r="M1136" i="1"/>
  <c r="N1136" i="1"/>
  <c r="P1136" i="1"/>
  <c r="Q1136" i="1"/>
  <c r="R1136" i="1"/>
  <c r="S1136" i="1"/>
  <c r="T1136" i="1"/>
  <c r="Z1136" i="1"/>
  <c r="AL1136" i="1"/>
  <c r="A1137" i="1"/>
  <c r="B1137" i="1"/>
  <c r="C1137" i="1"/>
  <c r="G1137" i="1"/>
  <c r="H1137" i="1"/>
  <c r="I1137" i="1"/>
  <c r="J1137" i="1"/>
  <c r="K1137" i="1"/>
  <c r="M1137" i="1"/>
  <c r="N1137" i="1"/>
  <c r="P1137" i="1"/>
  <c r="Q1137" i="1"/>
  <c r="R1137" i="1"/>
  <c r="S1137" i="1"/>
  <c r="T1137" i="1"/>
  <c r="Z1137" i="1"/>
  <c r="AL1137" i="1"/>
  <c r="A1138" i="1"/>
  <c r="B1138" i="1"/>
  <c r="C1138" i="1"/>
  <c r="G1138" i="1"/>
  <c r="H1138" i="1"/>
  <c r="I1138" i="1"/>
  <c r="J1138" i="1"/>
  <c r="K1138" i="1"/>
  <c r="P1138" i="1"/>
  <c r="Q1138" i="1"/>
  <c r="R1138" i="1"/>
  <c r="S1138" i="1"/>
  <c r="T1138" i="1"/>
  <c r="Z1138" i="1"/>
  <c r="AL1138" i="1"/>
  <c r="A1139" i="1"/>
  <c r="B1139" i="1"/>
  <c r="C1139" i="1"/>
  <c r="G1139" i="1"/>
  <c r="H1139" i="1"/>
  <c r="I1139" i="1"/>
  <c r="J1139" i="1"/>
  <c r="K1139" i="1"/>
  <c r="M1139" i="1"/>
  <c r="N1139" i="1"/>
  <c r="P1139" i="1"/>
  <c r="Q1139" i="1"/>
  <c r="R1139" i="1"/>
  <c r="S1139" i="1"/>
  <c r="T1139" i="1"/>
  <c r="Z1139" i="1"/>
  <c r="AL1139" i="1"/>
  <c r="A1140" i="1"/>
  <c r="B1140" i="1"/>
  <c r="C1140" i="1"/>
  <c r="G1140" i="1"/>
  <c r="H1140" i="1"/>
  <c r="I1140" i="1"/>
  <c r="J1140" i="1"/>
  <c r="K1140" i="1"/>
  <c r="M1140" i="1"/>
  <c r="N1140" i="1"/>
  <c r="P1140" i="1"/>
  <c r="Q1140" i="1"/>
  <c r="R1140" i="1"/>
  <c r="S1140" i="1"/>
  <c r="T1140" i="1"/>
  <c r="Z1140" i="1"/>
  <c r="AL1140" i="1"/>
  <c r="A1141" i="1"/>
  <c r="B1141" i="1"/>
  <c r="C1141" i="1"/>
  <c r="G1141" i="1"/>
  <c r="H1141" i="1"/>
  <c r="I1141" i="1"/>
  <c r="J1141" i="1"/>
  <c r="K1141" i="1"/>
  <c r="M1141" i="1"/>
  <c r="N1141" i="1"/>
  <c r="P1141" i="1"/>
  <c r="Q1141" i="1"/>
  <c r="R1141" i="1"/>
  <c r="S1141" i="1"/>
  <c r="T1141" i="1"/>
  <c r="Z1141" i="1"/>
  <c r="AL1141" i="1"/>
  <c r="A1142" i="1"/>
  <c r="B1142" i="1"/>
  <c r="C1142" i="1"/>
  <c r="G1142" i="1"/>
  <c r="H1142" i="1"/>
  <c r="I1142" i="1"/>
  <c r="J1142" i="1"/>
  <c r="K1142" i="1"/>
  <c r="M1142" i="1"/>
  <c r="N1142" i="1"/>
  <c r="P1142" i="1"/>
  <c r="Q1142" i="1"/>
  <c r="R1142" i="1"/>
  <c r="S1142" i="1"/>
  <c r="T1142" i="1"/>
  <c r="Z1142" i="1"/>
  <c r="AL1142" i="1"/>
  <c r="A1143" i="1"/>
  <c r="B1143" i="1"/>
  <c r="C1143" i="1"/>
  <c r="G1143" i="1"/>
  <c r="H1143" i="1"/>
  <c r="I1143" i="1"/>
  <c r="J1143" i="1"/>
  <c r="K1143" i="1"/>
  <c r="M1143" i="1"/>
  <c r="N1143" i="1"/>
  <c r="P1143" i="1"/>
  <c r="Q1143" i="1"/>
  <c r="R1143" i="1"/>
  <c r="S1143" i="1"/>
  <c r="T1143" i="1"/>
  <c r="Z1143" i="1"/>
  <c r="AL1143" i="1"/>
  <c r="A1144" i="1"/>
  <c r="B1144" i="1"/>
  <c r="C1144" i="1"/>
  <c r="G1144" i="1"/>
  <c r="H1144" i="1"/>
  <c r="I1144" i="1"/>
  <c r="J1144" i="1"/>
  <c r="K1144" i="1"/>
  <c r="M1144" i="1"/>
  <c r="N1144" i="1"/>
  <c r="P1144" i="1"/>
  <c r="Q1144" i="1"/>
  <c r="R1144" i="1"/>
  <c r="S1144" i="1"/>
  <c r="T1144" i="1"/>
  <c r="Z1144" i="1"/>
  <c r="AL1144" i="1"/>
  <c r="A1145" i="1"/>
  <c r="B1145" i="1"/>
  <c r="C1145" i="1"/>
  <c r="G1145" i="1"/>
  <c r="H1145" i="1"/>
  <c r="I1145" i="1"/>
  <c r="J1145" i="1"/>
  <c r="K1145" i="1"/>
  <c r="M1145" i="1"/>
  <c r="N1145" i="1"/>
  <c r="P1145" i="1"/>
  <c r="Q1145" i="1"/>
  <c r="R1145" i="1"/>
  <c r="S1145" i="1"/>
  <c r="T1145" i="1"/>
  <c r="Z1145" i="1"/>
  <c r="AL1145" i="1"/>
  <c r="A1146" i="1"/>
  <c r="B1146" i="1"/>
  <c r="C1146" i="1"/>
  <c r="G1146" i="1"/>
  <c r="H1146" i="1"/>
  <c r="I1146" i="1"/>
  <c r="J1146" i="1"/>
  <c r="K1146" i="1"/>
  <c r="M1146" i="1"/>
  <c r="N1146" i="1"/>
  <c r="P1146" i="1"/>
  <c r="Q1146" i="1"/>
  <c r="R1146" i="1"/>
  <c r="S1146" i="1"/>
  <c r="T1146" i="1"/>
  <c r="Z1146" i="1"/>
  <c r="AL1146" i="1"/>
  <c r="A1147" i="1"/>
  <c r="B1147" i="1"/>
  <c r="C1147" i="1"/>
  <c r="G1147" i="1"/>
  <c r="H1147" i="1"/>
  <c r="I1147" i="1"/>
  <c r="J1147" i="1"/>
  <c r="K1147" i="1"/>
  <c r="M1147" i="1"/>
  <c r="N1147" i="1"/>
  <c r="P1147" i="1"/>
  <c r="Q1147" i="1"/>
  <c r="R1147" i="1"/>
  <c r="S1147" i="1"/>
  <c r="T1147" i="1"/>
  <c r="Z1147" i="1"/>
  <c r="AL1147" i="1"/>
  <c r="A1148" i="1"/>
  <c r="B1148" i="1"/>
  <c r="C1148" i="1"/>
  <c r="G1148" i="1"/>
  <c r="H1148" i="1"/>
  <c r="I1148" i="1"/>
  <c r="J1148" i="1"/>
  <c r="K1148" i="1"/>
  <c r="M1148" i="1"/>
  <c r="N1148" i="1"/>
  <c r="P1148" i="1"/>
  <c r="Q1148" i="1"/>
  <c r="R1148" i="1"/>
  <c r="S1148" i="1"/>
  <c r="T1148" i="1"/>
  <c r="Z1148" i="1"/>
  <c r="AL1148" i="1"/>
  <c r="A1149" i="1"/>
  <c r="B1149" i="1"/>
  <c r="C1149" i="1"/>
  <c r="G1149" i="1"/>
  <c r="H1149" i="1"/>
  <c r="I1149" i="1"/>
  <c r="J1149" i="1"/>
  <c r="K1149" i="1"/>
  <c r="M1149" i="1"/>
  <c r="N1149" i="1"/>
  <c r="P1149" i="1"/>
  <c r="Q1149" i="1"/>
  <c r="R1149" i="1"/>
  <c r="S1149" i="1"/>
  <c r="T1149" i="1"/>
  <c r="Z1149" i="1"/>
  <c r="AL1149" i="1"/>
  <c r="A1150" i="1"/>
  <c r="B1150" i="1"/>
  <c r="C1150" i="1"/>
  <c r="G1150" i="1"/>
  <c r="H1150" i="1"/>
  <c r="I1150" i="1"/>
  <c r="J1150" i="1"/>
  <c r="K1150" i="1"/>
  <c r="M1150" i="1"/>
  <c r="N1150" i="1"/>
  <c r="P1150" i="1"/>
  <c r="Q1150" i="1"/>
  <c r="R1150" i="1"/>
  <c r="S1150" i="1"/>
  <c r="T1150" i="1"/>
  <c r="Z1150" i="1"/>
  <c r="AL1150" i="1"/>
  <c r="A1151" i="1"/>
  <c r="B1151" i="1"/>
  <c r="C1151" i="1"/>
  <c r="G1151" i="1"/>
  <c r="H1151" i="1"/>
  <c r="I1151" i="1"/>
  <c r="J1151" i="1"/>
  <c r="K1151" i="1"/>
  <c r="M1151" i="1"/>
  <c r="N1151" i="1"/>
  <c r="P1151" i="1"/>
  <c r="Q1151" i="1"/>
  <c r="R1151" i="1"/>
  <c r="S1151" i="1"/>
  <c r="T1151" i="1"/>
  <c r="Z1151" i="1"/>
  <c r="AL1151" i="1"/>
  <c r="A1152" i="1"/>
  <c r="B1152" i="1"/>
  <c r="C1152" i="1"/>
  <c r="G1152" i="1"/>
  <c r="H1152" i="1"/>
  <c r="I1152" i="1"/>
  <c r="J1152" i="1"/>
  <c r="K1152" i="1"/>
  <c r="P1152" i="1"/>
  <c r="Q1152" i="1"/>
  <c r="R1152" i="1"/>
  <c r="S1152" i="1"/>
  <c r="T1152" i="1"/>
  <c r="Z1152" i="1"/>
  <c r="AL1152" i="1"/>
  <c r="A1153" i="1"/>
  <c r="B1153" i="1"/>
  <c r="C1153" i="1"/>
  <c r="G1153" i="1"/>
  <c r="H1153" i="1"/>
  <c r="I1153" i="1"/>
  <c r="J1153" i="1"/>
  <c r="K1153" i="1"/>
  <c r="P1153" i="1"/>
  <c r="Q1153" i="1"/>
  <c r="R1153" i="1"/>
  <c r="S1153" i="1"/>
  <c r="T1153" i="1"/>
  <c r="Z1153" i="1"/>
  <c r="AL1153" i="1"/>
  <c r="A1154" i="1"/>
  <c r="B1154" i="1"/>
  <c r="C1154" i="1"/>
  <c r="G1154" i="1"/>
  <c r="H1154" i="1"/>
  <c r="I1154" i="1"/>
  <c r="J1154" i="1"/>
  <c r="K1154" i="1"/>
  <c r="P1154" i="1"/>
  <c r="Q1154" i="1"/>
  <c r="R1154" i="1"/>
  <c r="S1154" i="1"/>
  <c r="T1154" i="1"/>
  <c r="Z1154" i="1"/>
  <c r="AL1154" i="1"/>
  <c r="A1155" i="1"/>
  <c r="B1155" i="1"/>
  <c r="C1155" i="1"/>
  <c r="G1155" i="1"/>
  <c r="H1155" i="1"/>
  <c r="I1155" i="1"/>
  <c r="J1155" i="1"/>
  <c r="K1155" i="1"/>
  <c r="P1155" i="1"/>
  <c r="Q1155" i="1"/>
  <c r="R1155" i="1"/>
  <c r="S1155" i="1"/>
  <c r="T1155" i="1"/>
  <c r="Z1155" i="1"/>
  <c r="AL1155" i="1"/>
  <c r="A1156" i="1"/>
  <c r="B1156" i="1"/>
  <c r="C1156" i="1"/>
  <c r="G1156" i="1"/>
  <c r="H1156" i="1"/>
  <c r="I1156" i="1"/>
  <c r="J1156" i="1"/>
  <c r="K1156" i="1"/>
  <c r="P1156" i="1"/>
  <c r="Q1156" i="1"/>
  <c r="R1156" i="1"/>
  <c r="S1156" i="1"/>
  <c r="T1156" i="1"/>
  <c r="Z1156" i="1"/>
  <c r="AL1156" i="1"/>
  <c r="A1157" i="1"/>
  <c r="B1157" i="1"/>
  <c r="C1157" i="1"/>
  <c r="G1157" i="1"/>
  <c r="H1157" i="1"/>
  <c r="I1157" i="1"/>
  <c r="J1157" i="1"/>
  <c r="K1157" i="1"/>
  <c r="P1157" i="1"/>
  <c r="Q1157" i="1"/>
  <c r="R1157" i="1"/>
  <c r="S1157" i="1"/>
  <c r="T1157" i="1"/>
  <c r="Z1157" i="1"/>
  <c r="AL1157" i="1"/>
  <c r="A1158" i="1"/>
  <c r="B1158" i="1"/>
  <c r="C1158" i="1"/>
  <c r="G1158" i="1"/>
  <c r="H1158" i="1"/>
  <c r="I1158" i="1"/>
  <c r="J1158" i="1"/>
  <c r="K1158" i="1"/>
  <c r="M1158" i="1"/>
  <c r="N1158" i="1"/>
  <c r="P1158" i="1"/>
  <c r="Q1158" i="1"/>
  <c r="R1158" i="1"/>
  <c r="S1158" i="1"/>
  <c r="T1158" i="1"/>
  <c r="Z1158" i="1"/>
  <c r="AL1158" i="1"/>
  <c r="A1159" i="1"/>
  <c r="B1159" i="1"/>
  <c r="C1159" i="1"/>
  <c r="G1159" i="1"/>
  <c r="H1159" i="1"/>
  <c r="I1159" i="1"/>
  <c r="J1159" i="1"/>
  <c r="K1159" i="1"/>
  <c r="M1159" i="1"/>
  <c r="N1159" i="1"/>
  <c r="P1159" i="1"/>
  <c r="Q1159" i="1"/>
  <c r="R1159" i="1"/>
  <c r="S1159" i="1"/>
  <c r="T1159" i="1"/>
  <c r="Z1159" i="1"/>
  <c r="AL1159" i="1"/>
  <c r="A1160" i="1"/>
  <c r="B1160" i="1"/>
  <c r="C1160" i="1"/>
  <c r="G1160" i="1"/>
  <c r="H1160" i="1"/>
  <c r="I1160" i="1"/>
  <c r="J1160" i="1"/>
  <c r="K1160" i="1"/>
  <c r="M1160" i="1"/>
  <c r="N1160" i="1"/>
  <c r="P1160" i="1"/>
  <c r="Q1160" i="1"/>
  <c r="R1160" i="1"/>
  <c r="S1160" i="1"/>
  <c r="T1160" i="1"/>
  <c r="Z1160" i="1"/>
  <c r="AL1160" i="1"/>
  <c r="A1161" i="1"/>
  <c r="B1161" i="1"/>
  <c r="C1161" i="1"/>
  <c r="G1161" i="1"/>
  <c r="H1161" i="1"/>
  <c r="I1161" i="1"/>
  <c r="J1161" i="1"/>
  <c r="K1161" i="1"/>
  <c r="M1161" i="1"/>
  <c r="N1161" i="1"/>
  <c r="P1161" i="1"/>
  <c r="Q1161" i="1"/>
  <c r="R1161" i="1"/>
  <c r="S1161" i="1"/>
  <c r="T1161" i="1"/>
  <c r="Z1161" i="1"/>
  <c r="AL1161" i="1"/>
  <c r="A1162" i="1"/>
  <c r="B1162" i="1"/>
  <c r="C1162" i="1"/>
  <c r="G1162" i="1"/>
  <c r="H1162" i="1"/>
  <c r="I1162" i="1"/>
  <c r="J1162" i="1"/>
  <c r="K1162" i="1"/>
  <c r="M1162" i="1"/>
  <c r="N1162" i="1"/>
  <c r="P1162" i="1"/>
  <c r="Q1162" i="1"/>
  <c r="R1162" i="1"/>
  <c r="S1162" i="1"/>
  <c r="T1162" i="1"/>
  <c r="Z1162" i="1"/>
  <c r="AL1162" i="1"/>
  <c r="A1163" i="1"/>
  <c r="B1163" i="1"/>
  <c r="C1163" i="1"/>
  <c r="G1163" i="1"/>
  <c r="H1163" i="1"/>
  <c r="I1163" i="1"/>
  <c r="J1163" i="1"/>
  <c r="K1163" i="1"/>
  <c r="M1163" i="1"/>
  <c r="N1163" i="1"/>
  <c r="P1163" i="1"/>
  <c r="Q1163" i="1"/>
  <c r="R1163" i="1"/>
  <c r="S1163" i="1"/>
  <c r="T1163" i="1"/>
  <c r="Z1163" i="1"/>
  <c r="AL1163" i="1"/>
  <c r="A1164" i="1"/>
  <c r="B1164" i="1"/>
  <c r="C1164" i="1"/>
  <c r="G1164" i="1"/>
  <c r="H1164" i="1"/>
  <c r="I1164" i="1"/>
  <c r="J1164" i="1"/>
  <c r="K1164" i="1"/>
  <c r="M1164" i="1"/>
  <c r="N1164" i="1"/>
  <c r="P1164" i="1"/>
  <c r="Q1164" i="1"/>
  <c r="R1164" i="1"/>
  <c r="S1164" i="1"/>
  <c r="T1164" i="1"/>
  <c r="Z1164" i="1"/>
  <c r="AL1164" i="1"/>
  <c r="A1165" i="1"/>
  <c r="B1165" i="1"/>
  <c r="C1165" i="1"/>
  <c r="G1165" i="1"/>
  <c r="H1165" i="1"/>
  <c r="I1165" i="1"/>
  <c r="J1165" i="1"/>
  <c r="K1165" i="1"/>
  <c r="M1165" i="1"/>
  <c r="N1165" i="1"/>
  <c r="P1165" i="1"/>
  <c r="Q1165" i="1"/>
  <c r="R1165" i="1"/>
  <c r="S1165" i="1"/>
  <c r="T1165" i="1"/>
  <c r="Z1165" i="1"/>
  <c r="AL1165" i="1"/>
  <c r="A1166" i="1"/>
  <c r="B1166" i="1"/>
  <c r="C1166" i="1"/>
  <c r="G1166" i="1"/>
  <c r="H1166" i="1"/>
  <c r="I1166" i="1"/>
  <c r="J1166" i="1"/>
  <c r="K1166" i="1"/>
  <c r="M1166" i="1"/>
  <c r="N1166" i="1"/>
  <c r="P1166" i="1"/>
  <c r="Q1166" i="1"/>
  <c r="R1166" i="1"/>
  <c r="S1166" i="1"/>
  <c r="T1166" i="1"/>
  <c r="Z1166" i="1"/>
  <c r="AL1166" i="1"/>
  <c r="A1167" i="1"/>
  <c r="B1167" i="1"/>
  <c r="C1167" i="1"/>
  <c r="G1167" i="1"/>
  <c r="H1167" i="1"/>
  <c r="I1167" i="1"/>
  <c r="J1167" i="1"/>
  <c r="K1167" i="1"/>
  <c r="M1167" i="1"/>
  <c r="N1167" i="1"/>
  <c r="P1167" i="1"/>
  <c r="Q1167" i="1"/>
  <c r="R1167" i="1"/>
  <c r="S1167" i="1"/>
  <c r="T1167" i="1"/>
  <c r="Z1167" i="1"/>
  <c r="AL1167" i="1"/>
  <c r="A1168" i="1"/>
  <c r="B1168" i="1"/>
  <c r="C1168" i="1"/>
  <c r="G1168" i="1"/>
  <c r="H1168" i="1"/>
  <c r="I1168" i="1"/>
  <c r="J1168" i="1"/>
  <c r="K1168" i="1"/>
  <c r="M1168" i="1"/>
  <c r="N1168" i="1"/>
  <c r="P1168" i="1"/>
  <c r="Q1168" i="1"/>
  <c r="R1168" i="1"/>
  <c r="S1168" i="1"/>
  <c r="T1168" i="1"/>
  <c r="Z1168" i="1"/>
  <c r="AL1168" i="1"/>
  <c r="A1169" i="1"/>
  <c r="B1169" i="1"/>
  <c r="C1169" i="1"/>
  <c r="G1169" i="1"/>
  <c r="H1169" i="1"/>
  <c r="I1169" i="1"/>
  <c r="J1169" i="1"/>
  <c r="K1169" i="1"/>
  <c r="M1169" i="1"/>
  <c r="N1169" i="1"/>
  <c r="P1169" i="1"/>
  <c r="Q1169" i="1"/>
  <c r="R1169" i="1"/>
  <c r="S1169" i="1"/>
  <c r="T1169" i="1"/>
  <c r="Z1169" i="1"/>
  <c r="AL1169" i="1"/>
  <c r="A1170" i="1"/>
  <c r="B1170" i="1"/>
  <c r="C1170" i="1"/>
  <c r="G1170" i="1"/>
  <c r="H1170" i="1"/>
  <c r="I1170" i="1"/>
  <c r="J1170" i="1"/>
  <c r="K1170" i="1"/>
  <c r="M1170" i="1"/>
  <c r="N1170" i="1"/>
  <c r="P1170" i="1"/>
  <c r="Q1170" i="1"/>
  <c r="R1170" i="1"/>
  <c r="S1170" i="1"/>
  <c r="T1170" i="1"/>
  <c r="Z1170" i="1"/>
  <c r="AL1170" i="1"/>
  <c r="A1171" i="1"/>
  <c r="B1171" i="1"/>
  <c r="C1171" i="1"/>
  <c r="G1171" i="1"/>
  <c r="H1171" i="1"/>
  <c r="I1171" i="1"/>
  <c r="J1171" i="1"/>
  <c r="K1171" i="1"/>
  <c r="M1171" i="1"/>
  <c r="N1171" i="1"/>
  <c r="P1171" i="1"/>
  <c r="Q1171" i="1"/>
  <c r="R1171" i="1"/>
  <c r="S1171" i="1"/>
  <c r="T1171" i="1"/>
  <c r="Z1171" i="1"/>
  <c r="AL1171" i="1"/>
  <c r="A1172" i="1"/>
  <c r="B1172" i="1"/>
  <c r="C1172" i="1"/>
  <c r="G1172" i="1"/>
  <c r="H1172" i="1"/>
  <c r="I1172" i="1"/>
  <c r="J1172" i="1"/>
  <c r="K1172" i="1"/>
  <c r="M1172" i="1"/>
  <c r="N1172" i="1"/>
  <c r="P1172" i="1"/>
  <c r="Q1172" i="1"/>
  <c r="R1172" i="1"/>
  <c r="S1172" i="1"/>
  <c r="T1172" i="1"/>
  <c r="Z1172" i="1"/>
  <c r="AL1172" i="1"/>
  <c r="A1173" i="1"/>
  <c r="B1173" i="1"/>
  <c r="C1173" i="1"/>
  <c r="G1173" i="1"/>
  <c r="H1173" i="1"/>
  <c r="I1173" i="1"/>
  <c r="J1173" i="1"/>
  <c r="K1173" i="1"/>
  <c r="M1173" i="1"/>
  <c r="N1173" i="1"/>
  <c r="P1173" i="1"/>
  <c r="Q1173" i="1"/>
  <c r="R1173" i="1"/>
  <c r="S1173" i="1"/>
  <c r="T1173" i="1"/>
  <c r="Z1173" i="1"/>
  <c r="AL1173" i="1"/>
  <c r="A1174" i="1"/>
  <c r="B1174" i="1"/>
  <c r="C1174" i="1"/>
  <c r="G1174" i="1"/>
  <c r="H1174" i="1"/>
  <c r="I1174" i="1"/>
  <c r="J1174" i="1"/>
  <c r="K1174" i="1"/>
  <c r="M1174" i="1"/>
  <c r="N1174" i="1"/>
  <c r="P1174" i="1"/>
  <c r="Q1174" i="1"/>
  <c r="R1174" i="1"/>
  <c r="S1174" i="1"/>
  <c r="T1174" i="1"/>
  <c r="Z1174" i="1"/>
  <c r="AL1174" i="1"/>
  <c r="A1175" i="1"/>
  <c r="B1175" i="1"/>
  <c r="C1175" i="1"/>
  <c r="G1175" i="1"/>
  <c r="H1175" i="1"/>
  <c r="I1175" i="1"/>
  <c r="J1175" i="1"/>
  <c r="K1175" i="1"/>
  <c r="M1175" i="1"/>
  <c r="N1175" i="1"/>
  <c r="P1175" i="1"/>
  <c r="Q1175" i="1"/>
  <c r="R1175" i="1"/>
  <c r="S1175" i="1"/>
  <c r="T1175" i="1"/>
  <c r="Z1175" i="1"/>
  <c r="AL1175" i="1"/>
  <c r="A1176" i="1"/>
  <c r="B1176" i="1"/>
  <c r="C1176" i="1"/>
  <c r="G1176" i="1"/>
  <c r="H1176" i="1"/>
  <c r="I1176" i="1"/>
  <c r="J1176" i="1"/>
  <c r="K1176" i="1"/>
  <c r="M1176" i="1"/>
  <c r="N1176" i="1"/>
  <c r="P1176" i="1"/>
  <c r="Q1176" i="1"/>
  <c r="R1176" i="1"/>
  <c r="S1176" i="1"/>
  <c r="T1176" i="1"/>
  <c r="Z1176" i="1"/>
  <c r="AL1176" i="1"/>
  <c r="A1177" i="1"/>
  <c r="B1177" i="1"/>
  <c r="C1177" i="1"/>
  <c r="G1177" i="1"/>
  <c r="H1177" i="1"/>
  <c r="I1177" i="1"/>
  <c r="J1177" i="1"/>
  <c r="K1177" i="1"/>
  <c r="M1177" i="1"/>
  <c r="N1177" i="1"/>
  <c r="P1177" i="1"/>
  <c r="Q1177" i="1"/>
  <c r="R1177" i="1"/>
  <c r="S1177" i="1"/>
  <c r="T1177" i="1"/>
  <c r="Z1177" i="1"/>
  <c r="AL1177" i="1"/>
  <c r="A1178" i="1"/>
  <c r="B1178" i="1"/>
  <c r="C1178" i="1"/>
  <c r="G1178" i="1"/>
  <c r="H1178" i="1"/>
  <c r="I1178" i="1"/>
  <c r="J1178" i="1"/>
  <c r="K1178" i="1"/>
  <c r="M1178" i="1"/>
  <c r="N1178" i="1"/>
  <c r="P1178" i="1"/>
  <c r="Q1178" i="1"/>
  <c r="R1178" i="1"/>
  <c r="S1178" i="1"/>
  <c r="T1178" i="1"/>
  <c r="Z1178" i="1"/>
  <c r="AL1178" i="1"/>
  <c r="A1179" i="1"/>
  <c r="B1179" i="1"/>
  <c r="C1179" i="1"/>
  <c r="G1179" i="1"/>
  <c r="H1179" i="1"/>
  <c r="I1179" i="1"/>
  <c r="J1179" i="1"/>
  <c r="K1179" i="1"/>
  <c r="M1179" i="1"/>
  <c r="N1179" i="1"/>
  <c r="P1179" i="1"/>
  <c r="Q1179" i="1"/>
  <c r="R1179" i="1"/>
  <c r="S1179" i="1"/>
  <c r="T1179" i="1"/>
  <c r="Z1179" i="1"/>
  <c r="AL1179" i="1"/>
  <c r="A1180" i="1"/>
  <c r="B1180" i="1"/>
  <c r="C1180" i="1"/>
  <c r="G1180" i="1"/>
  <c r="H1180" i="1"/>
  <c r="I1180" i="1"/>
  <c r="J1180" i="1"/>
  <c r="K1180" i="1"/>
  <c r="M1180" i="1"/>
  <c r="N1180" i="1"/>
  <c r="P1180" i="1"/>
  <c r="Q1180" i="1"/>
  <c r="R1180" i="1"/>
  <c r="S1180" i="1"/>
  <c r="T1180" i="1"/>
  <c r="Z1180" i="1"/>
  <c r="AL1180" i="1"/>
  <c r="A1181" i="1"/>
  <c r="B1181" i="1"/>
  <c r="C1181" i="1"/>
  <c r="G1181" i="1"/>
  <c r="H1181" i="1"/>
  <c r="I1181" i="1"/>
  <c r="J1181" i="1"/>
  <c r="K1181" i="1"/>
  <c r="M1181" i="1"/>
  <c r="N1181" i="1"/>
  <c r="P1181" i="1"/>
  <c r="Q1181" i="1"/>
  <c r="R1181" i="1"/>
  <c r="S1181" i="1"/>
  <c r="T1181" i="1"/>
  <c r="Z1181" i="1"/>
  <c r="AL1181" i="1"/>
  <c r="A1182" i="1"/>
  <c r="B1182" i="1"/>
  <c r="C1182" i="1"/>
  <c r="G1182" i="1"/>
  <c r="H1182" i="1"/>
  <c r="I1182" i="1"/>
  <c r="J1182" i="1"/>
  <c r="K1182" i="1"/>
  <c r="M1182" i="1"/>
  <c r="N1182" i="1"/>
  <c r="P1182" i="1"/>
  <c r="Q1182" i="1"/>
  <c r="R1182" i="1"/>
  <c r="S1182" i="1"/>
  <c r="T1182" i="1"/>
  <c r="Z1182" i="1"/>
  <c r="AL1182" i="1"/>
  <c r="A1183" i="1"/>
  <c r="B1183" i="1"/>
  <c r="C1183" i="1"/>
  <c r="G1183" i="1"/>
  <c r="H1183" i="1"/>
  <c r="I1183" i="1"/>
  <c r="J1183" i="1"/>
  <c r="K1183" i="1"/>
  <c r="P1183" i="1"/>
  <c r="Q1183" i="1"/>
  <c r="R1183" i="1"/>
  <c r="S1183" i="1"/>
  <c r="T1183" i="1"/>
  <c r="Z1183" i="1"/>
  <c r="AL1183" i="1"/>
  <c r="A1184" i="1"/>
  <c r="B1184" i="1"/>
  <c r="C1184" i="1"/>
  <c r="G1184" i="1"/>
  <c r="H1184" i="1"/>
  <c r="I1184" i="1"/>
  <c r="J1184" i="1"/>
  <c r="K1184" i="1"/>
  <c r="P1184" i="1"/>
  <c r="Q1184" i="1"/>
  <c r="R1184" i="1"/>
  <c r="S1184" i="1"/>
  <c r="T1184" i="1"/>
  <c r="Z1184" i="1"/>
  <c r="AL1184" i="1"/>
  <c r="A1185" i="1"/>
  <c r="B1185" i="1"/>
  <c r="C1185" i="1"/>
  <c r="G1185" i="1"/>
  <c r="H1185" i="1"/>
  <c r="I1185" i="1"/>
  <c r="J1185" i="1"/>
  <c r="K1185" i="1"/>
  <c r="P1185" i="1"/>
  <c r="Q1185" i="1"/>
  <c r="R1185" i="1"/>
  <c r="S1185" i="1"/>
  <c r="T1185" i="1"/>
  <c r="Z1185" i="1"/>
  <c r="AL1185" i="1"/>
  <c r="A1186" i="1"/>
  <c r="B1186" i="1"/>
  <c r="C1186" i="1"/>
  <c r="G1186" i="1"/>
  <c r="H1186" i="1"/>
  <c r="I1186" i="1"/>
  <c r="J1186" i="1"/>
  <c r="K1186" i="1"/>
  <c r="M1186" i="1"/>
  <c r="N1186" i="1"/>
  <c r="P1186" i="1"/>
  <c r="Q1186" i="1"/>
  <c r="R1186" i="1"/>
  <c r="S1186" i="1"/>
  <c r="T1186" i="1"/>
  <c r="Z1186" i="1"/>
  <c r="AL1186" i="1"/>
  <c r="A1187" i="1"/>
  <c r="B1187" i="1"/>
  <c r="C1187" i="1"/>
  <c r="G1187" i="1"/>
  <c r="H1187" i="1"/>
  <c r="I1187" i="1"/>
  <c r="J1187" i="1"/>
  <c r="K1187" i="1"/>
  <c r="M1187" i="1"/>
  <c r="N1187" i="1"/>
  <c r="P1187" i="1"/>
  <c r="Q1187" i="1"/>
  <c r="R1187" i="1"/>
  <c r="S1187" i="1"/>
  <c r="T1187" i="1"/>
  <c r="Z1187" i="1"/>
  <c r="AL1187" i="1"/>
  <c r="A1188" i="1"/>
  <c r="B1188" i="1"/>
  <c r="C1188" i="1"/>
  <c r="G1188" i="1"/>
  <c r="H1188" i="1"/>
  <c r="I1188" i="1"/>
  <c r="J1188" i="1"/>
  <c r="K1188" i="1"/>
  <c r="M1188" i="1"/>
  <c r="N1188" i="1"/>
  <c r="P1188" i="1"/>
  <c r="Q1188" i="1"/>
  <c r="R1188" i="1"/>
  <c r="S1188" i="1"/>
  <c r="T1188" i="1"/>
  <c r="Z1188" i="1"/>
  <c r="AL1188" i="1"/>
  <c r="A1189" i="1"/>
  <c r="B1189" i="1"/>
  <c r="C1189" i="1"/>
  <c r="G1189" i="1"/>
  <c r="H1189" i="1"/>
  <c r="I1189" i="1"/>
  <c r="J1189" i="1"/>
  <c r="K1189" i="1"/>
  <c r="M1189" i="1"/>
  <c r="N1189" i="1"/>
  <c r="P1189" i="1"/>
  <c r="Q1189" i="1"/>
  <c r="R1189" i="1"/>
  <c r="S1189" i="1"/>
  <c r="T1189" i="1"/>
  <c r="Z1189" i="1"/>
  <c r="AL1189" i="1"/>
  <c r="A1190" i="1"/>
  <c r="B1190" i="1"/>
  <c r="C1190" i="1"/>
  <c r="G1190" i="1"/>
  <c r="H1190" i="1"/>
  <c r="I1190" i="1"/>
  <c r="J1190" i="1"/>
  <c r="K1190" i="1"/>
  <c r="M1190" i="1"/>
  <c r="N1190" i="1"/>
  <c r="P1190" i="1"/>
  <c r="Q1190" i="1"/>
  <c r="R1190" i="1"/>
  <c r="S1190" i="1"/>
  <c r="T1190" i="1"/>
  <c r="Z1190" i="1"/>
  <c r="AL1190" i="1"/>
  <c r="A1191" i="1"/>
  <c r="B1191" i="1"/>
  <c r="C1191" i="1"/>
  <c r="G1191" i="1"/>
  <c r="H1191" i="1"/>
  <c r="I1191" i="1"/>
  <c r="J1191" i="1"/>
  <c r="K1191" i="1"/>
  <c r="M1191" i="1"/>
  <c r="N1191" i="1"/>
  <c r="P1191" i="1"/>
  <c r="Q1191" i="1"/>
  <c r="R1191" i="1"/>
  <c r="S1191" i="1"/>
  <c r="T1191" i="1"/>
  <c r="Z1191" i="1"/>
  <c r="AL1191" i="1"/>
  <c r="A1192" i="1"/>
  <c r="B1192" i="1"/>
  <c r="C1192" i="1"/>
  <c r="G1192" i="1"/>
  <c r="H1192" i="1"/>
  <c r="I1192" i="1"/>
  <c r="J1192" i="1"/>
  <c r="K1192" i="1"/>
  <c r="M1192" i="1"/>
  <c r="N1192" i="1"/>
  <c r="P1192" i="1"/>
  <c r="Q1192" i="1"/>
  <c r="R1192" i="1"/>
  <c r="S1192" i="1"/>
  <c r="T1192" i="1"/>
  <c r="Z1192" i="1"/>
  <c r="AL1192" i="1"/>
  <c r="A1193" i="1"/>
  <c r="B1193" i="1"/>
  <c r="C1193" i="1"/>
  <c r="G1193" i="1"/>
  <c r="H1193" i="1"/>
  <c r="I1193" i="1"/>
  <c r="J1193" i="1"/>
  <c r="K1193" i="1"/>
  <c r="M1193" i="1"/>
  <c r="N1193" i="1"/>
  <c r="P1193" i="1"/>
  <c r="Q1193" i="1"/>
  <c r="R1193" i="1"/>
  <c r="S1193" i="1"/>
  <c r="T1193" i="1"/>
  <c r="Z1193" i="1"/>
  <c r="AL1193" i="1"/>
  <c r="A1194" i="1"/>
  <c r="B1194" i="1"/>
  <c r="C1194" i="1"/>
  <c r="G1194" i="1"/>
  <c r="H1194" i="1"/>
  <c r="I1194" i="1"/>
  <c r="J1194" i="1"/>
  <c r="K1194" i="1"/>
  <c r="M1194" i="1"/>
  <c r="N1194" i="1"/>
  <c r="P1194" i="1"/>
  <c r="Q1194" i="1"/>
  <c r="R1194" i="1"/>
  <c r="S1194" i="1"/>
  <c r="T1194" i="1"/>
  <c r="Z1194" i="1"/>
  <c r="AL1194" i="1"/>
  <c r="A1195" i="1"/>
  <c r="B1195" i="1"/>
  <c r="C1195" i="1"/>
  <c r="G1195" i="1"/>
  <c r="H1195" i="1"/>
  <c r="I1195" i="1"/>
  <c r="J1195" i="1"/>
  <c r="K1195" i="1"/>
  <c r="M1195" i="1"/>
  <c r="N1195" i="1"/>
  <c r="P1195" i="1"/>
  <c r="Q1195" i="1"/>
  <c r="R1195" i="1"/>
  <c r="S1195" i="1"/>
  <c r="T1195" i="1"/>
  <c r="Z1195" i="1"/>
  <c r="AL1195" i="1"/>
  <c r="A1196" i="1"/>
  <c r="B1196" i="1"/>
  <c r="C1196" i="1"/>
  <c r="G1196" i="1"/>
  <c r="H1196" i="1"/>
  <c r="I1196" i="1"/>
  <c r="J1196" i="1"/>
  <c r="K1196" i="1"/>
  <c r="M1196" i="1"/>
  <c r="N1196" i="1"/>
  <c r="P1196" i="1"/>
  <c r="Q1196" i="1"/>
  <c r="R1196" i="1"/>
  <c r="S1196" i="1"/>
  <c r="T1196" i="1"/>
  <c r="Z1196" i="1"/>
  <c r="AL1196" i="1"/>
  <c r="A1197" i="1"/>
  <c r="B1197" i="1"/>
  <c r="C1197" i="1"/>
  <c r="G1197" i="1"/>
  <c r="H1197" i="1"/>
  <c r="I1197" i="1"/>
  <c r="J1197" i="1"/>
  <c r="K1197" i="1"/>
  <c r="M1197" i="1"/>
  <c r="N1197" i="1"/>
  <c r="P1197" i="1"/>
  <c r="Q1197" i="1"/>
  <c r="R1197" i="1"/>
  <c r="S1197" i="1"/>
  <c r="T1197" i="1"/>
  <c r="Z1197" i="1"/>
  <c r="AL1197" i="1"/>
  <c r="A1198" i="1"/>
  <c r="B1198" i="1"/>
  <c r="C1198" i="1"/>
  <c r="G1198" i="1"/>
  <c r="H1198" i="1"/>
  <c r="I1198" i="1"/>
  <c r="J1198" i="1"/>
  <c r="K1198" i="1"/>
  <c r="M1198" i="1"/>
  <c r="N1198" i="1"/>
  <c r="P1198" i="1"/>
  <c r="Q1198" i="1"/>
  <c r="R1198" i="1"/>
  <c r="S1198" i="1"/>
  <c r="T1198" i="1"/>
  <c r="Z1198" i="1"/>
  <c r="AL1198" i="1"/>
  <c r="A1199" i="1"/>
  <c r="B1199" i="1"/>
  <c r="C1199" i="1"/>
  <c r="G1199" i="1"/>
  <c r="H1199" i="1"/>
  <c r="I1199" i="1"/>
  <c r="J1199" i="1"/>
  <c r="K1199" i="1"/>
  <c r="M1199" i="1"/>
  <c r="N1199" i="1"/>
  <c r="P1199" i="1"/>
  <c r="Q1199" i="1"/>
  <c r="R1199" i="1"/>
  <c r="S1199" i="1"/>
  <c r="T1199" i="1"/>
  <c r="Z1199" i="1"/>
  <c r="AL1199" i="1"/>
  <c r="A1200" i="1"/>
  <c r="B1200" i="1"/>
  <c r="C1200" i="1"/>
  <c r="G1200" i="1"/>
  <c r="H1200" i="1"/>
  <c r="I1200" i="1"/>
  <c r="J1200" i="1"/>
  <c r="K1200" i="1"/>
  <c r="M1200" i="1"/>
  <c r="N1200" i="1"/>
  <c r="P1200" i="1"/>
  <c r="Q1200" i="1"/>
  <c r="R1200" i="1"/>
  <c r="S1200" i="1"/>
  <c r="T1200" i="1"/>
  <c r="Z1200" i="1"/>
  <c r="AL1200" i="1"/>
  <c r="A1201" i="1"/>
  <c r="B1201" i="1"/>
  <c r="C1201" i="1"/>
  <c r="G1201" i="1"/>
  <c r="H1201" i="1"/>
  <c r="I1201" i="1"/>
  <c r="J1201" i="1"/>
  <c r="K1201" i="1"/>
  <c r="M1201" i="1"/>
  <c r="N1201" i="1"/>
  <c r="P1201" i="1"/>
  <c r="Q1201" i="1"/>
  <c r="R1201" i="1"/>
  <c r="S1201" i="1"/>
  <c r="T1201" i="1"/>
  <c r="Z1201" i="1"/>
  <c r="AL1201" i="1"/>
  <c r="A1202" i="1"/>
  <c r="B1202" i="1"/>
  <c r="C1202" i="1"/>
  <c r="G1202" i="1"/>
  <c r="H1202" i="1"/>
  <c r="I1202" i="1"/>
  <c r="J1202" i="1"/>
  <c r="K1202" i="1"/>
  <c r="M1202" i="1"/>
  <c r="N1202" i="1"/>
  <c r="P1202" i="1"/>
  <c r="Q1202" i="1"/>
  <c r="R1202" i="1"/>
  <c r="S1202" i="1"/>
  <c r="T1202" i="1"/>
  <c r="Z1202" i="1"/>
  <c r="AL1202" i="1"/>
  <c r="A1203" i="1"/>
  <c r="B1203" i="1"/>
  <c r="C1203" i="1"/>
  <c r="G1203" i="1"/>
  <c r="H1203" i="1"/>
  <c r="I1203" i="1"/>
  <c r="J1203" i="1"/>
  <c r="K1203" i="1"/>
  <c r="M1203" i="1"/>
  <c r="N1203" i="1"/>
  <c r="P1203" i="1"/>
  <c r="Q1203" i="1"/>
  <c r="R1203" i="1"/>
  <c r="S1203" i="1"/>
  <c r="T1203" i="1"/>
  <c r="Z1203" i="1"/>
  <c r="AL1203" i="1"/>
  <c r="A1204" i="1"/>
  <c r="B1204" i="1"/>
  <c r="C1204" i="1"/>
  <c r="G1204" i="1"/>
  <c r="H1204" i="1"/>
  <c r="I1204" i="1"/>
  <c r="J1204" i="1"/>
  <c r="K1204" i="1"/>
  <c r="M1204" i="1"/>
  <c r="N1204" i="1"/>
  <c r="P1204" i="1"/>
  <c r="Q1204" i="1"/>
  <c r="R1204" i="1"/>
  <c r="S1204" i="1"/>
  <c r="T1204" i="1"/>
  <c r="Z1204" i="1"/>
  <c r="AL1204" i="1"/>
  <c r="A1205" i="1"/>
  <c r="B1205" i="1"/>
  <c r="C1205" i="1"/>
  <c r="G1205" i="1"/>
  <c r="H1205" i="1"/>
  <c r="I1205" i="1"/>
  <c r="J1205" i="1"/>
  <c r="K1205" i="1"/>
  <c r="M1205" i="1"/>
  <c r="N1205" i="1"/>
  <c r="P1205" i="1"/>
  <c r="Q1205" i="1"/>
  <c r="R1205" i="1"/>
  <c r="S1205" i="1"/>
  <c r="T1205" i="1"/>
  <c r="Z1205" i="1"/>
  <c r="AL1205" i="1"/>
  <c r="A1206" i="1"/>
  <c r="B1206" i="1"/>
  <c r="C1206" i="1"/>
  <c r="G1206" i="1"/>
  <c r="H1206" i="1"/>
  <c r="I1206" i="1"/>
  <c r="J1206" i="1"/>
  <c r="K1206" i="1"/>
  <c r="M1206" i="1"/>
  <c r="N1206" i="1"/>
  <c r="P1206" i="1"/>
  <c r="Q1206" i="1"/>
  <c r="R1206" i="1"/>
  <c r="S1206" i="1"/>
  <c r="T1206" i="1"/>
  <c r="Z1206" i="1"/>
  <c r="AL1206" i="1"/>
  <c r="A1207" i="1"/>
  <c r="B1207" i="1"/>
  <c r="C1207" i="1"/>
  <c r="G1207" i="1"/>
  <c r="H1207" i="1"/>
  <c r="I1207" i="1"/>
  <c r="J1207" i="1"/>
  <c r="K1207" i="1"/>
  <c r="M1207" i="1"/>
  <c r="N1207" i="1"/>
  <c r="P1207" i="1"/>
  <c r="Q1207" i="1"/>
  <c r="R1207" i="1"/>
  <c r="S1207" i="1"/>
  <c r="T1207" i="1"/>
  <c r="Z1207" i="1"/>
  <c r="AL1207" i="1"/>
  <c r="A1208" i="1"/>
  <c r="B1208" i="1"/>
  <c r="C1208" i="1"/>
  <c r="G1208" i="1"/>
  <c r="H1208" i="1"/>
  <c r="I1208" i="1"/>
  <c r="J1208" i="1"/>
  <c r="K1208" i="1"/>
  <c r="M1208" i="1"/>
  <c r="N1208" i="1"/>
  <c r="P1208" i="1"/>
  <c r="Q1208" i="1"/>
  <c r="R1208" i="1"/>
  <c r="S1208" i="1"/>
  <c r="T1208" i="1"/>
  <c r="Z1208" i="1"/>
  <c r="AL1208" i="1"/>
  <c r="A1209" i="1"/>
  <c r="B1209" i="1"/>
  <c r="C1209" i="1"/>
  <c r="G1209" i="1"/>
  <c r="H1209" i="1"/>
  <c r="I1209" i="1"/>
  <c r="J1209" i="1"/>
  <c r="K1209" i="1"/>
  <c r="M1209" i="1"/>
  <c r="N1209" i="1"/>
  <c r="P1209" i="1"/>
  <c r="Q1209" i="1"/>
  <c r="R1209" i="1"/>
  <c r="S1209" i="1"/>
  <c r="T1209" i="1"/>
  <c r="Z1209" i="1"/>
  <c r="AL1209" i="1"/>
  <c r="A1210" i="1"/>
  <c r="B1210" i="1"/>
  <c r="C1210" i="1"/>
  <c r="G1210" i="1"/>
  <c r="H1210" i="1"/>
  <c r="I1210" i="1"/>
  <c r="J1210" i="1"/>
  <c r="K1210" i="1"/>
  <c r="M1210" i="1"/>
  <c r="N1210" i="1"/>
  <c r="P1210" i="1"/>
  <c r="Q1210" i="1"/>
  <c r="R1210" i="1"/>
  <c r="S1210" i="1"/>
  <c r="T1210" i="1"/>
  <c r="Z1210" i="1"/>
  <c r="AL1210" i="1"/>
  <c r="A1211" i="1"/>
  <c r="B1211" i="1"/>
  <c r="C1211" i="1"/>
  <c r="G1211" i="1"/>
  <c r="H1211" i="1"/>
  <c r="I1211" i="1"/>
  <c r="J1211" i="1"/>
  <c r="K1211" i="1"/>
  <c r="M1211" i="1"/>
  <c r="N1211" i="1"/>
  <c r="P1211" i="1"/>
  <c r="Q1211" i="1"/>
  <c r="R1211" i="1"/>
  <c r="S1211" i="1"/>
  <c r="T1211" i="1"/>
  <c r="Z1211" i="1"/>
  <c r="AL1211" i="1"/>
  <c r="A1212" i="1"/>
  <c r="B1212" i="1"/>
  <c r="C1212" i="1"/>
  <c r="G1212" i="1"/>
  <c r="H1212" i="1"/>
  <c r="I1212" i="1"/>
  <c r="J1212" i="1"/>
  <c r="K1212" i="1"/>
  <c r="M1212" i="1"/>
  <c r="N1212" i="1"/>
  <c r="P1212" i="1"/>
  <c r="Q1212" i="1"/>
  <c r="R1212" i="1"/>
  <c r="S1212" i="1"/>
  <c r="T1212" i="1"/>
  <c r="Z1212" i="1"/>
  <c r="AL1212" i="1"/>
  <c r="A1213" i="1"/>
  <c r="B1213" i="1"/>
  <c r="C1213" i="1"/>
  <c r="G1213" i="1"/>
  <c r="H1213" i="1"/>
  <c r="I1213" i="1"/>
  <c r="J1213" i="1"/>
  <c r="K1213" i="1"/>
  <c r="M1213" i="1"/>
  <c r="N1213" i="1"/>
  <c r="P1213" i="1"/>
  <c r="Q1213" i="1"/>
  <c r="R1213" i="1"/>
  <c r="S1213" i="1"/>
  <c r="T1213" i="1"/>
  <c r="Z1213" i="1"/>
  <c r="AL1213" i="1"/>
  <c r="A1214" i="1"/>
  <c r="B1214" i="1"/>
  <c r="C1214" i="1"/>
  <c r="G1214" i="1"/>
  <c r="H1214" i="1"/>
  <c r="I1214" i="1"/>
  <c r="J1214" i="1"/>
  <c r="K1214" i="1"/>
  <c r="M1214" i="1"/>
  <c r="N1214" i="1"/>
  <c r="P1214" i="1"/>
  <c r="Q1214" i="1"/>
  <c r="R1214" i="1"/>
  <c r="S1214" i="1"/>
  <c r="T1214" i="1"/>
  <c r="Z1214" i="1"/>
  <c r="AL1214" i="1"/>
  <c r="A1215" i="1"/>
  <c r="B1215" i="1"/>
  <c r="C1215" i="1"/>
  <c r="G1215" i="1"/>
  <c r="H1215" i="1"/>
  <c r="I1215" i="1"/>
  <c r="J1215" i="1"/>
  <c r="K1215" i="1"/>
  <c r="M1215" i="1"/>
  <c r="N1215" i="1"/>
  <c r="P1215" i="1"/>
  <c r="Q1215" i="1"/>
  <c r="R1215" i="1"/>
  <c r="S1215" i="1"/>
  <c r="T1215" i="1"/>
  <c r="Z1215" i="1"/>
  <c r="AL1215" i="1"/>
  <c r="A1216" i="1"/>
  <c r="B1216" i="1"/>
  <c r="C1216" i="1"/>
  <c r="G1216" i="1"/>
  <c r="H1216" i="1"/>
  <c r="I1216" i="1"/>
  <c r="J1216" i="1"/>
  <c r="K1216" i="1"/>
  <c r="M1216" i="1"/>
  <c r="N1216" i="1"/>
  <c r="P1216" i="1"/>
  <c r="Q1216" i="1"/>
  <c r="R1216" i="1"/>
  <c r="S1216" i="1"/>
  <c r="T1216" i="1"/>
  <c r="Z1216" i="1"/>
  <c r="AL1216" i="1"/>
  <c r="A1217" i="1"/>
  <c r="B1217" i="1"/>
  <c r="C1217" i="1"/>
  <c r="G1217" i="1"/>
  <c r="H1217" i="1"/>
  <c r="I1217" i="1"/>
  <c r="J1217" i="1"/>
  <c r="K1217" i="1"/>
  <c r="M1217" i="1"/>
  <c r="N1217" i="1"/>
  <c r="P1217" i="1"/>
  <c r="Q1217" i="1"/>
  <c r="R1217" i="1"/>
  <c r="S1217" i="1"/>
  <c r="T1217" i="1"/>
  <c r="Z1217" i="1"/>
  <c r="AL1217" i="1"/>
  <c r="A1218" i="1"/>
  <c r="B1218" i="1"/>
  <c r="C1218" i="1"/>
  <c r="G1218" i="1"/>
  <c r="H1218" i="1"/>
  <c r="I1218" i="1"/>
  <c r="J1218" i="1"/>
  <c r="K1218" i="1"/>
  <c r="M1218" i="1"/>
  <c r="N1218" i="1"/>
  <c r="P1218" i="1"/>
  <c r="Q1218" i="1"/>
  <c r="R1218" i="1"/>
  <c r="S1218" i="1"/>
  <c r="T1218" i="1"/>
  <c r="Z1218" i="1"/>
  <c r="AL1218" i="1"/>
  <c r="A1219" i="1"/>
  <c r="B1219" i="1"/>
  <c r="C1219" i="1"/>
  <c r="G1219" i="1"/>
  <c r="H1219" i="1"/>
  <c r="I1219" i="1"/>
  <c r="J1219" i="1"/>
  <c r="K1219" i="1"/>
  <c r="M1219" i="1"/>
  <c r="N1219" i="1"/>
  <c r="P1219" i="1"/>
  <c r="Q1219" i="1"/>
  <c r="R1219" i="1"/>
  <c r="S1219" i="1"/>
  <c r="T1219" i="1"/>
  <c r="Z1219" i="1"/>
  <c r="AL1219" i="1"/>
  <c r="A1220" i="1"/>
  <c r="B1220" i="1"/>
  <c r="C1220" i="1"/>
  <c r="G1220" i="1"/>
  <c r="H1220" i="1"/>
  <c r="I1220" i="1"/>
  <c r="J1220" i="1"/>
  <c r="K1220" i="1"/>
  <c r="P1220" i="1"/>
  <c r="Q1220" i="1"/>
  <c r="R1220" i="1"/>
  <c r="S1220" i="1"/>
  <c r="T1220" i="1"/>
  <c r="Z1220" i="1"/>
  <c r="AL1220" i="1"/>
  <c r="A1221" i="1"/>
  <c r="B1221" i="1"/>
  <c r="C1221" i="1"/>
  <c r="G1221" i="1"/>
  <c r="H1221" i="1"/>
  <c r="I1221" i="1"/>
  <c r="J1221" i="1"/>
  <c r="K1221" i="1"/>
  <c r="M1221" i="1"/>
  <c r="N1221" i="1"/>
  <c r="P1221" i="1"/>
  <c r="Q1221" i="1"/>
  <c r="R1221" i="1"/>
  <c r="S1221" i="1"/>
  <c r="T1221" i="1"/>
  <c r="Z1221" i="1"/>
  <c r="AL1221" i="1"/>
  <c r="A1222" i="1"/>
  <c r="B1222" i="1"/>
  <c r="C1222" i="1"/>
  <c r="G1222" i="1"/>
  <c r="H1222" i="1"/>
  <c r="I1222" i="1"/>
  <c r="J1222" i="1"/>
  <c r="K1222" i="1"/>
  <c r="M1222" i="1"/>
  <c r="N1222" i="1"/>
  <c r="P1222" i="1"/>
  <c r="Q1222" i="1"/>
  <c r="R1222" i="1"/>
  <c r="S1222" i="1"/>
  <c r="T1222" i="1"/>
  <c r="Z1222" i="1"/>
  <c r="AL1222" i="1"/>
  <c r="A1223" i="1"/>
  <c r="B1223" i="1"/>
  <c r="C1223" i="1"/>
  <c r="G1223" i="1"/>
  <c r="H1223" i="1"/>
  <c r="I1223" i="1"/>
  <c r="J1223" i="1"/>
  <c r="K1223" i="1"/>
  <c r="M1223" i="1"/>
  <c r="N1223" i="1"/>
  <c r="P1223" i="1"/>
  <c r="Q1223" i="1"/>
  <c r="R1223" i="1"/>
  <c r="S1223" i="1"/>
  <c r="T1223" i="1"/>
  <c r="Z1223" i="1"/>
  <c r="AL1223" i="1"/>
  <c r="A1224" i="1"/>
  <c r="B1224" i="1"/>
  <c r="C1224" i="1"/>
  <c r="G1224" i="1"/>
  <c r="H1224" i="1"/>
  <c r="I1224" i="1"/>
  <c r="J1224" i="1"/>
  <c r="K1224" i="1"/>
  <c r="M1224" i="1"/>
  <c r="N1224" i="1"/>
  <c r="P1224" i="1"/>
  <c r="Q1224" i="1"/>
  <c r="R1224" i="1"/>
  <c r="S1224" i="1"/>
  <c r="T1224" i="1"/>
  <c r="Z1224" i="1"/>
  <c r="AL1224" i="1"/>
  <c r="A1225" i="1"/>
  <c r="B1225" i="1"/>
  <c r="C1225" i="1"/>
  <c r="G1225" i="1"/>
  <c r="H1225" i="1"/>
  <c r="I1225" i="1"/>
  <c r="J1225" i="1"/>
  <c r="K1225" i="1"/>
  <c r="M1225" i="1"/>
  <c r="N1225" i="1"/>
  <c r="P1225" i="1"/>
  <c r="Q1225" i="1"/>
  <c r="R1225" i="1"/>
  <c r="S1225" i="1"/>
  <c r="T1225" i="1"/>
  <c r="Z1225" i="1"/>
  <c r="AL1225" i="1"/>
  <c r="A1226" i="1"/>
  <c r="B1226" i="1"/>
  <c r="C1226" i="1"/>
  <c r="G1226" i="1"/>
  <c r="H1226" i="1"/>
  <c r="I1226" i="1"/>
  <c r="J1226" i="1"/>
  <c r="K1226" i="1"/>
  <c r="M1226" i="1"/>
  <c r="N1226" i="1"/>
  <c r="P1226" i="1"/>
  <c r="Q1226" i="1"/>
  <c r="R1226" i="1"/>
  <c r="S1226" i="1"/>
  <c r="T1226" i="1"/>
  <c r="Z1226" i="1"/>
  <c r="AL1226" i="1"/>
  <c r="A1227" i="1"/>
  <c r="B1227" i="1"/>
  <c r="C1227" i="1"/>
  <c r="G1227" i="1"/>
  <c r="H1227" i="1"/>
  <c r="I1227" i="1"/>
  <c r="J1227" i="1"/>
  <c r="K1227" i="1"/>
  <c r="M1227" i="1"/>
  <c r="N1227" i="1"/>
  <c r="P1227" i="1"/>
  <c r="Q1227" i="1"/>
  <c r="R1227" i="1"/>
  <c r="S1227" i="1"/>
  <c r="T1227" i="1"/>
  <c r="Z1227" i="1"/>
  <c r="AL1227" i="1"/>
  <c r="A1228" i="1"/>
  <c r="B1228" i="1"/>
  <c r="C1228" i="1"/>
  <c r="G1228" i="1"/>
  <c r="H1228" i="1"/>
  <c r="I1228" i="1"/>
  <c r="J1228" i="1"/>
  <c r="K1228" i="1"/>
  <c r="M1228" i="1"/>
  <c r="N1228" i="1"/>
  <c r="P1228" i="1"/>
  <c r="Q1228" i="1"/>
  <c r="R1228" i="1"/>
  <c r="S1228" i="1"/>
  <c r="T1228" i="1"/>
  <c r="Z1228" i="1"/>
  <c r="AL1228" i="1"/>
  <c r="A1229" i="1"/>
  <c r="B1229" i="1"/>
  <c r="C1229" i="1"/>
  <c r="G1229" i="1"/>
  <c r="H1229" i="1"/>
  <c r="I1229" i="1"/>
  <c r="J1229" i="1"/>
  <c r="K1229" i="1"/>
  <c r="M1229" i="1"/>
  <c r="N1229" i="1"/>
  <c r="P1229" i="1"/>
  <c r="Q1229" i="1"/>
  <c r="R1229" i="1"/>
  <c r="S1229" i="1"/>
  <c r="T1229" i="1"/>
  <c r="Z1229" i="1"/>
  <c r="AL1229" i="1"/>
  <c r="A1230" i="1"/>
  <c r="B1230" i="1"/>
  <c r="C1230" i="1"/>
  <c r="G1230" i="1"/>
  <c r="H1230" i="1"/>
  <c r="I1230" i="1"/>
  <c r="J1230" i="1"/>
  <c r="K1230" i="1"/>
  <c r="M1230" i="1"/>
  <c r="N1230" i="1"/>
  <c r="P1230" i="1"/>
  <c r="Q1230" i="1"/>
  <c r="R1230" i="1"/>
  <c r="S1230" i="1"/>
  <c r="T1230" i="1"/>
  <c r="Z1230" i="1"/>
  <c r="AL1230" i="1"/>
  <c r="A1231" i="1"/>
  <c r="B1231" i="1"/>
  <c r="C1231" i="1"/>
  <c r="G1231" i="1"/>
  <c r="H1231" i="1"/>
  <c r="I1231" i="1"/>
  <c r="J1231" i="1"/>
  <c r="K1231" i="1"/>
  <c r="M1231" i="1"/>
  <c r="N1231" i="1"/>
  <c r="P1231" i="1"/>
  <c r="Q1231" i="1"/>
  <c r="R1231" i="1"/>
  <c r="S1231" i="1"/>
  <c r="T1231" i="1"/>
  <c r="Z1231" i="1"/>
  <c r="AL1231" i="1"/>
  <c r="A1232" i="1"/>
  <c r="B1232" i="1"/>
  <c r="C1232" i="1"/>
  <c r="G1232" i="1"/>
  <c r="H1232" i="1"/>
  <c r="I1232" i="1"/>
  <c r="J1232" i="1"/>
  <c r="K1232" i="1"/>
  <c r="M1232" i="1"/>
  <c r="N1232" i="1"/>
  <c r="P1232" i="1"/>
  <c r="Q1232" i="1"/>
  <c r="R1232" i="1"/>
  <c r="S1232" i="1"/>
  <c r="T1232" i="1"/>
  <c r="Z1232" i="1"/>
  <c r="AL1232" i="1"/>
  <c r="A1233" i="1"/>
  <c r="B1233" i="1"/>
  <c r="C1233" i="1"/>
  <c r="G1233" i="1"/>
  <c r="H1233" i="1"/>
  <c r="I1233" i="1"/>
  <c r="J1233" i="1"/>
  <c r="K1233" i="1"/>
  <c r="M1233" i="1"/>
  <c r="N1233" i="1"/>
  <c r="P1233" i="1"/>
  <c r="Q1233" i="1"/>
  <c r="R1233" i="1"/>
  <c r="S1233" i="1"/>
  <c r="T1233" i="1"/>
  <c r="Z1233" i="1"/>
  <c r="AL1233" i="1"/>
  <c r="A1234" i="1"/>
  <c r="B1234" i="1"/>
  <c r="C1234" i="1"/>
  <c r="G1234" i="1"/>
  <c r="H1234" i="1"/>
  <c r="I1234" i="1"/>
  <c r="J1234" i="1"/>
  <c r="K1234" i="1"/>
  <c r="M1234" i="1"/>
  <c r="N1234" i="1"/>
  <c r="P1234" i="1"/>
  <c r="Q1234" i="1"/>
  <c r="R1234" i="1"/>
  <c r="S1234" i="1"/>
  <c r="T1234" i="1"/>
  <c r="Z1234" i="1"/>
  <c r="AL1234" i="1"/>
  <c r="A1235" i="1"/>
  <c r="B1235" i="1"/>
  <c r="C1235" i="1"/>
  <c r="G1235" i="1"/>
  <c r="H1235" i="1"/>
  <c r="I1235" i="1"/>
  <c r="J1235" i="1"/>
  <c r="K1235" i="1"/>
  <c r="M1235" i="1"/>
  <c r="N1235" i="1"/>
  <c r="P1235" i="1"/>
  <c r="Q1235" i="1"/>
  <c r="R1235" i="1"/>
  <c r="S1235" i="1"/>
  <c r="T1235" i="1"/>
  <c r="Z1235" i="1"/>
  <c r="AL1235" i="1"/>
  <c r="A1236" i="1"/>
  <c r="B1236" i="1"/>
  <c r="C1236" i="1"/>
  <c r="G1236" i="1"/>
  <c r="H1236" i="1"/>
  <c r="I1236" i="1"/>
  <c r="J1236" i="1"/>
  <c r="K1236" i="1"/>
  <c r="M1236" i="1"/>
  <c r="N1236" i="1"/>
  <c r="P1236" i="1"/>
  <c r="Q1236" i="1"/>
  <c r="R1236" i="1"/>
  <c r="S1236" i="1"/>
  <c r="T1236" i="1"/>
  <c r="Z1236" i="1"/>
  <c r="AL1236" i="1"/>
  <c r="A1237" i="1"/>
  <c r="B1237" i="1"/>
  <c r="C1237" i="1"/>
  <c r="G1237" i="1"/>
  <c r="H1237" i="1"/>
  <c r="I1237" i="1"/>
  <c r="J1237" i="1"/>
  <c r="K1237" i="1"/>
  <c r="M1237" i="1"/>
  <c r="N1237" i="1"/>
  <c r="P1237" i="1"/>
  <c r="Q1237" i="1"/>
  <c r="R1237" i="1"/>
  <c r="S1237" i="1"/>
  <c r="T1237" i="1"/>
  <c r="Z1237" i="1"/>
  <c r="AL1237" i="1"/>
  <c r="A1238" i="1"/>
  <c r="B1238" i="1"/>
  <c r="C1238" i="1"/>
  <c r="G1238" i="1"/>
  <c r="H1238" i="1"/>
  <c r="I1238" i="1"/>
  <c r="J1238" i="1"/>
  <c r="K1238" i="1"/>
  <c r="M1238" i="1"/>
  <c r="N1238" i="1"/>
  <c r="P1238" i="1"/>
  <c r="Q1238" i="1"/>
  <c r="R1238" i="1"/>
  <c r="S1238" i="1"/>
  <c r="T1238" i="1"/>
  <c r="Z1238" i="1"/>
  <c r="AL1238" i="1"/>
  <c r="A1239" i="1"/>
  <c r="B1239" i="1"/>
  <c r="C1239" i="1"/>
  <c r="G1239" i="1"/>
  <c r="H1239" i="1"/>
  <c r="I1239" i="1"/>
  <c r="J1239" i="1"/>
  <c r="K1239" i="1"/>
  <c r="M1239" i="1"/>
  <c r="N1239" i="1"/>
  <c r="P1239" i="1"/>
  <c r="Q1239" i="1"/>
  <c r="R1239" i="1"/>
  <c r="S1239" i="1"/>
  <c r="T1239" i="1"/>
  <c r="Z1239" i="1"/>
  <c r="AL1239" i="1"/>
  <c r="A1240" i="1"/>
  <c r="B1240" i="1"/>
  <c r="C1240" i="1"/>
  <c r="G1240" i="1"/>
  <c r="H1240" i="1"/>
  <c r="I1240" i="1"/>
  <c r="J1240" i="1"/>
  <c r="K1240" i="1"/>
  <c r="M1240" i="1"/>
  <c r="N1240" i="1"/>
  <c r="P1240" i="1"/>
  <c r="Q1240" i="1"/>
  <c r="R1240" i="1"/>
  <c r="S1240" i="1"/>
  <c r="T1240" i="1"/>
  <c r="Z1240" i="1"/>
  <c r="AL1240" i="1"/>
  <c r="A1241" i="1"/>
  <c r="B1241" i="1"/>
  <c r="C1241" i="1"/>
  <c r="G1241" i="1"/>
  <c r="H1241" i="1"/>
  <c r="I1241" i="1"/>
  <c r="J1241" i="1"/>
  <c r="K1241" i="1"/>
  <c r="M1241" i="1"/>
  <c r="N1241" i="1"/>
  <c r="P1241" i="1"/>
  <c r="Q1241" i="1"/>
  <c r="R1241" i="1"/>
  <c r="S1241" i="1"/>
  <c r="T1241" i="1"/>
  <c r="Z1241" i="1"/>
  <c r="AL1241" i="1"/>
  <c r="A1242" i="1"/>
  <c r="B1242" i="1"/>
  <c r="C1242" i="1"/>
  <c r="G1242" i="1"/>
  <c r="H1242" i="1"/>
  <c r="I1242" i="1"/>
  <c r="J1242" i="1"/>
  <c r="K1242" i="1"/>
  <c r="M1242" i="1"/>
  <c r="N1242" i="1"/>
  <c r="P1242" i="1"/>
  <c r="Q1242" i="1"/>
  <c r="R1242" i="1"/>
  <c r="S1242" i="1"/>
  <c r="T1242" i="1"/>
  <c r="Z1242" i="1"/>
  <c r="AL1242" i="1"/>
  <c r="A1243" i="1"/>
  <c r="B1243" i="1"/>
  <c r="C1243" i="1"/>
  <c r="G1243" i="1"/>
  <c r="H1243" i="1"/>
  <c r="I1243" i="1"/>
  <c r="J1243" i="1"/>
  <c r="K1243" i="1"/>
  <c r="M1243" i="1"/>
  <c r="N1243" i="1"/>
  <c r="P1243" i="1"/>
  <c r="Q1243" i="1"/>
  <c r="R1243" i="1"/>
  <c r="S1243" i="1"/>
  <c r="T1243" i="1"/>
  <c r="Z1243" i="1"/>
  <c r="AL1243" i="1"/>
  <c r="A1244" i="1"/>
  <c r="B1244" i="1"/>
  <c r="C1244" i="1"/>
  <c r="G1244" i="1"/>
  <c r="H1244" i="1"/>
  <c r="I1244" i="1"/>
  <c r="J1244" i="1"/>
  <c r="K1244" i="1"/>
  <c r="M1244" i="1"/>
  <c r="N1244" i="1"/>
  <c r="P1244" i="1"/>
  <c r="Q1244" i="1"/>
  <c r="R1244" i="1"/>
  <c r="S1244" i="1"/>
  <c r="T1244" i="1"/>
  <c r="Z1244" i="1"/>
  <c r="AL1244" i="1"/>
  <c r="A1245" i="1"/>
  <c r="B1245" i="1"/>
  <c r="C1245" i="1"/>
  <c r="G1245" i="1"/>
  <c r="H1245" i="1"/>
  <c r="I1245" i="1"/>
  <c r="J1245" i="1"/>
  <c r="K1245" i="1"/>
  <c r="M1245" i="1"/>
  <c r="N1245" i="1"/>
  <c r="P1245" i="1"/>
  <c r="Q1245" i="1"/>
  <c r="R1245" i="1"/>
  <c r="S1245" i="1"/>
  <c r="T1245" i="1"/>
  <c r="Z1245" i="1"/>
  <c r="AL1245" i="1"/>
  <c r="A1246" i="1"/>
  <c r="B1246" i="1"/>
  <c r="C1246" i="1"/>
  <c r="G1246" i="1"/>
  <c r="H1246" i="1"/>
  <c r="I1246" i="1"/>
  <c r="J1246" i="1"/>
  <c r="K1246" i="1"/>
  <c r="M1246" i="1"/>
  <c r="N1246" i="1"/>
  <c r="P1246" i="1"/>
  <c r="Q1246" i="1"/>
  <c r="R1246" i="1"/>
  <c r="S1246" i="1"/>
  <c r="T1246" i="1"/>
  <c r="Z1246" i="1"/>
  <c r="AL1246" i="1"/>
  <c r="A1247" i="1"/>
  <c r="B1247" i="1"/>
  <c r="C1247" i="1"/>
  <c r="G1247" i="1"/>
  <c r="H1247" i="1"/>
  <c r="I1247" i="1"/>
  <c r="J1247" i="1"/>
  <c r="K1247" i="1"/>
  <c r="M1247" i="1"/>
  <c r="N1247" i="1"/>
  <c r="P1247" i="1"/>
  <c r="Q1247" i="1"/>
  <c r="R1247" i="1"/>
  <c r="S1247" i="1"/>
  <c r="T1247" i="1"/>
  <c r="Z1247" i="1"/>
  <c r="AL1247" i="1"/>
  <c r="A1248" i="1"/>
  <c r="B1248" i="1"/>
  <c r="C1248" i="1"/>
  <c r="G1248" i="1"/>
  <c r="H1248" i="1"/>
  <c r="I1248" i="1"/>
  <c r="J1248" i="1"/>
  <c r="K1248" i="1"/>
  <c r="M1248" i="1"/>
  <c r="N1248" i="1"/>
  <c r="P1248" i="1"/>
  <c r="Q1248" i="1"/>
  <c r="R1248" i="1"/>
  <c r="S1248" i="1"/>
  <c r="T1248" i="1"/>
  <c r="Z1248" i="1"/>
  <c r="AL1248" i="1"/>
  <c r="A1249" i="1"/>
  <c r="B1249" i="1"/>
  <c r="C1249" i="1"/>
  <c r="G1249" i="1"/>
  <c r="H1249" i="1"/>
  <c r="I1249" i="1"/>
  <c r="J1249" i="1"/>
  <c r="K1249" i="1"/>
  <c r="M1249" i="1"/>
  <c r="N1249" i="1"/>
  <c r="P1249" i="1"/>
  <c r="Q1249" i="1"/>
  <c r="R1249" i="1"/>
  <c r="S1249" i="1"/>
  <c r="T1249" i="1"/>
  <c r="Z1249" i="1"/>
  <c r="AL1249" i="1"/>
  <c r="A1250" i="1"/>
  <c r="B1250" i="1"/>
  <c r="C1250" i="1"/>
  <c r="G1250" i="1"/>
  <c r="H1250" i="1"/>
  <c r="I1250" i="1"/>
  <c r="J1250" i="1"/>
  <c r="K1250" i="1"/>
  <c r="M1250" i="1"/>
  <c r="N1250" i="1"/>
  <c r="P1250" i="1"/>
  <c r="Q1250" i="1"/>
  <c r="R1250" i="1"/>
  <c r="S1250" i="1"/>
  <c r="T1250" i="1"/>
  <c r="Z1250" i="1"/>
  <c r="AL1250" i="1"/>
  <c r="A1251" i="1"/>
  <c r="B1251" i="1"/>
  <c r="C1251" i="1"/>
  <c r="G1251" i="1"/>
  <c r="H1251" i="1"/>
  <c r="I1251" i="1"/>
  <c r="J1251" i="1"/>
  <c r="K1251" i="1"/>
  <c r="M1251" i="1"/>
  <c r="N1251" i="1"/>
  <c r="P1251" i="1"/>
  <c r="Q1251" i="1"/>
  <c r="R1251" i="1"/>
  <c r="S1251" i="1"/>
  <c r="T1251" i="1"/>
  <c r="Z1251" i="1"/>
  <c r="AL1251" i="1"/>
  <c r="A1252" i="1"/>
  <c r="B1252" i="1"/>
  <c r="C1252" i="1"/>
  <c r="G1252" i="1"/>
  <c r="H1252" i="1"/>
  <c r="I1252" i="1"/>
  <c r="J1252" i="1"/>
  <c r="K1252" i="1"/>
  <c r="M1252" i="1"/>
  <c r="N1252" i="1"/>
  <c r="P1252" i="1"/>
  <c r="Q1252" i="1"/>
  <c r="R1252" i="1"/>
  <c r="S1252" i="1"/>
  <c r="T1252" i="1"/>
  <c r="Z1252" i="1"/>
  <c r="AL1252" i="1"/>
  <c r="A1253" i="1"/>
  <c r="B1253" i="1"/>
  <c r="C1253" i="1"/>
  <c r="G1253" i="1"/>
  <c r="H1253" i="1"/>
  <c r="I1253" i="1"/>
  <c r="J1253" i="1"/>
  <c r="K1253" i="1"/>
  <c r="M1253" i="1"/>
  <c r="N1253" i="1"/>
  <c r="P1253" i="1"/>
  <c r="Q1253" i="1"/>
  <c r="R1253" i="1"/>
  <c r="S1253" i="1"/>
  <c r="T1253" i="1"/>
  <c r="Z1253" i="1"/>
  <c r="AL1253" i="1"/>
  <c r="A1254" i="1"/>
  <c r="B1254" i="1"/>
  <c r="C1254" i="1"/>
  <c r="G1254" i="1"/>
  <c r="H1254" i="1"/>
  <c r="I1254" i="1"/>
  <c r="J1254" i="1"/>
  <c r="K1254" i="1"/>
  <c r="M1254" i="1"/>
  <c r="N1254" i="1"/>
  <c r="P1254" i="1"/>
  <c r="Q1254" i="1"/>
  <c r="R1254" i="1"/>
  <c r="S1254" i="1"/>
  <c r="T1254" i="1"/>
  <c r="Z1254" i="1"/>
  <c r="AL1254" i="1"/>
  <c r="A1255" i="1"/>
  <c r="B1255" i="1"/>
  <c r="C1255" i="1"/>
  <c r="G1255" i="1"/>
  <c r="H1255" i="1"/>
  <c r="I1255" i="1"/>
  <c r="J1255" i="1"/>
  <c r="K1255" i="1"/>
  <c r="M1255" i="1"/>
  <c r="N1255" i="1"/>
  <c r="P1255" i="1"/>
  <c r="Q1255" i="1"/>
  <c r="R1255" i="1"/>
  <c r="S1255" i="1"/>
  <c r="T1255" i="1"/>
  <c r="Z1255" i="1"/>
  <c r="AL1255" i="1"/>
  <c r="A1256" i="1"/>
  <c r="B1256" i="1"/>
  <c r="C1256" i="1"/>
  <c r="G1256" i="1"/>
  <c r="H1256" i="1"/>
  <c r="I1256" i="1"/>
  <c r="J1256" i="1"/>
  <c r="K1256" i="1"/>
  <c r="P1256" i="1"/>
  <c r="Q1256" i="1"/>
  <c r="R1256" i="1"/>
  <c r="S1256" i="1"/>
  <c r="T1256" i="1"/>
  <c r="Z1256" i="1"/>
  <c r="AL1256" i="1"/>
  <c r="A1257" i="1"/>
  <c r="B1257" i="1"/>
  <c r="C1257" i="1"/>
  <c r="G1257" i="1"/>
  <c r="H1257" i="1"/>
  <c r="I1257" i="1"/>
  <c r="J1257" i="1"/>
  <c r="K1257" i="1"/>
  <c r="M1257" i="1"/>
  <c r="N1257" i="1"/>
  <c r="P1257" i="1"/>
  <c r="Q1257" i="1"/>
  <c r="R1257" i="1"/>
  <c r="S1257" i="1"/>
  <c r="T1257" i="1"/>
  <c r="Z1257" i="1"/>
  <c r="AL1257" i="1"/>
  <c r="A1258" i="1"/>
  <c r="B1258" i="1"/>
  <c r="C1258" i="1"/>
  <c r="G1258" i="1"/>
  <c r="H1258" i="1"/>
  <c r="I1258" i="1"/>
  <c r="J1258" i="1"/>
  <c r="K1258" i="1"/>
  <c r="M1258" i="1"/>
  <c r="N1258" i="1"/>
  <c r="P1258" i="1"/>
  <c r="Q1258" i="1"/>
  <c r="R1258" i="1"/>
  <c r="S1258" i="1"/>
  <c r="T1258" i="1"/>
  <c r="Z1258" i="1"/>
  <c r="AL1258" i="1"/>
  <c r="A1259" i="1"/>
  <c r="B1259" i="1"/>
  <c r="C1259" i="1"/>
  <c r="G1259" i="1"/>
  <c r="H1259" i="1"/>
  <c r="I1259" i="1"/>
  <c r="J1259" i="1"/>
  <c r="K1259" i="1"/>
  <c r="M1259" i="1"/>
  <c r="N1259" i="1"/>
  <c r="P1259" i="1"/>
  <c r="Q1259" i="1"/>
  <c r="R1259" i="1"/>
  <c r="S1259" i="1"/>
  <c r="T1259" i="1"/>
  <c r="Z1259" i="1"/>
  <c r="AL1259" i="1"/>
  <c r="A1260" i="1"/>
  <c r="B1260" i="1"/>
  <c r="C1260" i="1"/>
  <c r="G1260" i="1"/>
  <c r="H1260" i="1"/>
  <c r="I1260" i="1"/>
  <c r="J1260" i="1"/>
  <c r="K1260" i="1"/>
  <c r="P1260" i="1"/>
  <c r="Q1260" i="1"/>
  <c r="R1260" i="1"/>
  <c r="S1260" i="1"/>
  <c r="T1260" i="1"/>
  <c r="Z1260" i="1"/>
  <c r="AL1260" i="1"/>
  <c r="A1261" i="1"/>
  <c r="B1261" i="1"/>
  <c r="C1261" i="1"/>
  <c r="G1261" i="1"/>
  <c r="H1261" i="1"/>
  <c r="I1261" i="1"/>
  <c r="J1261" i="1"/>
  <c r="K1261" i="1"/>
  <c r="P1261" i="1"/>
  <c r="Q1261" i="1"/>
  <c r="R1261" i="1"/>
  <c r="S1261" i="1"/>
  <c r="T1261" i="1"/>
  <c r="Z1261" i="1"/>
  <c r="AL1261" i="1"/>
  <c r="A1262" i="1"/>
  <c r="B1262" i="1"/>
  <c r="C1262" i="1"/>
  <c r="G1262" i="1"/>
  <c r="H1262" i="1"/>
  <c r="I1262" i="1"/>
  <c r="J1262" i="1"/>
  <c r="K1262" i="1"/>
  <c r="M1262" i="1"/>
  <c r="N1262" i="1"/>
  <c r="P1262" i="1"/>
  <c r="Q1262" i="1"/>
  <c r="R1262" i="1"/>
  <c r="S1262" i="1"/>
  <c r="T1262" i="1"/>
  <c r="Z1262" i="1"/>
  <c r="AL1262" i="1"/>
  <c r="A1263" i="1"/>
  <c r="B1263" i="1"/>
  <c r="C1263" i="1"/>
  <c r="G1263" i="1"/>
  <c r="H1263" i="1"/>
  <c r="I1263" i="1"/>
  <c r="J1263" i="1"/>
  <c r="K1263" i="1"/>
  <c r="M1263" i="1"/>
  <c r="N1263" i="1"/>
  <c r="P1263" i="1"/>
  <c r="Q1263" i="1"/>
  <c r="R1263" i="1"/>
  <c r="S1263" i="1"/>
  <c r="T1263" i="1"/>
  <c r="Z1263" i="1"/>
  <c r="AL1263" i="1"/>
  <c r="A1264" i="1"/>
  <c r="B1264" i="1"/>
  <c r="C1264" i="1"/>
  <c r="G1264" i="1"/>
  <c r="H1264" i="1"/>
  <c r="I1264" i="1"/>
  <c r="J1264" i="1"/>
  <c r="K1264" i="1"/>
  <c r="M1264" i="1"/>
  <c r="N1264" i="1"/>
  <c r="P1264" i="1"/>
  <c r="Q1264" i="1"/>
  <c r="R1264" i="1"/>
  <c r="S1264" i="1"/>
  <c r="T1264" i="1"/>
  <c r="Z1264" i="1"/>
  <c r="AL1264" i="1"/>
  <c r="A1265" i="1"/>
  <c r="B1265" i="1"/>
  <c r="C1265" i="1"/>
  <c r="G1265" i="1"/>
  <c r="H1265" i="1"/>
  <c r="I1265" i="1"/>
  <c r="J1265" i="1"/>
  <c r="K1265" i="1"/>
  <c r="P1265" i="1"/>
  <c r="Q1265" i="1"/>
  <c r="R1265" i="1"/>
  <c r="S1265" i="1"/>
  <c r="T1265" i="1"/>
  <c r="Z1265" i="1"/>
  <c r="AL1265" i="1"/>
  <c r="A1266" i="1"/>
  <c r="B1266" i="1"/>
  <c r="C1266" i="1"/>
  <c r="G1266" i="1"/>
  <c r="H1266" i="1"/>
  <c r="I1266" i="1"/>
  <c r="J1266" i="1"/>
  <c r="K1266" i="1"/>
  <c r="M1266" i="1"/>
  <c r="N1266" i="1"/>
  <c r="P1266" i="1"/>
  <c r="Q1266" i="1"/>
  <c r="R1266" i="1"/>
  <c r="S1266" i="1"/>
  <c r="T1266" i="1"/>
  <c r="Z1266" i="1"/>
  <c r="AL1266" i="1"/>
  <c r="A1267" i="1"/>
  <c r="B1267" i="1"/>
  <c r="C1267" i="1"/>
  <c r="G1267" i="1"/>
  <c r="H1267" i="1"/>
  <c r="I1267" i="1"/>
  <c r="J1267" i="1"/>
  <c r="K1267" i="1"/>
  <c r="M1267" i="1"/>
  <c r="N1267" i="1"/>
  <c r="P1267" i="1"/>
  <c r="Q1267" i="1"/>
  <c r="R1267" i="1"/>
  <c r="S1267" i="1"/>
  <c r="T1267" i="1"/>
  <c r="Z1267" i="1"/>
  <c r="AL1267" i="1"/>
  <c r="A1268" i="1"/>
  <c r="B1268" i="1"/>
  <c r="C1268" i="1"/>
  <c r="G1268" i="1"/>
  <c r="H1268" i="1"/>
  <c r="I1268" i="1"/>
  <c r="J1268" i="1"/>
  <c r="K1268" i="1"/>
  <c r="M1268" i="1"/>
  <c r="N1268" i="1"/>
  <c r="P1268" i="1"/>
  <c r="Q1268" i="1"/>
  <c r="R1268" i="1"/>
  <c r="S1268" i="1"/>
  <c r="T1268" i="1"/>
  <c r="Z1268" i="1"/>
  <c r="AL1268" i="1"/>
  <c r="A1269" i="1"/>
  <c r="B1269" i="1"/>
  <c r="C1269" i="1"/>
  <c r="G1269" i="1"/>
  <c r="H1269" i="1"/>
  <c r="I1269" i="1"/>
  <c r="J1269" i="1"/>
  <c r="K1269" i="1"/>
  <c r="M1269" i="1"/>
  <c r="N1269" i="1"/>
  <c r="P1269" i="1"/>
  <c r="Q1269" i="1"/>
  <c r="R1269" i="1"/>
  <c r="S1269" i="1"/>
  <c r="T1269" i="1"/>
  <c r="Z1269" i="1"/>
  <c r="AL1269" i="1"/>
  <c r="A1270" i="1"/>
  <c r="B1270" i="1"/>
  <c r="C1270" i="1"/>
  <c r="G1270" i="1"/>
  <c r="H1270" i="1"/>
  <c r="I1270" i="1"/>
  <c r="J1270" i="1"/>
  <c r="K1270" i="1"/>
  <c r="M1270" i="1"/>
  <c r="N1270" i="1"/>
  <c r="P1270" i="1"/>
  <c r="Q1270" i="1"/>
  <c r="R1270" i="1"/>
  <c r="S1270" i="1"/>
  <c r="T1270" i="1"/>
  <c r="Z1270" i="1"/>
  <c r="AL1270" i="1"/>
  <c r="A1271" i="1"/>
  <c r="B1271" i="1"/>
  <c r="C1271" i="1"/>
  <c r="G1271" i="1"/>
  <c r="H1271" i="1"/>
  <c r="I1271" i="1"/>
  <c r="J1271" i="1"/>
  <c r="K1271" i="1"/>
  <c r="M1271" i="1"/>
  <c r="N1271" i="1"/>
  <c r="P1271" i="1"/>
  <c r="Q1271" i="1"/>
  <c r="R1271" i="1"/>
  <c r="S1271" i="1"/>
  <c r="T1271" i="1"/>
  <c r="Z1271" i="1"/>
  <c r="AL1271" i="1"/>
  <c r="A1272" i="1"/>
  <c r="B1272" i="1"/>
  <c r="C1272" i="1"/>
  <c r="G1272" i="1"/>
  <c r="H1272" i="1"/>
  <c r="I1272" i="1"/>
  <c r="J1272" i="1"/>
  <c r="K1272" i="1"/>
  <c r="M1272" i="1"/>
  <c r="N1272" i="1"/>
  <c r="P1272" i="1"/>
  <c r="Q1272" i="1"/>
  <c r="R1272" i="1"/>
  <c r="S1272" i="1"/>
  <c r="T1272" i="1"/>
  <c r="Z1272" i="1"/>
  <c r="AL1272" i="1"/>
  <c r="A1273" i="1"/>
  <c r="B1273" i="1"/>
  <c r="C1273" i="1"/>
  <c r="G1273" i="1"/>
  <c r="H1273" i="1"/>
  <c r="I1273" i="1"/>
  <c r="J1273" i="1"/>
  <c r="K1273" i="1"/>
  <c r="M1273" i="1"/>
  <c r="N1273" i="1"/>
  <c r="P1273" i="1"/>
  <c r="Q1273" i="1"/>
  <c r="R1273" i="1"/>
  <c r="S1273" i="1"/>
  <c r="T1273" i="1"/>
  <c r="Z1273" i="1"/>
  <c r="AL1273" i="1"/>
  <c r="A1274" i="1"/>
  <c r="B1274" i="1"/>
  <c r="C1274" i="1"/>
  <c r="G1274" i="1"/>
  <c r="H1274" i="1"/>
  <c r="I1274" i="1"/>
  <c r="J1274" i="1"/>
  <c r="K1274" i="1"/>
  <c r="M1274" i="1"/>
  <c r="N1274" i="1"/>
  <c r="P1274" i="1"/>
  <c r="Q1274" i="1"/>
  <c r="R1274" i="1"/>
  <c r="S1274" i="1"/>
  <c r="T1274" i="1"/>
  <c r="Z1274" i="1"/>
  <c r="AL1274" i="1"/>
  <c r="A1275" i="1"/>
  <c r="B1275" i="1"/>
  <c r="C1275" i="1"/>
  <c r="G1275" i="1"/>
  <c r="H1275" i="1"/>
  <c r="I1275" i="1"/>
  <c r="J1275" i="1"/>
  <c r="K1275" i="1"/>
  <c r="M1275" i="1"/>
  <c r="N1275" i="1"/>
  <c r="P1275" i="1"/>
  <c r="Q1275" i="1"/>
  <c r="R1275" i="1"/>
  <c r="S1275" i="1"/>
  <c r="T1275" i="1"/>
  <c r="Z1275" i="1"/>
  <c r="AL1275" i="1"/>
  <c r="A1276" i="1"/>
  <c r="B1276" i="1"/>
  <c r="C1276" i="1"/>
  <c r="G1276" i="1"/>
  <c r="H1276" i="1"/>
  <c r="I1276" i="1"/>
  <c r="J1276" i="1"/>
  <c r="K1276" i="1"/>
  <c r="M1276" i="1"/>
  <c r="N1276" i="1"/>
  <c r="P1276" i="1"/>
  <c r="Q1276" i="1"/>
  <c r="R1276" i="1"/>
  <c r="S1276" i="1"/>
  <c r="T1276" i="1"/>
  <c r="Z1276" i="1"/>
  <c r="AL1276" i="1"/>
  <c r="A1277" i="1"/>
  <c r="B1277" i="1"/>
  <c r="C1277" i="1"/>
  <c r="G1277" i="1"/>
  <c r="H1277" i="1"/>
  <c r="I1277" i="1"/>
  <c r="J1277" i="1"/>
  <c r="K1277" i="1"/>
  <c r="M1277" i="1"/>
  <c r="N1277" i="1"/>
  <c r="P1277" i="1"/>
  <c r="Q1277" i="1"/>
  <c r="R1277" i="1"/>
  <c r="S1277" i="1"/>
  <c r="T1277" i="1"/>
  <c r="Z1277" i="1"/>
  <c r="AL1277" i="1"/>
  <c r="A1278" i="1"/>
  <c r="B1278" i="1"/>
  <c r="C1278" i="1"/>
  <c r="G1278" i="1"/>
  <c r="H1278" i="1"/>
  <c r="I1278" i="1"/>
  <c r="J1278" i="1"/>
  <c r="K1278" i="1"/>
  <c r="M1278" i="1"/>
  <c r="N1278" i="1"/>
  <c r="P1278" i="1"/>
  <c r="Q1278" i="1"/>
  <c r="R1278" i="1"/>
  <c r="S1278" i="1"/>
  <c r="T1278" i="1"/>
  <c r="Z1278" i="1"/>
  <c r="AL1278" i="1"/>
  <c r="A1279" i="1"/>
  <c r="B1279" i="1"/>
  <c r="C1279" i="1"/>
  <c r="G1279" i="1"/>
  <c r="H1279" i="1"/>
  <c r="I1279" i="1"/>
  <c r="J1279" i="1"/>
  <c r="K1279" i="1"/>
  <c r="M1279" i="1"/>
  <c r="N1279" i="1"/>
  <c r="P1279" i="1"/>
  <c r="Q1279" i="1"/>
  <c r="R1279" i="1"/>
  <c r="S1279" i="1"/>
  <c r="T1279" i="1"/>
  <c r="Z1279" i="1"/>
  <c r="AL1279" i="1"/>
  <c r="A1280" i="1"/>
  <c r="B1280" i="1"/>
  <c r="C1280" i="1"/>
  <c r="G1280" i="1"/>
  <c r="H1280" i="1"/>
  <c r="I1280" i="1"/>
  <c r="J1280" i="1"/>
  <c r="K1280" i="1"/>
  <c r="M1280" i="1"/>
  <c r="N1280" i="1"/>
  <c r="P1280" i="1"/>
  <c r="Q1280" i="1"/>
  <c r="R1280" i="1"/>
  <c r="S1280" i="1"/>
  <c r="T1280" i="1"/>
  <c r="Z1280" i="1"/>
  <c r="AL1280" i="1"/>
  <c r="A1281" i="1"/>
  <c r="B1281" i="1"/>
  <c r="C1281" i="1"/>
  <c r="G1281" i="1"/>
  <c r="H1281" i="1"/>
  <c r="I1281" i="1"/>
  <c r="J1281" i="1"/>
  <c r="K1281" i="1"/>
  <c r="M1281" i="1"/>
  <c r="N1281" i="1"/>
  <c r="P1281" i="1"/>
  <c r="Q1281" i="1"/>
  <c r="R1281" i="1"/>
  <c r="S1281" i="1"/>
  <c r="T1281" i="1"/>
  <c r="Z1281" i="1"/>
  <c r="AL1281" i="1"/>
  <c r="A1282" i="1"/>
  <c r="B1282" i="1"/>
  <c r="C1282" i="1"/>
  <c r="G1282" i="1"/>
  <c r="H1282" i="1"/>
  <c r="I1282" i="1"/>
  <c r="J1282" i="1"/>
  <c r="K1282" i="1"/>
  <c r="M1282" i="1"/>
  <c r="N1282" i="1"/>
  <c r="P1282" i="1"/>
  <c r="Q1282" i="1"/>
  <c r="R1282" i="1"/>
  <c r="S1282" i="1"/>
  <c r="T1282" i="1"/>
  <c r="Z1282" i="1"/>
  <c r="AL1282" i="1"/>
  <c r="A1283" i="1"/>
  <c r="B1283" i="1"/>
  <c r="C1283" i="1"/>
  <c r="G1283" i="1"/>
  <c r="H1283" i="1"/>
  <c r="I1283" i="1"/>
  <c r="J1283" i="1"/>
  <c r="K1283" i="1"/>
  <c r="M1283" i="1"/>
  <c r="N1283" i="1"/>
  <c r="P1283" i="1"/>
  <c r="Q1283" i="1"/>
  <c r="R1283" i="1"/>
  <c r="S1283" i="1"/>
  <c r="T1283" i="1"/>
  <c r="Z1283" i="1"/>
  <c r="AL1283" i="1"/>
  <c r="A1284" i="1"/>
  <c r="B1284" i="1"/>
  <c r="C1284" i="1"/>
  <c r="G1284" i="1"/>
  <c r="H1284" i="1"/>
  <c r="I1284" i="1"/>
  <c r="J1284" i="1"/>
  <c r="K1284" i="1"/>
  <c r="M1284" i="1"/>
  <c r="N1284" i="1"/>
  <c r="P1284" i="1"/>
  <c r="Q1284" i="1"/>
  <c r="R1284" i="1"/>
  <c r="S1284" i="1"/>
  <c r="T1284" i="1"/>
  <c r="Z1284" i="1"/>
  <c r="AL1284" i="1"/>
  <c r="A1285" i="1"/>
  <c r="B1285" i="1"/>
  <c r="C1285" i="1"/>
  <c r="G1285" i="1"/>
  <c r="H1285" i="1"/>
  <c r="I1285" i="1"/>
  <c r="J1285" i="1"/>
  <c r="K1285" i="1"/>
  <c r="M1285" i="1"/>
  <c r="N1285" i="1"/>
  <c r="P1285" i="1"/>
  <c r="Q1285" i="1"/>
  <c r="R1285" i="1"/>
  <c r="S1285" i="1"/>
  <c r="T1285" i="1"/>
  <c r="Z1285" i="1"/>
  <c r="AL1285" i="1"/>
  <c r="A1286" i="1"/>
  <c r="B1286" i="1"/>
  <c r="C1286" i="1"/>
  <c r="G1286" i="1"/>
  <c r="H1286" i="1"/>
  <c r="I1286" i="1"/>
  <c r="J1286" i="1"/>
  <c r="K1286" i="1"/>
  <c r="M1286" i="1"/>
  <c r="N1286" i="1"/>
  <c r="P1286" i="1"/>
  <c r="Q1286" i="1"/>
  <c r="R1286" i="1"/>
  <c r="S1286" i="1"/>
  <c r="T1286" i="1"/>
  <c r="Z1286" i="1"/>
  <c r="AL1286" i="1"/>
  <c r="A1287" i="1"/>
  <c r="B1287" i="1"/>
  <c r="C1287" i="1"/>
  <c r="G1287" i="1"/>
  <c r="H1287" i="1"/>
  <c r="I1287" i="1"/>
  <c r="J1287" i="1"/>
  <c r="K1287" i="1"/>
  <c r="M1287" i="1"/>
  <c r="N1287" i="1"/>
  <c r="P1287" i="1"/>
  <c r="Q1287" i="1"/>
  <c r="R1287" i="1"/>
  <c r="S1287" i="1"/>
  <c r="T1287" i="1"/>
  <c r="Z1287" i="1"/>
  <c r="AL1287" i="1"/>
  <c r="A1288" i="1"/>
  <c r="B1288" i="1"/>
  <c r="C1288" i="1"/>
  <c r="G1288" i="1"/>
  <c r="H1288" i="1"/>
  <c r="I1288" i="1"/>
  <c r="J1288" i="1"/>
  <c r="K1288" i="1"/>
  <c r="M1288" i="1"/>
  <c r="N1288" i="1"/>
  <c r="P1288" i="1"/>
  <c r="Q1288" i="1"/>
  <c r="R1288" i="1"/>
  <c r="S1288" i="1"/>
  <c r="T1288" i="1"/>
  <c r="Z1288" i="1"/>
  <c r="AL1288" i="1"/>
  <c r="A1289" i="1"/>
  <c r="B1289" i="1"/>
  <c r="C1289" i="1"/>
  <c r="G1289" i="1"/>
  <c r="H1289" i="1"/>
  <c r="I1289" i="1"/>
  <c r="J1289" i="1"/>
  <c r="K1289" i="1"/>
  <c r="M1289" i="1"/>
  <c r="N1289" i="1"/>
  <c r="P1289" i="1"/>
  <c r="Q1289" i="1"/>
  <c r="R1289" i="1"/>
  <c r="S1289" i="1"/>
  <c r="T1289" i="1"/>
  <c r="Z1289" i="1"/>
  <c r="AL1289" i="1"/>
  <c r="A1290" i="1"/>
  <c r="B1290" i="1"/>
  <c r="C1290" i="1"/>
  <c r="G1290" i="1"/>
  <c r="H1290" i="1"/>
  <c r="I1290" i="1"/>
  <c r="J1290" i="1"/>
  <c r="K1290" i="1"/>
  <c r="M1290" i="1"/>
  <c r="N1290" i="1"/>
  <c r="P1290" i="1"/>
  <c r="Q1290" i="1"/>
  <c r="R1290" i="1"/>
  <c r="S1290" i="1"/>
  <c r="T1290" i="1"/>
  <c r="Z1290" i="1"/>
  <c r="AL1290" i="1"/>
  <c r="A1291" i="1"/>
  <c r="B1291" i="1"/>
  <c r="C1291" i="1"/>
  <c r="G1291" i="1"/>
  <c r="H1291" i="1"/>
  <c r="I1291" i="1"/>
  <c r="J1291" i="1"/>
  <c r="K1291" i="1"/>
  <c r="M1291" i="1"/>
  <c r="N1291" i="1"/>
  <c r="P1291" i="1"/>
  <c r="Q1291" i="1"/>
  <c r="R1291" i="1"/>
  <c r="S1291" i="1"/>
  <c r="T1291" i="1"/>
  <c r="Z1291" i="1"/>
  <c r="AL1291" i="1"/>
  <c r="A1292" i="1"/>
  <c r="B1292" i="1"/>
  <c r="C1292" i="1"/>
  <c r="G1292" i="1"/>
  <c r="H1292" i="1"/>
  <c r="I1292" i="1"/>
  <c r="J1292" i="1"/>
  <c r="K1292" i="1"/>
  <c r="M1292" i="1"/>
  <c r="N1292" i="1"/>
  <c r="P1292" i="1"/>
  <c r="Q1292" i="1"/>
  <c r="R1292" i="1"/>
  <c r="S1292" i="1"/>
  <c r="T1292" i="1"/>
  <c r="Z1292" i="1"/>
  <c r="AL1292" i="1"/>
  <c r="A1293" i="1"/>
  <c r="B1293" i="1"/>
  <c r="C1293" i="1"/>
  <c r="G1293" i="1"/>
  <c r="H1293" i="1"/>
  <c r="I1293" i="1"/>
  <c r="J1293" i="1"/>
  <c r="K1293" i="1"/>
  <c r="M1293" i="1"/>
  <c r="N1293" i="1"/>
  <c r="P1293" i="1"/>
  <c r="Q1293" i="1"/>
  <c r="R1293" i="1"/>
  <c r="S1293" i="1"/>
  <c r="T1293" i="1"/>
  <c r="Z1293" i="1"/>
  <c r="AL1293" i="1"/>
  <c r="A1294" i="1"/>
  <c r="B1294" i="1"/>
  <c r="C1294" i="1"/>
  <c r="G1294" i="1"/>
  <c r="H1294" i="1"/>
  <c r="I1294" i="1"/>
  <c r="J1294" i="1"/>
  <c r="K1294" i="1"/>
  <c r="M1294" i="1"/>
  <c r="N1294" i="1"/>
  <c r="P1294" i="1"/>
  <c r="Q1294" i="1"/>
  <c r="R1294" i="1"/>
  <c r="S1294" i="1"/>
  <c r="T1294" i="1"/>
  <c r="Z1294" i="1"/>
  <c r="AL1294" i="1"/>
  <c r="A1295" i="1"/>
  <c r="B1295" i="1"/>
  <c r="C1295" i="1"/>
  <c r="G1295" i="1"/>
  <c r="H1295" i="1"/>
  <c r="I1295" i="1"/>
  <c r="J1295" i="1"/>
  <c r="K1295" i="1"/>
  <c r="M1295" i="1"/>
  <c r="N1295" i="1"/>
  <c r="P1295" i="1"/>
  <c r="Q1295" i="1"/>
  <c r="R1295" i="1"/>
  <c r="S1295" i="1"/>
  <c r="T1295" i="1"/>
  <c r="Z1295" i="1"/>
  <c r="AL1295" i="1"/>
  <c r="A1296" i="1"/>
  <c r="B1296" i="1"/>
  <c r="C1296" i="1"/>
  <c r="G1296" i="1"/>
  <c r="H1296" i="1"/>
  <c r="I1296" i="1"/>
  <c r="J1296" i="1"/>
  <c r="K1296" i="1"/>
  <c r="M1296" i="1"/>
  <c r="N1296" i="1"/>
  <c r="P1296" i="1"/>
  <c r="Q1296" i="1"/>
  <c r="R1296" i="1"/>
  <c r="S1296" i="1"/>
  <c r="T1296" i="1"/>
  <c r="Z1296" i="1"/>
  <c r="AL1296" i="1"/>
  <c r="A1297" i="1"/>
  <c r="B1297" i="1"/>
  <c r="C1297" i="1"/>
  <c r="G1297" i="1"/>
  <c r="H1297" i="1"/>
  <c r="I1297" i="1"/>
  <c r="J1297" i="1"/>
  <c r="K1297" i="1"/>
  <c r="M1297" i="1"/>
  <c r="N1297" i="1"/>
  <c r="P1297" i="1"/>
  <c r="Q1297" i="1"/>
  <c r="R1297" i="1"/>
  <c r="S1297" i="1"/>
  <c r="T1297" i="1"/>
  <c r="Z1297" i="1"/>
  <c r="AL1297" i="1"/>
  <c r="A1298" i="1"/>
  <c r="B1298" i="1"/>
  <c r="C1298" i="1"/>
  <c r="G1298" i="1"/>
  <c r="H1298" i="1"/>
  <c r="I1298" i="1"/>
  <c r="J1298" i="1"/>
  <c r="K1298" i="1"/>
  <c r="M1298" i="1"/>
  <c r="N1298" i="1"/>
  <c r="P1298" i="1"/>
  <c r="Q1298" i="1"/>
  <c r="R1298" i="1"/>
  <c r="S1298" i="1"/>
  <c r="T1298" i="1"/>
  <c r="Z1298" i="1"/>
  <c r="AL1298" i="1"/>
  <c r="A1299" i="1"/>
  <c r="B1299" i="1"/>
  <c r="C1299" i="1"/>
  <c r="G1299" i="1"/>
  <c r="H1299" i="1"/>
  <c r="I1299" i="1"/>
  <c r="J1299" i="1"/>
  <c r="K1299" i="1"/>
  <c r="P1299" i="1"/>
  <c r="Q1299" i="1"/>
  <c r="R1299" i="1"/>
  <c r="S1299" i="1"/>
  <c r="T1299" i="1"/>
  <c r="Z1299" i="1"/>
  <c r="AL1299" i="1"/>
  <c r="A1300" i="1"/>
  <c r="B1300" i="1"/>
  <c r="C1300" i="1"/>
  <c r="G1300" i="1"/>
  <c r="H1300" i="1"/>
  <c r="I1300" i="1"/>
  <c r="J1300" i="1"/>
  <c r="K1300" i="1"/>
  <c r="M1300" i="1"/>
  <c r="N1300" i="1"/>
  <c r="P1300" i="1"/>
  <c r="Q1300" i="1"/>
  <c r="R1300" i="1"/>
  <c r="S1300" i="1"/>
  <c r="T1300" i="1"/>
  <c r="Z1300" i="1"/>
  <c r="AL1300" i="1"/>
  <c r="A1301" i="1"/>
  <c r="B1301" i="1"/>
  <c r="C1301" i="1"/>
  <c r="G1301" i="1"/>
  <c r="H1301" i="1"/>
  <c r="I1301" i="1"/>
  <c r="J1301" i="1"/>
  <c r="K1301" i="1"/>
  <c r="M1301" i="1"/>
  <c r="N1301" i="1"/>
  <c r="P1301" i="1"/>
  <c r="Q1301" i="1"/>
  <c r="R1301" i="1"/>
  <c r="S1301" i="1"/>
  <c r="T1301" i="1"/>
  <c r="Z1301" i="1"/>
  <c r="AL1301" i="1"/>
  <c r="A1302" i="1"/>
  <c r="B1302" i="1"/>
  <c r="C1302" i="1"/>
  <c r="G1302" i="1"/>
  <c r="H1302" i="1"/>
  <c r="I1302" i="1"/>
  <c r="J1302" i="1"/>
  <c r="K1302" i="1"/>
  <c r="M1302" i="1"/>
  <c r="N1302" i="1"/>
  <c r="P1302" i="1"/>
  <c r="Q1302" i="1"/>
  <c r="R1302" i="1"/>
  <c r="S1302" i="1"/>
  <c r="T1302" i="1"/>
  <c r="Z1302" i="1"/>
  <c r="AL1302" i="1"/>
  <c r="A1303" i="1"/>
  <c r="B1303" i="1"/>
  <c r="C1303" i="1"/>
  <c r="G1303" i="1"/>
  <c r="H1303" i="1"/>
  <c r="I1303" i="1"/>
  <c r="J1303" i="1"/>
  <c r="K1303" i="1"/>
  <c r="M1303" i="1"/>
  <c r="N1303" i="1"/>
  <c r="P1303" i="1"/>
  <c r="Q1303" i="1"/>
  <c r="R1303" i="1"/>
  <c r="S1303" i="1"/>
  <c r="T1303" i="1"/>
  <c r="Z1303" i="1"/>
  <c r="AL1303" i="1"/>
  <c r="A1304" i="1"/>
  <c r="B1304" i="1"/>
  <c r="C1304" i="1"/>
  <c r="G1304" i="1"/>
  <c r="H1304" i="1"/>
  <c r="I1304" i="1"/>
  <c r="J1304" i="1"/>
  <c r="K1304" i="1"/>
  <c r="M1304" i="1"/>
  <c r="N1304" i="1"/>
  <c r="P1304" i="1"/>
  <c r="Q1304" i="1"/>
  <c r="R1304" i="1"/>
  <c r="S1304" i="1"/>
  <c r="T1304" i="1"/>
  <c r="Z1304" i="1"/>
  <c r="AL1304" i="1"/>
  <c r="A1305" i="1"/>
  <c r="B1305" i="1"/>
  <c r="C1305" i="1"/>
  <c r="G1305" i="1"/>
  <c r="H1305" i="1"/>
  <c r="I1305" i="1"/>
  <c r="J1305" i="1"/>
  <c r="K1305" i="1"/>
  <c r="M1305" i="1"/>
  <c r="N1305" i="1"/>
  <c r="P1305" i="1"/>
  <c r="Q1305" i="1"/>
  <c r="R1305" i="1"/>
  <c r="S1305" i="1"/>
  <c r="T1305" i="1"/>
  <c r="Z1305" i="1"/>
  <c r="AL1305" i="1"/>
  <c r="A1306" i="1"/>
  <c r="B1306" i="1"/>
  <c r="C1306" i="1"/>
  <c r="G1306" i="1"/>
  <c r="H1306" i="1"/>
  <c r="I1306" i="1"/>
  <c r="J1306" i="1"/>
  <c r="K1306" i="1"/>
  <c r="M1306" i="1"/>
  <c r="N1306" i="1"/>
  <c r="P1306" i="1"/>
  <c r="Q1306" i="1"/>
  <c r="R1306" i="1"/>
  <c r="S1306" i="1"/>
  <c r="T1306" i="1"/>
  <c r="Z1306" i="1"/>
  <c r="AL1306" i="1"/>
  <c r="A1307" i="1"/>
  <c r="B1307" i="1"/>
  <c r="C1307" i="1"/>
  <c r="G1307" i="1"/>
  <c r="H1307" i="1"/>
  <c r="I1307" i="1"/>
  <c r="J1307" i="1"/>
  <c r="K1307" i="1"/>
  <c r="M1307" i="1"/>
  <c r="N1307" i="1"/>
  <c r="P1307" i="1"/>
  <c r="Q1307" i="1"/>
  <c r="R1307" i="1"/>
  <c r="S1307" i="1"/>
  <c r="T1307" i="1"/>
  <c r="Z1307" i="1"/>
  <c r="AL1307" i="1"/>
  <c r="A1308" i="1"/>
  <c r="B1308" i="1"/>
  <c r="C1308" i="1"/>
  <c r="G1308" i="1"/>
  <c r="H1308" i="1"/>
  <c r="I1308" i="1"/>
  <c r="J1308" i="1"/>
  <c r="K1308" i="1"/>
  <c r="M1308" i="1"/>
  <c r="N1308" i="1"/>
  <c r="P1308" i="1"/>
  <c r="Q1308" i="1"/>
  <c r="R1308" i="1"/>
  <c r="S1308" i="1"/>
  <c r="T1308" i="1"/>
  <c r="Z1308" i="1"/>
  <c r="AL1308" i="1"/>
  <c r="A1309" i="1"/>
  <c r="B1309" i="1"/>
  <c r="C1309" i="1"/>
  <c r="G1309" i="1"/>
  <c r="H1309" i="1"/>
  <c r="I1309" i="1"/>
  <c r="J1309" i="1"/>
  <c r="K1309" i="1"/>
  <c r="M1309" i="1"/>
  <c r="N1309" i="1"/>
  <c r="P1309" i="1"/>
  <c r="Q1309" i="1"/>
  <c r="R1309" i="1"/>
  <c r="S1309" i="1"/>
  <c r="T1309" i="1"/>
  <c r="Z1309" i="1"/>
  <c r="AL1309" i="1"/>
  <c r="A1310" i="1"/>
  <c r="B1310" i="1"/>
  <c r="C1310" i="1"/>
  <c r="G1310" i="1"/>
  <c r="H1310" i="1"/>
  <c r="I1310" i="1"/>
  <c r="J1310" i="1"/>
  <c r="K1310" i="1"/>
  <c r="M1310" i="1"/>
  <c r="N1310" i="1"/>
  <c r="P1310" i="1"/>
  <c r="Q1310" i="1"/>
  <c r="R1310" i="1"/>
  <c r="S1310" i="1"/>
  <c r="T1310" i="1"/>
  <c r="Z1310" i="1"/>
  <c r="AL1310" i="1"/>
  <c r="A1311" i="1"/>
  <c r="B1311" i="1"/>
  <c r="C1311" i="1"/>
  <c r="G1311" i="1"/>
  <c r="H1311" i="1"/>
  <c r="I1311" i="1"/>
  <c r="J1311" i="1"/>
  <c r="K1311" i="1"/>
  <c r="M1311" i="1"/>
  <c r="N1311" i="1"/>
  <c r="P1311" i="1"/>
  <c r="Q1311" i="1"/>
  <c r="R1311" i="1"/>
  <c r="S1311" i="1"/>
  <c r="T1311" i="1"/>
  <c r="Z1311" i="1"/>
  <c r="AL1311" i="1"/>
  <c r="A1312" i="1"/>
  <c r="B1312" i="1"/>
  <c r="C1312" i="1"/>
  <c r="G1312" i="1"/>
  <c r="H1312" i="1"/>
  <c r="I1312" i="1"/>
  <c r="J1312" i="1"/>
  <c r="K1312" i="1"/>
  <c r="M1312" i="1"/>
  <c r="N1312" i="1"/>
  <c r="P1312" i="1"/>
  <c r="Q1312" i="1"/>
  <c r="R1312" i="1"/>
  <c r="S1312" i="1"/>
  <c r="T1312" i="1"/>
  <c r="Z1312" i="1"/>
  <c r="AL1312" i="1"/>
  <c r="A1313" i="1"/>
  <c r="B1313" i="1"/>
  <c r="C1313" i="1"/>
  <c r="G1313" i="1"/>
  <c r="H1313" i="1"/>
  <c r="I1313" i="1"/>
  <c r="J1313" i="1"/>
  <c r="K1313" i="1"/>
  <c r="M1313" i="1"/>
  <c r="N1313" i="1"/>
  <c r="P1313" i="1"/>
  <c r="Q1313" i="1"/>
  <c r="R1313" i="1"/>
  <c r="S1313" i="1"/>
  <c r="T1313" i="1"/>
  <c r="Z1313" i="1"/>
  <c r="AL1313" i="1"/>
  <c r="A1314" i="1"/>
  <c r="B1314" i="1"/>
  <c r="C1314" i="1"/>
  <c r="G1314" i="1"/>
  <c r="H1314" i="1"/>
  <c r="I1314" i="1"/>
  <c r="J1314" i="1"/>
  <c r="K1314" i="1"/>
  <c r="M1314" i="1"/>
  <c r="N1314" i="1"/>
  <c r="P1314" i="1"/>
  <c r="Q1314" i="1"/>
  <c r="R1314" i="1"/>
  <c r="S1314" i="1"/>
  <c r="T1314" i="1"/>
  <c r="Z1314" i="1"/>
  <c r="AL1314" i="1"/>
  <c r="A1315" i="1"/>
  <c r="B1315" i="1"/>
  <c r="C1315" i="1"/>
  <c r="G1315" i="1"/>
  <c r="H1315" i="1"/>
  <c r="I1315" i="1"/>
  <c r="J1315" i="1"/>
  <c r="K1315" i="1"/>
  <c r="M1315" i="1"/>
  <c r="N1315" i="1"/>
  <c r="P1315" i="1"/>
  <c r="Q1315" i="1"/>
  <c r="R1315" i="1"/>
  <c r="S1315" i="1"/>
  <c r="T1315" i="1"/>
  <c r="Z1315" i="1"/>
  <c r="AL1315" i="1"/>
  <c r="A1316" i="1"/>
  <c r="B1316" i="1"/>
  <c r="C1316" i="1"/>
  <c r="G1316" i="1"/>
  <c r="H1316" i="1"/>
  <c r="I1316" i="1"/>
  <c r="J1316" i="1"/>
  <c r="K1316" i="1"/>
  <c r="M1316" i="1"/>
  <c r="N1316" i="1"/>
  <c r="P1316" i="1"/>
  <c r="Q1316" i="1"/>
  <c r="R1316" i="1"/>
  <c r="S1316" i="1"/>
  <c r="T1316" i="1"/>
  <c r="Z1316" i="1"/>
  <c r="AL1316" i="1"/>
  <c r="A1317" i="1"/>
  <c r="B1317" i="1"/>
  <c r="C1317" i="1"/>
  <c r="G1317" i="1"/>
  <c r="H1317" i="1"/>
  <c r="I1317" i="1"/>
  <c r="J1317" i="1"/>
  <c r="K1317" i="1"/>
  <c r="M1317" i="1"/>
  <c r="N1317" i="1"/>
  <c r="P1317" i="1"/>
  <c r="Q1317" i="1"/>
  <c r="R1317" i="1"/>
  <c r="S1317" i="1"/>
  <c r="T1317" i="1"/>
  <c r="Z1317" i="1"/>
  <c r="AL1317" i="1"/>
  <c r="A1318" i="1"/>
  <c r="B1318" i="1"/>
  <c r="C1318" i="1"/>
  <c r="G1318" i="1"/>
  <c r="H1318" i="1"/>
  <c r="I1318" i="1"/>
  <c r="J1318" i="1"/>
  <c r="K1318" i="1"/>
  <c r="M1318" i="1"/>
  <c r="N1318" i="1"/>
  <c r="P1318" i="1"/>
  <c r="Q1318" i="1"/>
  <c r="R1318" i="1"/>
  <c r="S1318" i="1"/>
  <c r="T1318" i="1"/>
  <c r="Z1318" i="1"/>
  <c r="AL1318" i="1"/>
  <c r="A1319" i="1"/>
  <c r="B1319" i="1"/>
  <c r="C1319" i="1"/>
  <c r="G1319" i="1"/>
  <c r="H1319" i="1"/>
  <c r="I1319" i="1"/>
  <c r="J1319" i="1"/>
  <c r="K1319" i="1"/>
  <c r="M1319" i="1"/>
  <c r="N1319" i="1"/>
  <c r="P1319" i="1"/>
  <c r="Q1319" i="1"/>
  <c r="R1319" i="1"/>
  <c r="S1319" i="1"/>
  <c r="T1319" i="1"/>
  <c r="Z1319" i="1"/>
  <c r="AL1319" i="1"/>
  <c r="A1320" i="1"/>
  <c r="B1320" i="1"/>
  <c r="C1320" i="1"/>
  <c r="G1320" i="1"/>
  <c r="H1320" i="1"/>
  <c r="I1320" i="1"/>
  <c r="J1320" i="1"/>
  <c r="K1320" i="1"/>
  <c r="M1320" i="1"/>
  <c r="N1320" i="1"/>
  <c r="P1320" i="1"/>
  <c r="Q1320" i="1"/>
  <c r="R1320" i="1"/>
  <c r="S1320" i="1"/>
  <c r="T1320" i="1"/>
  <c r="Z1320" i="1"/>
  <c r="AL1320" i="1"/>
  <c r="A1321" i="1"/>
  <c r="B1321" i="1"/>
  <c r="C1321" i="1"/>
  <c r="G1321" i="1"/>
  <c r="H1321" i="1"/>
  <c r="I1321" i="1"/>
  <c r="J1321" i="1"/>
  <c r="K1321" i="1"/>
  <c r="M1321" i="1"/>
  <c r="N1321" i="1"/>
  <c r="P1321" i="1"/>
  <c r="Q1321" i="1"/>
  <c r="R1321" i="1"/>
  <c r="S1321" i="1"/>
  <c r="T1321" i="1"/>
  <c r="Z1321" i="1"/>
  <c r="AL1321" i="1"/>
  <c r="A1322" i="1"/>
  <c r="B1322" i="1"/>
  <c r="C1322" i="1"/>
  <c r="G1322" i="1"/>
  <c r="H1322" i="1"/>
  <c r="I1322" i="1"/>
  <c r="J1322" i="1"/>
  <c r="K1322" i="1"/>
  <c r="M1322" i="1"/>
  <c r="N1322" i="1"/>
  <c r="P1322" i="1"/>
  <c r="Q1322" i="1"/>
  <c r="R1322" i="1"/>
  <c r="S1322" i="1"/>
  <c r="T1322" i="1"/>
  <c r="Z1322" i="1"/>
  <c r="AL1322" i="1"/>
  <c r="A1323" i="1"/>
  <c r="B1323" i="1"/>
  <c r="C1323" i="1"/>
  <c r="G1323" i="1"/>
  <c r="H1323" i="1"/>
  <c r="I1323" i="1"/>
  <c r="J1323" i="1"/>
  <c r="K1323" i="1"/>
  <c r="M1323" i="1"/>
  <c r="N1323" i="1"/>
  <c r="P1323" i="1"/>
  <c r="Q1323" i="1"/>
  <c r="R1323" i="1"/>
  <c r="S1323" i="1"/>
  <c r="T1323" i="1"/>
  <c r="Z1323" i="1"/>
  <c r="AL1323" i="1"/>
  <c r="A1324" i="1"/>
  <c r="B1324" i="1"/>
  <c r="C1324" i="1"/>
  <c r="G1324" i="1"/>
  <c r="H1324" i="1"/>
  <c r="I1324" i="1"/>
  <c r="J1324" i="1"/>
  <c r="K1324" i="1"/>
  <c r="M1324" i="1"/>
  <c r="N1324" i="1"/>
  <c r="P1324" i="1"/>
  <c r="Q1324" i="1"/>
  <c r="R1324" i="1"/>
  <c r="S1324" i="1"/>
  <c r="T1324" i="1"/>
  <c r="Z1324" i="1"/>
  <c r="AL1324" i="1"/>
  <c r="A1325" i="1"/>
  <c r="B1325" i="1"/>
  <c r="C1325" i="1"/>
  <c r="G1325" i="1"/>
  <c r="H1325" i="1"/>
  <c r="I1325" i="1"/>
  <c r="J1325" i="1"/>
  <c r="K1325" i="1"/>
  <c r="M1325" i="1"/>
  <c r="N1325" i="1"/>
  <c r="P1325" i="1"/>
  <c r="Q1325" i="1"/>
  <c r="R1325" i="1"/>
  <c r="S1325" i="1"/>
  <c r="T1325" i="1"/>
  <c r="Z1325" i="1"/>
  <c r="AL1325" i="1"/>
  <c r="A1326" i="1"/>
  <c r="B1326" i="1"/>
  <c r="C1326" i="1"/>
  <c r="G1326" i="1"/>
  <c r="H1326" i="1"/>
  <c r="I1326" i="1"/>
  <c r="J1326" i="1"/>
  <c r="K1326" i="1"/>
  <c r="M1326" i="1"/>
  <c r="N1326" i="1"/>
  <c r="P1326" i="1"/>
  <c r="Q1326" i="1"/>
  <c r="R1326" i="1"/>
  <c r="S1326" i="1"/>
  <c r="T1326" i="1"/>
  <c r="Z1326" i="1"/>
  <c r="AL1326" i="1"/>
  <c r="A1327" i="1"/>
  <c r="B1327" i="1"/>
  <c r="C1327" i="1"/>
  <c r="G1327" i="1"/>
  <c r="H1327" i="1"/>
  <c r="I1327" i="1"/>
  <c r="J1327" i="1"/>
  <c r="K1327" i="1"/>
  <c r="M1327" i="1"/>
  <c r="N1327" i="1"/>
  <c r="P1327" i="1"/>
  <c r="Q1327" i="1"/>
  <c r="R1327" i="1"/>
  <c r="S1327" i="1"/>
  <c r="T1327" i="1"/>
  <c r="Z1327" i="1"/>
  <c r="AL1327" i="1"/>
  <c r="A1328" i="1"/>
  <c r="B1328" i="1"/>
  <c r="C1328" i="1"/>
  <c r="G1328" i="1"/>
  <c r="H1328" i="1"/>
  <c r="I1328" i="1"/>
  <c r="J1328" i="1"/>
  <c r="K1328" i="1"/>
  <c r="M1328" i="1"/>
  <c r="N1328" i="1"/>
  <c r="P1328" i="1"/>
  <c r="Q1328" i="1"/>
  <c r="R1328" i="1"/>
  <c r="S1328" i="1"/>
  <c r="T1328" i="1"/>
  <c r="Z1328" i="1"/>
  <c r="AL1328" i="1"/>
  <c r="A1329" i="1"/>
  <c r="B1329" i="1"/>
  <c r="C1329" i="1"/>
  <c r="G1329" i="1"/>
  <c r="H1329" i="1"/>
  <c r="I1329" i="1"/>
  <c r="J1329" i="1"/>
  <c r="K1329" i="1"/>
  <c r="M1329" i="1"/>
  <c r="N1329" i="1"/>
  <c r="P1329" i="1"/>
  <c r="Q1329" i="1"/>
  <c r="R1329" i="1"/>
  <c r="S1329" i="1"/>
  <c r="T1329" i="1"/>
  <c r="Z1329" i="1"/>
  <c r="AL1329" i="1"/>
  <c r="A1330" i="1"/>
  <c r="B1330" i="1"/>
  <c r="C1330" i="1"/>
  <c r="G1330" i="1"/>
  <c r="H1330" i="1"/>
  <c r="I1330" i="1"/>
  <c r="J1330" i="1"/>
  <c r="K1330" i="1"/>
  <c r="M1330" i="1"/>
  <c r="N1330" i="1"/>
  <c r="P1330" i="1"/>
  <c r="Q1330" i="1"/>
  <c r="R1330" i="1"/>
  <c r="S1330" i="1"/>
  <c r="T1330" i="1"/>
  <c r="Z1330" i="1"/>
  <c r="AL1330" i="1"/>
  <c r="A1331" i="1"/>
  <c r="B1331" i="1"/>
  <c r="C1331" i="1"/>
  <c r="G1331" i="1"/>
  <c r="H1331" i="1"/>
  <c r="I1331" i="1"/>
  <c r="J1331" i="1"/>
  <c r="K1331" i="1"/>
  <c r="M1331" i="1"/>
  <c r="N1331" i="1"/>
  <c r="P1331" i="1"/>
  <c r="Q1331" i="1"/>
  <c r="R1331" i="1"/>
  <c r="S1331" i="1"/>
  <c r="T1331" i="1"/>
  <c r="Z1331" i="1"/>
  <c r="AL1331" i="1"/>
  <c r="A1332" i="1"/>
  <c r="B1332" i="1"/>
  <c r="C1332" i="1"/>
  <c r="G1332" i="1"/>
  <c r="H1332" i="1"/>
  <c r="I1332" i="1"/>
  <c r="J1332" i="1"/>
  <c r="K1332" i="1"/>
  <c r="M1332" i="1"/>
  <c r="N1332" i="1"/>
  <c r="P1332" i="1"/>
  <c r="Q1332" i="1"/>
  <c r="R1332" i="1"/>
  <c r="S1332" i="1"/>
  <c r="T1332" i="1"/>
  <c r="Z1332" i="1"/>
  <c r="AL1332" i="1"/>
  <c r="A1333" i="1"/>
  <c r="B1333" i="1"/>
  <c r="C1333" i="1"/>
  <c r="G1333" i="1"/>
  <c r="H1333" i="1"/>
  <c r="I1333" i="1"/>
  <c r="J1333" i="1"/>
  <c r="K1333" i="1"/>
  <c r="M1333" i="1"/>
  <c r="N1333" i="1"/>
  <c r="P1333" i="1"/>
  <c r="Q1333" i="1"/>
  <c r="R1333" i="1"/>
  <c r="S1333" i="1"/>
  <c r="T1333" i="1"/>
  <c r="Z1333" i="1"/>
  <c r="AL1333" i="1"/>
  <c r="A1334" i="1"/>
  <c r="B1334" i="1"/>
  <c r="C1334" i="1"/>
  <c r="G1334" i="1"/>
  <c r="H1334" i="1"/>
  <c r="I1334" i="1"/>
  <c r="J1334" i="1"/>
  <c r="K1334" i="1"/>
  <c r="M1334" i="1"/>
  <c r="N1334" i="1"/>
  <c r="P1334" i="1"/>
  <c r="Q1334" i="1"/>
  <c r="R1334" i="1"/>
  <c r="S1334" i="1"/>
  <c r="T1334" i="1"/>
  <c r="Z1334" i="1"/>
  <c r="AL1334" i="1"/>
  <c r="A1335" i="1"/>
  <c r="B1335" i="1"/>
  <c r="C1335" i="1"/>
  <c r="G1335" i="1"/>
  <c r="H1335" i="1"/>
  <c r="I1335" i="1"/>
  <c r="J1335" i="1"/>
  <c r="K1335" i="1"/>
  <c r="M1335" i="1"/>
  <c r="N1335" i="1"/>
  <c r="P1335" i="1"/>
  <c r="Q1335" i="1"/>
  <c r="R1335" i="1"/>
  <c r="S1335" i="1"/>
  <c r="T1335" i="1"/>
  <c r="Z1335" i="1"/>
  <c r="AL1335" i="1"/>
  <c r="A1336" i="1"/>
  <c r="B1336" i="1"/>
  <c r="C1336" i="1"/>
  <c r="G1336" i="1"/>
  <c r="H1336" i="1"/>
  <c r="I1336" i="1"/>
  <c r="J1336" i="1"/>
  <c r="K1336" i="1"/>
  <c r="P1336" i="1"/>
  <c r="Q1336" i="1"/>
  <c r="R1336" i="1"/>
  <c r="S1336" i="1"/>
  <c r="T1336" i="1"/>
  <c r="Z1336" i="1"/>
  <c r="AL1336" i="1"/>
  <c r="A1337" i="1"/>
  <c r="B1337" i="1"/>
  <c r="C1337" i="1"/>
  <c r="G1337" i="1"/>
  <c r="H1337" i="1"/>
  <c r="I1337" i="1"/>
  <c r="J1337" i="1"/>
  <c r="K1337" i="1"/>
  <c r="P1337" i="1"/>
  <c r="Q1337" i="1"/>
  <c r="R1337" i="1"/>
  <c r="S1337" i="1"/>
  <c r="T1337" i="1"/>
  <c r="Z1337" i="1"/>
  <c r="AL1337" i="1"/>
  <c r="A1338" i="1"/>
  <c r="B1338" i="1"/>
  <c r="C1338" i="1"/>
  <c r="G1338" i="1"/>
  <c r="H1338" i="1"/>
  <c r="I1338" i="1"/>
  <c r="J1338" i="1"/>
  <c r="K1338" i="1"/>
  <c r="M1338" i="1"/>
  <c r="N1338" i="1"/>
  <c r="P1338" i="1"/>
  <c r="Q1338" i="1"/>
  <c r="R1338" i="1"/>
  <c r="S1338" i="1"/>
  <c r="T1338" i="1"/>
  <c r="Z1338" i="1"/>
  <c r="AL1338" i="1"/>
  <c r="A1339" i="1"/>
  <c r="B1339" i="1"/>
  <c r="C1339" i="1"/>
  <c r="G1339" i="1"/>
  <c r="H1339" i="1"/>
  <c r="I1339" i="1"/>
  <c r="J1339" i="1"/>
  <c r="K1339" i="1"/>
  <c r="M1339" i="1"/>
  <c r="N1339" i="1"/>
  <c r="P1339" i="1"/>
  <c r="Q1339" i="1"/>
  <c r="R1339" i="1"/>
  <c r="S1339" i="1"/>
  <c r="T1339" i="1"/>
  <c r="Z1339" i="1"/>
  <c r="AL1339" i="1"/>
  <c r="A1340" i="1"/>
  <c r="B1340" i="1"/>
  <c r="C1340" i="1"/>
  <c r="G1340" i="1"/>
  <c r="H1340" i="1"/>
  <c r="I1340" i="1"/>
  <c r="J1340" i="1"/>
  <c r="K1340" i="1"/>
  <c r="M1340" i="1"/>
  <c r="N1340" i="1"/>
  <c r="P1340" i="1"/>
  <c r="Q1340" i="1"/>
  <c r="R1340" i="1"/>
  <c r="S1340" i="1"/>
  <c r="T1340" i="1"/>
  <c r="Z1340" i="1"/>
  <c r="AL1340" i="1"/>
  <c r="A1341" i="1"/>
  <c r="B1341" i="1"/>
  <c r="C1341" i="1"/>
  <c r="G1341" i="1"/>
  <c r="H1341" i="1"/>
  <c r="I1341" i="1"/>
  <c r="J1341" i="1"/>
  <c r="K1341" i="1"/>
  <c r="M1341" i="1"/>
  <c r="N1341" i="1"/>
  <c r="P1341" i="1"/>
  <c r="Q1341" i="1"/>
  <c r="R1341" i="1"/>
  <c r="S1341" i="1"/>
  <c r="T1341" i="1"/>
  <c r="Z1341" i="1"/>
  <c r="AL1341" i="1"/>
  <c r="A1342" i="1"/>
  <c r="B1342" i="1"/>
  <c r="C1342" i="1"/>
  <c r="G1342" i="1"/>
  <c r="H1342" i="1"/>
  <c r="I1342" i="1"/>
  <c r="J1342" i="1"/>
  <c r="K1342" i="1"/>
  <c r="M1342" i="1"/>
  <c r="N1342" i="1"/>
  <c r="P1342" i="1"/>
  <c r="Q1342" i="1"/>
  <c r="R1342" i="1"/>
  <c r="S1342" i="1"/>
  <c r="T1342" i="1"/>
  <c r="Z1342" i="1"/>
  <c r="AL1342" i="1"/>
  <c r="A1343" i="1"/>
  <c r="B1343" i="1"/>
  <c r="C1343" i="1"/>
  <c r="G1343" i="1"/>
  <c r="H1343" i="1"/>
  <c r="I1343" i="1"/>
  <c r="J1343" i="1"/>
  <c r="K1343" i="1"/>
  <c r="M1343" i="1"/>
  <c r="N1343" i="1"/>
  <c r="P1343" i="1"/>
  <c r="Q1343" i="1"/>
  <c r="R1343" i="1"/>
  <c r="S1343" i="1"/>
  <c r="T1343" i="1"/>
  <c r="Z1343" i="1"/>
  <c r="AL1343" i="1"/>
  <c r="A1344" i="1"/>
  <c r="B1344" i="1"/>
  <c r="C1344" i="1"/>
  <c r="G1344" i="1"/>
  <c r="H1344" i="1"/>
  <c r="I1344" i="1"/>
  <c r="J1344" i="1"/>
  <c r="K1344" i="1"/>
  <c r="M1344" i="1"/>
  <c r="N1344" i="1"/>
  <c r="P1344" i="1"/>
  <c r="Q1344" i="1"/>
  <c r="R1344" i="1"/>
  <c r="S1344" i="1"/>
  <c r="T1344" i="1"/>
  <c r="Z1344" i="1"/>
  <c r="AL1344" i="1"/>
  <c r="A1345" i="1"/>
  <c r="B1345" i="1"/>
  <c r="C1345" i="1"/>
  <c r="G1345" i="1"/>
  <c r="H1345" i="1"/>
  <c r="I1345" i="1"/>
  <c r="J1345" i="1"/>
  <c r="K1345" i="1"/>
  <c r="M1345" i="1"/>
  <c r="N1345" i="1"/>
  <c r="P1345" i="1"/>
  <c r="Q1345" i="1"/>
  <c r="R1345" i="1"/>
  <c r="S1345" i="1"/>
  <c r="T1345" i="1"/>
  <c r="Z1345" i="1"/>
  <c r="AL1345" i="1"/>
  <c r="A1346" i="1"/>
  <c r="B1346" i="1"/>
  <c r="C1346" i="1"/>
  <c r="G1346" i="1"/>
  <c r="H1346" i="1"/>
  <c r="I1346" i="1"/>
  <c r="J1346" i="1"/>
  <c r="K1346" i="1"/>
  <c r="M1346" i="1"/>
  <c r="N1346" i="1"/>
  <c r="P1346" i="1"/>
  <c r="Q1346" i="1"/>
  <c r="R1346" i="1"/>
  <c r="S1346" i="1"/>
  <c r="T1346" i="1"/>
  <c r="Z1346" i="1"/>
  <c r="AL1346" i="1"/>
  <c r="A1347" i="1"/>
  <c r="B1347" i="1"/>
  <c r="C1347" i="1"/>
  <c r="G1347" i="1"/>
  <c r="H1347" i="1"/>
  <c r="J1347" i="1"/>
  <c r="K1347" i="1"/>
  <c r="M1347" i="1"/>
  <c r="N1347" i="1"/>
  <c r="P1347" i="1"/>
  <c r="Q1347" i="1"/>
  <c r="R1347" i="1"/>
  <c r="T1347" i="1"/>
  <c r="AL1347" i="1"/>
  <c r="A1348" i="1"/>
  <c r="B1348" i="1"/>
  <c r="C1348" i="1"/>
  <c r="G1348" i="1"/>
  <c r="H1348" i="1"/>
  <c r="I1348" i="1"/>
  <c r="J1348" i="1"/>
  <c r="K1348" i="1"/>
  <c r="P1348" i="1"/>
  <c r="Q1348" i="1"/>
  <c r="R1348" i="1"/>
  <c r="S1348" i="1"/>
  <c r="T1348" i="1"/>
  <c r="Z1348" i="1"/>
  <c r="AL1348" i="1"/>
  <c r="A1349" i="1"/>
  <c r="B1349" i="1"/>
  <c r="C1349" i="1"/>
  <c r="G1349" i="1"/>
  <c r="H1349" i="1"/>
  <c r="I1349" i="1"/>
  <c r="J1349" i="1"/>
  <c r="K1349" i="1"/>
  <c r="P1349" i="1"/>
  <c r="Q1349" i="1"/>
  <c r="R1349" i="1"/>
  <c r="S1349" i="1"/>
  <c r="T1349" i="1"/>
  <c r="Z1349" i="1"/>
  <c r="AL1349" i="1"/>
  <c r="A1350" i="1"/>
  <c r="B1350" i="1"/>
  <c r="C1350" i="1"/>
  <c r="G1350" i="1"/>
  <c r="H1350" i="1"/>
  <c r="I1350" i="1"/>
  <c r="J1350" i="1"/>
  <c r="K1350" i="1"/>
  <c r="P1350" i="1"/>
  <c r="Q1350" i="1"/>
  <c r="R1350" i="1"/>
  <c r="S1350" i="1"/>
  <c r="T1350" i="1"/>
  <c r="Z1350" i="1"/>
  <c r="AL1350" i="1"/>
  <c r="A1351" i="1"/>
  <c r="B1351" i="1"/>
  <c r="C1351" i="1"/>
  <c r="G1351" i="1"/>
  <c r="H1351" i="1"/>
  <c r="I1351" i="1"/>
  <c r="J1351" i="1"/>
  <c r="K1351" i="1"/>
  <c r="P1351" i="1"/>
  <c r="Q1351" i="1"/>
  <c r="R1351" i="1"/>
  <c r="S1351" i="1"/>
  <c r="T1351" i="1"/>
  <c r="Z1351" i="1"/>
  <c r="AL1351" i="1"/>
  <c r="A1352" i="1"/>
  <c r="B1352" i="1"/>
  <c r="C1352" i="1"/>
  <c r="G1352" i="1"/>
  <c r="H1352" i="1"/>
  <c r="I1352" i="1"/>
  <c r="J1352" i="1"/>
  <c r="K1352" i="1"/>
  <c r="P1352" i="1"/>
  <c r="Q1352" i="1"/>
  <c r="R1352" i="1"/>
  <c r="S1352" i="1"/>
  <c r="T1352" i="1"/>
  <c r="Z1352" i="1"/>
  <c r="AL1352" i="1"/>
  <c r="A1353" i="1"/>
  <c r="B1353" i="1"/>
  <c r="C1353" i="1"/>
  <c r="G1353" i="1"/>
  <c r="H1353" i="1"/>
  <c r="I1353" i="1"/>
  <c r="J1353" i="1"/>
  <c r="K1353" i="1"/>
  <c r="P1353" i="1"/>
  <c r="Q1353" i="1"/>
  <c r="R1353" i="1"/>
  <c r="S1353" i="1"/>
  <c r="T1353" i="1"/>
  <c r="Z1353" i="1"/>
  <c r="AL1353" i="1"/>
  <c r="A1354" i="1"/>
  <c r="B1354" i="1"/>
  <c r="C1354" i="1"/>
  <c r="G1354" i="1"/>
  <c r="H1354" i="1"/>
  <c r="I1354" i="1"/>
  <c r="J1354" i="1"/>
  <c r="K1354" i="1"/>
  <c r="M1354" i="1"/>
  <c r="N1354" i="1"/>
  <c r="P1354" i="1"/>
  <c r="Q1354" i="1"/>
  <c r="R1354" i="1"/>
  <c r="S1354" i="1"/>
  <c r="T1354" i="1"/>
  <c r="Z1354" i="1"/>
  <c r="AL1354" i="1"/>
  <c r="A1355" i="1"/>
  <c r="B1355" i="1"/>
  <c r="C1355" i="1"/>
  <c r="G1355" i="1"/>
  <c r="H1355" i="1"/>
  <c r="I1355" i="1"/>
  <c r="J1355" i="1"/>
  <c r="K1355" i="1"/>
  <c r="M1355" i="1"/>
  <c r="N1355" i="1"/>
  <c r="P1355" i="1"/>
  <c r="Q1355" i="1"/>
  <c r="R1355" i="1"/>
  <c r="S1355" i="1"/>
  <c r="T1355" i="1"/>
  <c r="Z1355" i="1"/>
  <c r="AL1355" i="1"/>
  <c r="A1356" i="1"/>
  <c r="B1356" i="1"/>
  <c r="C1356" i="1"/>
  <c r="G1356" i="1"/>
  <c r="H1356" i="1"/>
  <c r="I1356" i="1"/>
  <c r="J1356" i="1"/>
  <c r="K1356" i="1"/>
  <c r="M1356" i="1"/>
  <c r="N1356" i="1"/>
  <c r="P1356" i="1"/>
  <c r="Q1356" i="1"/>
  <c r="R1356" i="1"/>
  <c r="S1356" i="1"/>
  <c r="T1356" i="1"/>
  <c r="Z1356" i="1"/>
  <c r="AL1356" i="1"/>
  <c r="A1357" i="1"/>
  <c r="B1357" i="1"/>
  <c r="C1357" i="1"/>
  <c r="G1357" i="1"/>
  <c r="H1357" i="1"/>
  <c r="I1357" i="1"/>
  <c r="J1357" i="1"/>
  <c r="K1357" i="1"/>
  <c r="M1357" i="1"/>
  <c r="N1357" i="1"/>
  <c r="P1357" i="1"/>
  <c r="Q1357" i="1"/>
  <c r="R1357" i="1"/>
  <c r="S1357" i="1"/>
  <c r="T1357" i="1"/>
  <c r="Z1357" i="1"/>
  <c r="AL1357" i="1"/>
  <c r="A1358" i="1"/>
  <c r="B1358" i="1"/>
  <c r="C1358" i="1"/>
  <c r="G1358" i="1"/>
  <c r="H1358" i="1"/>
  <c r="I1358" i="1"/>
  <c r="J1358" i="1"/>
  <c r="K1358" i="1"/>
  <c r="M1358" i="1"/>
  <c r="N1358" i="1"/>
  <c r="P1358" i="1"/>
  <c r="Q1358" i="1"/>
  <c r="R1358" i="1"/>
  <c r="S1358" i="1"/>
  <c r="T1358" i="1"/>
  <c r="Z1358" i="1"/>
  <c r="AL1358" i="1"/>
  <c r="A1359" i="1"/>
  <c r="B1359" i="1"/>
  <c r="C1359" i="1"/>
  <c r="G1359" i="1"/>
  <c r="H1359" i="1"/>
  <c r="I1359" i="1"/>
  <c r="J1359" i="1"/>
  <c r="K1359" i="1"/>
  <c r="M1359" i="1"/>
  <c r="N1359" i="1"/>
  <c r="P1359" i="1"/>
  <c r="Q1359" i="1"/>
  <c r="R1359" i="1"/>
  <c r="S1359" i="1"/>
  <c r="T1359" i="1"/>
  <c r="Z1359" i="1"/>
  <c r="AL1359" i="1"/>
  <c r="A1360" i="1"/>
  <c r="B1360" i="1"/>
  <c r="C1360" i="1"/>
  <c r="G1360" i="1"/>
  <c r="H1360" i="1"/>
  <c r="I1360" i="1"/>
  <c r="J1360" i="1"/>
  <c r="K1360" i="1"/>
  <c r="M1360" i="1"/>
  <c r="N1360" i="1"/>
  <c r="P1360" i="1"/>
  <c r="Q1360" i="1"/>
  <c r="R1360" i="1"/>
  <c r="S1360" i="1"/>
  <c r="T1360" i="1"/>
  <c r="Z1360" i="1"/>
  <c r="AL1360" i="1"/>
  <c r="A1361" i="1"/>
  <c r="B1361" i="1"/>
  <c r="C1361" i="1"/>
  <c r="G1361" i="1"/>
  <c r="H1361" i="1"/>
  <c r="I1361" i="1"/>
  <c r="J1361" i="1"/>
  <c r="K1361" i="1"/>
  <c r="M1361" i="1"/>
  <c r="N1361" i="1"/>
  <c r="P1361" i="1"/>
  <c r="Q1361" i="1"/>
  <c r="R1361" i="1"/>
  <c r="S1361" i="1"/>
  <c r="T1361" i="1"/>
  <c r="Z1361" i="1"/>
  <c r="AL1361" i="1"/>
  <c r="A1362" i="1"/>
  <c r="B1362" i="1"/>
  <c r="C1362" i="1"/>
  <c r="G1362" i="1"/>
  <c r="H1362" i="1"/>
  <c r="I1362" i="1"/>
  <c r="J1362" i="1"/>
  <c r="K1362" i="1"/>
  <c r="M1362" i="1"/>
  <c r="N1362" i="1"/>
  <c r="P1362" i="1"/>
  <c r="Q1362" i="1"/>
  <c r="R1362" i="1"/>
  <c r="S1362" i="1"/>
  <c r="T1362" i="1"/>
  <c r="Z1362" i="1"/>
  <c r="AL1362" i="1"/>
  <c r="A1363" i="1"/>
  <c r="B1363" i="1"/>
  <c r="C1363" i="1"/>
  <c r="G1363" i="1"/>
  <c r="H1363" i="1"/>
  <c r="I1363" i="1"/>
  <c r="J1363" i="1"/>
  <c r="K1363" i="1"/>
  <c r="M1363" i="1"/>
  <c r="N1363" i="1"/>
  <c r="P1363" i="1"/>
  <c r="Q1363" i="1"/>
  <c r="R1363" i="1"/>
  <c r="S1363" i="1"/>
  <c r="T1363" i="1"/>
  <c r="Z1363" i="1"/>
  <c r="AL1363" i="1"/>
  <c r="A1364" i="1"/>
  <c r="B1364" i="1"/>
  <c r="C1364" i="1"/>
  <c r="G1364" i="1"/>
  <c r="H1364" i="1"/>
  <c r="I1364" i="1"/>
  <c r="J1364" i="1"/>
  <c r="K1364" i="1"/>
  <c r="M1364" i="1"/>
  <c r="N1364" i="1"/>
  <c r="P1364" i="1"/>
  <c r="Q1364" i="1"/>
  <c r="R1364" i="1"/>
  <c r="S1364" i="1"/>
  <c r="T1364" i="1"/>
  <c r="Z1364" i="1"/>
  <c r="AL1364" i="1"/>
  <c r="A1365" i="1"/>
  <c r="B1365" i="1"/>
  <c r="C1365" i="1"/>
  <c r="G1365" i="1"/>
  <c r="H1365" i="1"/>
  <c r="I1365" i="1"/>
  <c r="J1365" i="1"/>
  <c r="K1365" i="1"/>
  <c r="M1365" i="1"/>
  <c r="N1365" i="1"/>
  <c r="P1365" i="1"/>
  <c r="Q1365" i="1"/>
  <c r="R1365" i="1"/>
  <c r="S1365" i="1"/>
  <c r="T1365" i="1"/>
  <c r="Z1365" i="1"/>
  <c r="AL1365" i="1"/>
  <c r="A1366" i="1"/>
  <c r="B1366" i="1"/>
  <c r="C1366" i="1"/>
  <c r="G1366" i="1"/>
  <c r="H1366" i="1"/>
  <c r="I1366" i="1"/>
  <c r="J1366" i="1"/>
  <c r="K1366" i="1"/>
  <c r="M1366" i="1"/>
  <c r="N1366" i="1"/>
  <c r="P1366" i="1"/>
  <c r="Q1366" i="1"/>
  <c r="R1366" i="1"/>
  <c r="S1366" i="1"/>
  <c r="T1366" i="1"/>
  <c r="Z1366" i="1"/>
  <c r="AL1366" i="1"/>
  <c r="A1367" i="1"/>
  <c r="B1367" i="1"/>
  <c r="C1367" i="1"/>
  <c r="G1367" i="1"/>
  <c r="H1367" i="1"/>
  <c r="I1367" i="1"/>
  <c r="J1367" i="1"/>
  <c r="K1367" i="1"/>
  <c r="M1367" i="1"/>
  <c r="N1367" i="1"/>
  <c r="P1367" i="1"/>
  <c r="Q1367" i="1"/>
  <c r="R1367" i="1"/>
  <c r="S1367" i="1"/>
  <c r="T1367" i="1"/>
  <c r="Z1367" i="1"/>
  <c r="AL1367" i="1"/>
  <c r="A1368" i="1"/>
  <c r="B1368" i="1"/>
  <c r="C1368" i="1"/>
  <c r="G1368" i="1"/>
  <c r="H1368" i="1"/>
  <c r="I1368" i="1"/>
  <c r="J1368" i="1"/>
  <c r="K1368" i="1"/>
  <c r="P1368" i="1"/>
  <c r="Q1368" i="1"/>
  <c r="R1368" i="1"/>
  <c r="S1368" i="1"/>
  <c r="T1368" i="1"/>
  <c r="Z1368" i="1"/>
  <c r="AL1368" i="1"/>
  <c r="A1369" i="1"/>
  <c r="B1369" i="1"/>
  <c r="C1369" i="1"/>
  <c r="G1369" i="1"/>
  <c r="H1369" i="1"/>
  <c r="I1369" i="1"/>
  <c r="J1369" i="1"/>
  <c r="K1369" i="1"/>
  <c r="P1369" i="1"/>
  <c r="Q1369" i="1"/>
  <c r="R1369" i="1"/>
  <c r="S1369" i="1"/>
  <c r="T1369" i="1"/>
  <c r="Z1369" i="1"/>
  <c r="AL1369" i="1"/>
  <c r="A1370" i="1"/>
  <c r="B1370" i="1"/>
  <c r="C1370" i="1"/>
  <c r="G1370" i="1"/>
  <c r="H1370" i="1"/>
  <c r="I1370" i="1"/>
  <c r="J1370" i="1"/>
  <c r="K1370" i="1"/>
  <c r="P1370" i="1"/>
  <c r="Q1370" i="1"/>
  <c r="R1370" i="1"/>
  <c r="S1370" i="1"/>
  <c r="T1370" i="1"/>
  <c r="Z1370" i="1"/>
  <c r="AL1370" i="1"/>
  <c r="A1371" i="1"/>
  <c r="B1371" i="1"/>
  <c r="C1371" i="1"/>
  <c r="G1371" i="1"/>
  <c r="H1371" i="1"/>
  <c r="I1371" i="1"/>
  <c r="J1371" i="1"/>
  <c r="K1371" i="1"/>
  <c r="P1371" i="1"/>
  <c r="Q1371" i="1"/>
  <c r="R1371" i="1"/>
  <c r="S1371" i="1"/>
  <c r="T1371" i="1"/>
  <c r="Z1371" i="1"/>
  <c r="AL1371" i="1"/>
  <c r="A1372" i="1"/>
  <c r="B1372" i="1"/>
  <c r="C1372" i="1"/>
  <c r="G1372" i="1"/>
  <c r="H1372" i="1"/>
  <c r="I1372" i="1"/>
  <c r="J1372" i="1"/>
  <c r="K1372" i="1"/>
  <c r="P1372" i="1"/>
  <c r="Q1372" i="1"/>
  <c r="R1372" i="1"/>
  <c r="S1372" i="1"/>
  <c r="T1372" i="1"/>
  <c r="Z1372" i="1"/>
  <c r="AL1372" i="1"/>
  <c r="A1373" i="1"/>
  <c r="B1373" i="1"/>
  <c r="C1373" i="1"/>
  <c r="G1373" i="1"/>
  <c r="H1373" i="1"/>
  <c r="I1373" i="1"/>
  <c r="J1373" i="1"/>
  <c r="K1373" i="1"/>
  <c r="M1373" i="1"/>
  <c r="N1373" i="1"/>
  <c r="P1373" i="1"/>
  <c r="Q1373" i="1"/>
  <c r="R1373" i="1"/>
  <c r="S1373" i="1"/>
  <c r="T1373" i="1"/>
  <c r="Z1373" i="1"/>
  <c r="AL1373" i="1"/>
  <c r="A1374" i="1"/>
  <c r="B1374" i="1"/>
  <c r="C1374" i="1"/>
  <c r="G1374" i="1"/>
  <c r="H1374" i="1"/>
  <c r="I1374" i="1"/>
  <c r="J1374" i="1"/>
  <c r="K1374" i="1"/>
  <c r="M1374" i="1"/>
  <c r="N1374" i="1"/>
  <c r="P1374" i="1"/>
  <c r="Q1374" i="1"/>
  <c r="R1374" i="1"/>
  <c r="S1374" i="1"/>
  <c r="T1374" i="1"/>
  <c r="Z1374" i="1"/>
  <c r="AL1374" i="1"/>
  <c r="A1375" i="1"/>
  <c r="B1375" i="1"/>
  <c r="C1375" i="1"/>
  <c r="G1375" i="1"/>
  <c r="H1375" i="1"/>
  <c r="I1375" i="1"/>
  <c r="J1375" i="1"/>
  <c r="K1375" i="1"/>
  <c r="M1375" i="1"/>
  <c r="N1375" i="1"/>
  <c r="P1375" i="1"/>
  <c r="Q1375" i="1"/>
  <c r="R1375" i="1"/>
  <c r="S1375" i="1"/>
  <c r="T1375" i="1"/>
  <c r="Z1375" i="1"/>
  <c r="AL1375" i="1"/>
  <c r="A1376" i="1"/>
  <c r="B1376" i="1"/>
  <c r="C1376" i="1"/>
  <c r="G1376" i="1"/>
  <c r="H1376" i="1"/>
  <c r="I1376" i="1"/>
  <c r="J1376" i="1"/>
  <c r="K1376" i="1"/>
  <c r="M1376" i="1"/>
  <c r="N1376" i="1"/>
  <c r="P1376" i="1"/>
  <c r="Q1376" i="1"/>
  <c r="R1376" i="1"/>
  <c r="S1376" i="1"/>
  <c r="T1376" i="1"/>
  <c r="Z1376" i="1"/>
  <c r="AL1376" i="1"/>
  <c r="A1377" i="1"/>
  <c r="B1377" i="1"/>
  <c r="C1377" i="1"/>
  <c r="G1377" i="1"/>
  <c r="H1377" i="1"/>
  <c r="I1377" i="1"/>
  <c r="J1377" i="1"/>
  <c r="K1377" i="1"/>
  <c r="P1377" i="1"/>
  <c r="Q1377" i="1"/>
  <c r="R1377" i="1"/>
  <c r="S1377" i="1"/>
  <c r="T1377" i="1"/>
  <c r="Z1377" i="1"/>
  <c r="AL1377" i="1"/>
  <c r="A1378" i="1"/>
  <c r="B1378" i="1"/>
  <c r="C1378" i="1"/>
  <c r="G1378" i="1"/>
  <c r="H1378" i="1"/>
  <c r="I1378" i="1"/>
  <c r="J1378" i="1"/>
  <c r="K1378" i="1"/>
  <c r="M1378" i="1"/>
  <c r="N1378" i="1"/>
  <c r="P1378" i="1"/>
  <c r="Q1378" i="1"/>
  <c r="R1378" i="1"/>
  <c r="S1378" i="1"/>
  <c r="T1378" i="1"/>
  <c r="Z1378" i="1"/>
  <c r="AL1378" i="1"/>
  <c r="A1379" i="1"/>
  <c r="B1379" i="1"/>
  <c r="C1379" i="1"/>
  <c r="G1379" i="1"/>
  <c r="H1379" i="1"/>
  <c r="I1379" i="1"/>
  <c r="J1379" i="1"/>
  <c r="K1379" i="1"/>
  <c r="M1379" i="1"/>
  <c r="N1379" i="1"/>
  <c r="P1379" i="1"/>
  <c r="Q1379" i="1"/>
  <c r="R1379" i="1"/>
  <c r="S1379" i="1"/>
  <c r="T1379" i="1"/>
  <c r="Z1379" i="1"/>
  <c r="AL1379" i="1"/>
  <c r="A1380" i="1"/>
  <c r="B1380" i="1"/>
  <c r="C1380" i="1"/>
  <c r="G1380" i="1"/>
  <c r="H1380" i="1"/>
  <c r="I1380" i="1"/>
  <c r="J1380" i="1"/>
  <c r="K1380" i="1"/>
  <c r="M1380" i="1"/>
  <c r="N1380" i="1"/>
  <c r="P1380" i="1"/>
  <c r="Q1380" i="1"/>
  <c r="R1380" i="1"/>
  <c r="S1380" i="1"/>
  <c r="T1380" i="1"/>
  <c r="Z1380" i="1"/>
  <c r="AL1380" i="1"/>
  <c r="A1381" i="1"/>
  <c r="B1381" i="1"/>
  <c r="C1381" i="1"/>
  <c r="G1381" i="1"/>
  <c r="H1381" i="1"/>
  <c r="I1381" i="1"/>
  <c r="J1381" i="1"/>
  <c r="K1381" i="1"/>
  <c r="M1381" i="1"/>
  <c r="N1381" i="1"/>
  <c r="P1381" i="1"/>
  <c r="Q1381" i="1"/>
  <c r="R1381" i="1"/>
  <c r="S1381" i="1"/>
  <c r="T1381" i="1"/>
  <c r="Z1381" i="1"/>
  <c r="AL1381" i="1"/>
  <c r="A1382" i="1"/>
  <c r="B1382" i="1"/>
  <c r="C1382" i="1"/>
  <c r="G1382" i="1"/>
  <c r="H1382" i="1"/>
  <c r="I1382" i="1"/>
  <c r="J1382" i="1"/>
  <c r="K1382" i="1"/>
  <c r="M1382" i="1"/>
  <c r="N1382" i="1"/>
  <c r="P1382" i="1"/>
  <c r="Q1382" i="1"/>
  <c r="R1382" i="1"/>
  <c r="S1382" i="1"/>
  <c r="T1382" i="1"/>
  <c r="Z1382" i="1"/>
  <c r="AL1382" i="1"/>
  <c r="A1383" i="1"/>
  <c r="B1383" i="1"/>
  <c r="C1383" i="1"/>
  <c r="G1383" i="1"/>
  <c r="H1383" i="1"/>
  <c r="I1383" i="1"/>
  <c r="J1383" i="1"/>
  <c r="K1383" i="1"/>
  <c r="M1383" i="1"/>
  <c r="N1383" i="1"/>
  <c r="P1383" i="1"/>
  <c r="Q1383" i="1"/>
  <c r="R1383" i="1"/>
  <c r="S1383" i="1"/>
  <c r="T1383" i="1"/>
  <c r="Z1383" i="1"/>
  <c r="AL1383" i="1"/>
  <c r="A1384" i="1"/>
  <c r="B1384" i="1"/>
  <c r="C1384" i="1"/>
  <c r="G1384" i="1"/>
  <c r="H1384" i="1"/>
  <c r="I1384" i="1"/>
  <c r="J1384" i="1"/>
  <c r="K1384" i="1"/>
  <c r="M1384" i="1"/>
  <c r="N1384" i="1"/>
  <c r="P1384" i="1"/>
  <c r="Q1384" i="1"/>
  <c r="R1384" i="1"/>
  <c r="S1384" i="1"/>
  <c r="T1384" i="1"/>
  <c r="Z1384" i="1"/>
  <c r="AL1384" i="1"/>
  <c r="A1385" i="1"/>
  <c r="B1385" i="1"/>
  <c r="C1385" i="1"/>
  <c r="G1385" i="1"/>
  <c r="H1385" i="1"/>
  <c r="I1385" i="1"/>
  <c r="J1385" i="1"/>
  <c r="K1385" i="1"/>
  <c r="M1385" i="1"/>
  <c r="N1385" i="1"/>
  <c r="P1385" i="1"/>
  <c r="Q1385" i="1"/>
  <c r="R1385" i="1"/>
  <c r="S1385" i="1"/>
  <c r="T1385" i="1"/>
  <c r="Z1385" i="1"/>
  <c r="AL1385" i="1"/>
  <c r="A1386" i="1"/>
  <c r="B1386" i="1"/>
  <c r="C1386" i="1"/>
  <c r="G1386" i="1"/>
  <c r="H1386" i="1"/>
  <c r="I1386" i="1"/>
  <c r="J1386" i="1"/>
  <c r="K1386" i="1"/>
  <c r="M1386" i="1"/>
  <c r="N1386" i="1"/>
  <c r="P1386" i="1"/>
  <c r="Q1386" i="1"/>
  <c r="R1386" i="1"/>
  <c r="S1386" i="1"/>
  <c r="T1386" i="1"/>
  <c r="Z1386" i="1"/>
  <c r="AL1386" i="1"/>
  <c r="A1387" i="1"/>
  <c r="B1387" i="1"/>
  <c r="C1387" i="1"/>
  <c r="G1387" i="1"/>
  <c r="H1387" i="1"/>
  <c r="I1387" i="1"/>
  <c r="J1387" i="1"/>
  <c r="K1387" i="1"/>
  <c r="P1387" i="1"/>
  <c r="Q1387" i="1"/>
  <c r="R1387" i="1"/>
  <c r="S1387" i="1"/>
  <c r="T1387" i="1"/>
  <c r="Z1387" i="1"/>
  <c r="AL1387" i="1"/>
  <c r="A1388" i="1"/>
  <c r="B1388" i="1"/>
  <c r="C1388" i="1"/>
  <c r="G1388" i="1"/>
  <c r="H1388" i="1"/>
  <c r="I1388" i="1"/>
  <c r="J1388" i="1"/>
  <c r="K1388" i="1"/>
  <c r="M1388" i="1"/>
  <c r="N1388" i="1"/>
  <c r="P1388" i="1"/>
  <c r="Q1388" i="1"/>
  <c r="R1388" i="1"/>
  <c r="S1388" i="1"/>
  <c r="T1388" i="1"/>
  <c r="Z1388" i="1"/>
  <c r="AL1388" i="1"/>
  <c r="A1389" i="1"/>
  <c r="B1389" i="1"/>
  <c r="C1389" i="1"/>
  <c r="G1389" i="1"/>
  <c r="H1389" i="1"/>
  <c r="I1389" i="1"/>
  <c r="J1389" i="1"/>
  <c r="K1389" i="1"/>
  <c r="M1389" i="1"/>
  <c r="N1389" i="1"/>
  <c r="P1389" i="1"/>
  <c r="Q1389" i="1"/>
  <c r="R1389" i="1"/>
  <c r="S1389" i="1"/>
  <c r="T1389" i="1"/>
  <c r="Z1389" i="1"/>
  <c r="AL1389" i="1"/>
  <c r="A1390" i="1"/>
  <c r="B1390" i="1"/>
  <c r="C1390" i="1"/>
  <c r="G1390" i="1"/>
  <c r="H1390" i="1"/>
  <c r="I1390" i="1"/>
  <c r="J1390" i="1"/>
  <c r="K1390" i="1"/>
  <c r="M1390" i="1"/>
  <c r="N1390" i="1"/>
  <c r="P1390" i="1"/>
  <c r="Q1390" i="1"/>
  <c r="R1390" i="1"/>
  <c r="S1390" i="1"/>
  <c r="T1390" i="1"/>
  <c r="Z1390" i="1"/>
  <c r="AL1390" i="1"/>
  <c r="A1391" i="1"/>
  <c r="B1391" i="1"/>
  <c r="C1391" i="1"/>
  <c r="G1391" i="1"/>
  <c r="H1391" i="1"/>
  <c r="I1391" i="1"/>
  <c r="J1391" i="1"/>
  <c r="K1391" i="1"/>
  <c r="M1391" i="1"/>
  <c r="N1391" i="1"/>
  <c r="P1391" i="1"/>
  <c r="Q1391" i="1"/>
  <c r="R1391" i="1"/>
  <c r="S1391" i="1"/>
  <c r="T1391" i="1"/>
  <c r="Z1391" i="1"/>
  <c r="AL1391" i="1"/>
  <c r="A1392" i="1"/>
  <c r="B1392" i="1"/>
  <c r="C1392" i="1"/>
  <c r="G1392" i="1"/>
  <c r="H1392" i="1"/>
  <c r="I1392" i="1"/>
  <c r="J1392" i="1"/>
  <c r="K1392" i="1"/>
  <c r="M1392" i="1"/>
  <c r="N1392" i="1"/>
  <c r="P1392" i="1"/>
  <c r="Q1392" i="1"/>
  <c r="R1392" i="1"/>
  <c r="S1392" i="1"/>
  <c r="T1392" i="1"/>
  <c r="Z1392" i="1"/>
  <c r="AL1392" i="1"/>
  <c r="A1393" i="1"/>
  <c r="B1393" i="1"/>
  <c r="C1393" i="1"/>
  <c r="G1393" i="1"/>
  <c r="H1393" i="1"/>
  <c r="I1393" i="1"/>
  <c r="J1393" i="1"/>
  <c r="K1393" i="1"/>
  <c r="M1393" i="1"/>
  <c r="N1393" i="1"/>
  <c r="P1393" i="1"/>
  <c r="Q1393" i="1"/>
  <c r="R1393" i="1"/>
  <c r="S1393" i="1"/>
  <c r="T1393" i="1"/>
  <c r="Z1393" i="1"/>
  <c r="AL1393" i="1"/>
  <c r="A1394" i="1"/>
  <c r="B1394" i="1"/>
  <c r="C1394" i="1"/>
  <c r="G1394" i="1"/>
  <c r="H1394" i="1"/>
  <c r="I1394" i="1"/>
  <c r="J1394" i="1"/>
  <c r="K1394" i="1"/>
  <c r="M1394" i="1"/>
  <c r="N1394" i="1"/>
  <c r="P1394" i="1"/>
  <c r="Q1394" i="1"/>
  <c r="R1394" i="1"/>
  <c r="S1394" i="1"/>
  <c r="T1394" i="1"/>
  <c r="Z1394" i="1"/>
  <c r="AL1394" i="1"/>
  <c r="A1395" i="1"/>
  <c r="B1395" i="1"/>
  <c r="C1395" i="1"/>
  <c r="G1395" i="1"/>
  <c r="H1395" i="1"/>
  <c r="I1395" i="1"/>
  <c r="J1395" i="1"/>
  <c r="K1395" i="1"/>
  <c r="M1395" i="1"/>
  <c r="N1395" i="1"/>
  <c r="P1395" i="1"/>
  <c r="Q1395" i="1"/>
  <c r="R1395" i="1"/>
  <c r="S1395" i="1"/>
  <c r="T1395" i="1"/>
  <c r="Z1395" i="1"/>
  <c r="AL1395" i="1"/>
  <c r="A1396" i="1"/>
  <c r="B1396" i="1"/>
  <c r="C1396" i="1"/>
  <c r="G1396" i="1"/>
  <c r="H1396" i="1"/>
  <c r="I1396" i="1"/>
  <c r="J1396" i="1"/>
  <c r="K1396" i="1"/>
  <c r="M1396" i="1"/>
  <c r="N1396" i="1"/>
  <c r="P1396" i="1"/>
  <c r="Q1396" i="1"/>
  <c r="R1396" i="1"/>
  <c r="S1396" i="1"/>
  <c r="T1396" i="1"/>
  <c r="Z1396" i="1"/>
  <c r="AL1396" i="1"/>
  <c r="A1397" i="1"/>
  <c r="B1397" i="1"/>
  <c r="C1397" i="1"/>
  <c r="G1397" i="1"/>
  <c r="H1397" i="1"/>
  <c r="I1397" i="1"/>
  <c r="J1397" i="1"/>
  <c r="K1397" i="1"/>
  <c r="M1397" i="1"/>
  <c r="N1397" i="1"/>
  <c r="P1397" i="1"/>
  <c r="Q1397" i="1"/>
  <c r="R1397" i="1"/>
  <c r="S1397" i="1"/>
  <c r="T1397" i="1"/>
  <c r="Z1397" i="1"/>
  <c r="AL1397" i="1"/>
  <c r="A1398" i="1"/>
  <c r="B1398" i="1"/>
  <c r="C1398" i="1"/>
  <c r="G1398" i="1"/>
  <c r="H1398" i="1"/>
  <c r="I1398" i="1"/>
  <c r="J1398" i="1"/>
  <c r="K1398" i="1"/>
  <c r="M1398" i="1"/>
  <c r="N1398" i="1"/>
  <c r="P1398" i="1"/>
  <c r="Q1398" i="1"/>
  <c r="R1398" i="1"/>
  <c r="S1398" i="1"/>
  <c r="T1398" i="1"/>
  <c r="Z1398" i="1"/>
  <c r="AL1398" i="1"/>
  <c r="A1399" i="1"/>
  <c r="B1399" i="1"/>
  <c r="C1399" i="1"/>
  <c r="G1399" i="1"/>
  <c r="H1399" i="1"/>
  <c r="I1399" i="1"/>
  <c r="J1399" i="1"/>
  <c r="K1399" i="1"/>
  <c r="M1399" i="1"/>
  <c r="N1399" i="1"/>
  <c r="P1399" i="1"/>
  <c r="Q1399" i="1"/>
  <c r="R1399" i="1"/>
  <c r="S1399" i="1"/>
  <c r="T1399" i="1"/>
  <c r="Z1399" i="1"/>
  <c r="AL1399" i="1"/>
  <c r="A1400" i="1"/>
  <c r="B1400" i="1"/>
  <c r="C1400" i="1"/>
  <c r="G1400" i="1"/>
  <c r="H1400" i="1"/>
  <c r="I1400" i="1"/>
  <c r="J1400" i="1"/>
  <c r="K1400" i="1"/>
  <c r="M1400" i="1"/>
  <c r="N1400" i="1"/>
  <c r="P1400" i="1"/>
  <c r="Q1400" i="1"/>
  <c r="R1400" i="1"/>
  <c r="S1400" i="1"/>
  <c r="T1400" i="1"/>
  <c r="Z1400" i="1"/>
  <c r="AL1400" i="1"/>
  <c r="A1401" i="1"/>
  <c r="B1401" i="1"/>
  <c r="C1401" i="1"/>
  <c r="G1401" i="1"/>
  <c r="H1401" i="1"/>
  <c r="I1401" i="1"/>
  <c r="J1401" i="1"/>
  <c r="K1401" i="1"/>
  <c r="M1401" i="1"/>
  <c r="N1401" i="1"/>
  <c r="P1401" i="1"/>
  <c r="Q1401" i="1"/>
  <c r="R1401" i="1"/>
  <c r="S1401" i="1"/>
  <c r="T1401" i="1"/>
  <c r="Z1401" i="1"/>
  <c r="AL1401" i="1"/>
  <c r="A1402" i="1"/>
  <c r="B1402" i="1"/>
  <c r="C1402" i="1"/>
  <c r="G1402" i="1"/>
  <c r="H1402" i="1"/>
  <c r="I1402" i="1"/>
  <c r="J1402" i="1"/>
  <c r="K1402" i="1"/>
  <c r="M1402" i="1"/>
  <c r="N1402" i="1"/>
  <c r="P1402" i="1"/>
  <c r="Q1402" i="1"/>
  <c r="R1402" i="1"/>
  <c r="S1402" i="1"/>
  <c r="T1402" i="1"/>
  <c r="Z1402" i="1"/>
  <c r="AL1402" i="1"/>
  <c r="A1403" i="1"/>
  <c r="B1403" i="1"/>
  <c r="C1403" i="1"/>
  <c r="G1403" i="1"/>
  <c r="H1403" i="1"/>
  <c r="I1403" i="1"/>
  <c r="J1403" i="1"/>
  <c r="K1403" i="1"/>
  <c r="M1403" i="1"/>
  <c r="N1403" i="1"/>
  <c r="P1403" i="1"/>
  <c r="Q1403" i="1"/>
  <c r="R1403" i="1"/>
  <c r="S1403" i="1"/>
  <c r="T1403" i="1"/>
  <c r="Z1403" i="1"/>
  <c r="AL1403" i="1"/>
  <c r="A1404" i="1"/>
  <c r="B1404" i="1"/>
  <c r="C1404" i="1"/>
  <c r="G1404" i="1"/>
  <c r="H1404" i="1"/>
  <c r="I1404" i="1"/>
  <c r="J1404" i="1"/>
  <c r="K1404" i="1"/>
  <c r="M1404" i="1"/>
  <c r="N1404" i="1"/>
  <c r="P1404" i="1"/>
  <c r="Q1404" i="1"/>
  <c r="R1404" i="1"/>
  <c r="S1404" i="1"/>
  <c r="T1404" i="1"/>
  <c r="Z1404" i="1"/>
  <c r="AL1404" i="1"/>
  <c r="A1405" i="1"/>
  <c r="B1405" i="1"/>
  <c r="C1405" i="1"/>
  <c r="G1405" i="1"/>
  <c r="H1405" i="1"/>
  <c r="I1405" i="1"/>
  <c r="J1405" i="1"/>
  <c r="K1405" i="1"/>
  <c r="M1405" i="1"/>
  <c r="N1405" i="1"/>
  <c r="P1405" i="1"/>
  <c r="Q1405" i="1"/>
  <c r="R1405" i="1"/>
  <c r="S1405" i="1"/>
  <c r="T1405" i="1"/>
  <c r="Z1405" i="1"/>
  <c r="AL1405" i="1"/>
  <c r="A1406" i="1"/>
  <c r="B1406" i="1"/>
  <c r="C1406" i="1"/>
  <c r="G1406" i="1"/>
  <c r="H1406" i="1"/>
  <c r="I1406" i="1"/>
  <c r="J1406" i="1"/>
  <c r="K1406" i="1"/>
  <c r="M1406" i="1"/>
  <c r="N1406" i="1"/>
  <c r="P1406" i="1"/>
  <c r="Q1406" i="1"/>
  <c r="R1406" i="1"/>
  <c r="S1406" i="1"/>
  <c r="T1406" i="1"/>
  <c r="Z1406" i="1"/>
  <c r="AL1406" i="1"/>
  <c r="A1407" i="1"/>
  <c r="B1407" i="1"/>
  <c r="C1407" i="1"/>
  <c r="G1407" i="1"/>
  <c r="H1407" i="1"/>
  <c r="I1407" i="1"/>
  <c r="J1407" i="1"/>
  <c r="K1407" i="1"/>
  <c r="M1407" i="1"/>
  <c r="N1407" i="1"/>
  <c r="P1407" i="1"/>
  <c r="Q1407" i="1"/>
  <c r="R1407" i="1"/>
  <c r="S1407" i="1"/>
  <c r="T1407" i="1"/>
  <c r="Z1407" i="1"/>
  <c r="AL1407" i="1"/>
  <c r="A1408" i="1"/>
  <c r="B1408" i="1"/>
  <c r="C1408" i="1"/>
  <c r="G1408" i="1"/>
  <c r="H1408" i="1"/>
  <c r="I1408" i="1"/>
  <c r="J1408" i="1"/>
  <c r="K1408" i="1"/>
  <c r="M1408" i="1"/>
  <c r="N1408" i="1"/>
  <c r="P1408" i="1"/>
  <c r="Q1408" i="1"/>
  <c r="R1408" i="1"/>
  <c r="S1408" i="1"/>
  <c r="T1408" i="1"/>
  <c r="Z1408" i="1"/>
  <c r="AL1408" i="1"/>
  <c r="A1409" i="1"/>
  <c r="B1409" i="1"/>
  <c r="C1409" i="1"/>
  <c r="G1409" i="1"/>
  <c r="H1409" i="1"/>
  <c r="I1409" i="1"/>
  <c r="J1409" i="1"/>
  <c r="K1409" i="1"/>
  <c r="M1409" i="1"/>
  <c r="N1409" i="1"/>
  <c r="P1409" i="1"/>
  <c r="Q1409" i="1"/>
  <c r="R1409" i="1"/>
  <c r="S1409" i="1"/>
  <c r="T1409" i="1"/>
  <c r="Z1409" i="1"/>
  <c r="AL1409" i="1"/>
  <c r="A1410" i="1"/>
  <c r="B1410" i="1"/>
  <c r="C1410" i="1"/>
  <c r="G1410" i="1"/>
  <c r="H1410" i="1"/>
  <c r="I1410" i="1"/>
  <c r="J1410" i="1"/>
  <c r="K1410" i="1"/>
  <c r="M1410" i="1"/>
  <c r="N1410" i="1"/>
  <c r="P1410" i="1"/>
  <c r="Q1410" i="1"/>
  <c r="R1410" i="1"/>
  <c r="S1410" i="1"/>
  <c r="T1410" i="1"/>
  <c r="Z1410" i="1"/>
  <c r="AL1410" i="1"/>
  <c r="A1411" i="1"/>
  <c r="B1411" i="1"/>
  <c r="C1411" i="1"/>
  <c r="G1411" i="1"/>
  <c r="H1411" i="1"/>
  <c r="I1411" i="1"/>
  <c r="J1411" i="1"/>
  <c r="K1411" i="1"/>
  <c r="M1411" i="1"/>
  <c r="N1411" i="1"/>
  <c r="P1411" i="1"/>
  <c r="Q1411" i="1"/>
  <c r="R1411" i="1"/>
  <c r="S1411" i="1"/>
  <c r="T1411" i="1"/>
  <c r="Z1411" i="1"/>
  <c r="AL1411" i="1"/>
  <c r="A1412" i="1"/>
  <c r="B1412" i="1"/>
  <c r="C1412" i="1"/>
  <c r="G1412" i="1"/>
  <c r="H1412" i="1"/>
  <c r="I1412" i="1"/>
  <c r="J1412" i="1"/>
  <c r="K1412" i="1"/>
  <c r="M1412" i="1"/>
  <c r="N1412" i="1"/>
  <c r="P1412" i="1"/>
  <c r="Q1412" i="1"/>
  <c r="R1412" i="1"/>
  <c r="S1412" i="1"/>
  <c r="T1412" i="1"/>
  <c r="Z1412" i="1"/>
  <c r="AL1412" i="1"/>
  <c r="A1413" i="1"/>
  <c r="B1413" i="1"/>
  <c r="C1413" i="1"/>
  <c r="G1413" i="1"/>
  <c r="H1413" i="1"/>
  <c r="I1413" i="1"/>
  <c r="J1413" i="1"/>
  <c r="K1413" i="1"/>
  <c r="M1413" i="1"/>
  <c r="N1413" i="1"/>
  <c r="P1413" i="1"/>
  <c r="Q1413" i="1"/>
  <c r="R1413" i="1"/>
  <c r="S1413" i="1"/>
  <c r="T1413" i="1"/>
  <c r="Z1413" i="1"/>
  <c r="AL1413" i="1"/>
  <c r="A1414" i="1"/>
  <c r="B1414" i="1"/>
  <c r="C1414" i="1"/>
  <c r="G1414" i="1"/>
  <c r="H1414" i="1"/>
  <c r="I1414" i="1"/>
  <c r="J1414" i="1"/>
  <c r="K1414" i="1"/>
  <c r="M1414" i="1"/>
  <c r="N1414" i="1"/>
  <c r="P1414" i="1"/>
  <c r="Q1414" i="1"/>
  <c r="R1414" i="1"/>
  <c r="S1414" i="1"/>
  <c r="T1414" i="1"/>
  <c r="Z1414" i="1"/>
  <c r="AL1414" i="1"/>
  <c r="A1415" i="1"/>
  <c r="B1415" i="1"/>
  <c r="C1415" i="1"/>
  <c r="G1415" i="1"/>
  <c r="H1415" i="1"/>
  <c r="I1415" i="1"/>
  <c r="J1415" i="1"/>
  <c r="K1415" i="1"/>
  <c r="M1415" i="1"/>
  <c r="N1415" i="1"/>
  <c r="P1415" i="1"/>
  <c r="Q1415" i="1"/>
  <c r="R1415" i="1"/>
  <c r="S1415" i="1"/>
  <c r="T1415" i="1"/>
  <c r="Z1415" i="1"/>
  <c r="AL1415" i="1"/>
  <c r="A1416" i="1"/>
  <c r="B1416" i="1"/>
  <c r="C1416" i="1"/>
  <c r="G1416" i="1"/>
  <c r="H1416" i="1"/>
  <c r="I1416" i="1"/>
  <c r="J1416" i="1"/>
  <c r="K1416" i="1"/>
  <c r="M1416" i="1"/>
  <c r="N1416" i="1"/>
  <c r="P1416" i="1"/>
  <c r="Q1416" i="1"/>
  <c r="R1416" i="1"/>
  <c r="S1416" i="1"/>
  <c r="T1416" i="1"/>
  <c r="Z1416" i="1"/>
  <c r="AL1416" i="1"/>
  <c r="A1417" i="1"/>
  <c r="B1417" i="1"/>
  <c r="C1417" i="1"/>
  <c r="G1417" i="1"/>
  <c r="H1417" i="1"/>
  <c r="I1417" i="1"/>
  <c r="J1417" i="1"/>
  <c r="K1417" i="1"/>
  <c r="M1417" i="1"/>
  <c r="N1417" i="1"/>
  <c r="P1417" i="1"/>
  <c r="Q1417" i="1"/>
  <c r="R1417" i="1"/>
  <c r="S1417" i="1"/>
  <c r="T1417" i="1"/>
  <c r="Z1417" i="1"/>
  <c r="AL1417" i="1"/>
  <c r="A1418" i="1"/>
  <c r="B1418" i="1"/>
  <c r="C1418" i="1"/>
  <c r="G1418" i="1"/>
  <c r="H1418" i="1"/>
  <c r="I1418" i="1"/>
  <c r="J1418" i="1"/>
  <c r="K1418" i="1"/>
  <c r="M1418" i="1"/>
  <c r="N1418" i="1"/>
  <c r="P1418" i="1"/>
  <c r="Q1418" i="1"/>
  <c r="R1418" i="1"/>
  <c r="S1418" i="1"/>
  <c r="T1418" i="1"/>
  <c r="Z1418" i="1"/>
  <c r="AL1418" i="1"/>
  <c r="A1419" i="1"/>
  <c r="B1419" i="1"/>
  <c r="C1419" i="1"/>
  <c r="G1419" i="1"/>
  <c r="H1419" i="1"/>
  <c r="I1419" i="1"/>
  <c r="J1419" i="1"/>
  <c r="K1419" i="1"/>
  <c r="M1419" i="1"/>
  <c r="N1419" i="1"/>
  <c r="P1419" i="1"/>
  <c r="Q1419" i="1"/>
  <c r="R1419" i="1"/>
  <c r="S1419" i="1"/>
  <c r="T1419" i="1"/>
  <c r="Z1419" i="1"/>
  <c r="AL1419" i="1"/>
  <c r="A1420" i="1"/>
  <c r="B1420" i="1"/>
  <c r="C1420" i="1"/>
  <c r="G1420" i="1"/>
  <c r="H1420" i="1"/>
  <c r="I1420" i="1"/>
  <c r="J1420" i="1"/>
  <c r="K1420" i="1"/>
  <c r="M1420" i="1"/>
  <c r="N1420" i="1"/>
  <c r="P1420" i="1"/>
  <c r="Q1420" i="1"/>
  <c r="R1420" i="1"/>
  <c r="S1420" i="1"/>
  <c r="T1420" i="1"/>
  <c r="Z1420" i="1"/>
  <c r="AL1420" i="1"/>
  <c r="A1421" i="1"/>
  <c r="B1421" i="1"/>
  <c r="C1421" i="1"/>
  <c r="G1421" i="1"/>
  <c r="H1421" i="1"/>
  <c r="I1421" i="1"/>
  <c r="J1421" i="1"/>
  <c r="K1421" i="1"/>
  <c r="M1421" i="1"/>
  <c r="N1421" i="1"/>
  <c r="P1421" i="1"/>
  <c r="Q1421" i="1"/>
  <c r="R1421" i="1"/>
  <c r="S1421" i="1"/>
  <c r="T1421" i="1"/>
  <c r="Z1421" i="1"/>
  <c r="AL1421" i="1"/>
  <c r="A1422" i="1"/>
  <c r="B1422" i="1"/>
  <c r="C1422" i="1"/>
  <c r="G1422" i="1"/>
  <c r="H1422" i="1"/>
  <c r="I1422" i="1"/>
  <c r="J1422" i="1"/>
  <c r="K1422" i="1"/>
  <c r="M1422" i="1"/>
  <c r="N1422" i="1"/>
  <c r="P1422" i="1"/>
  <c r="Q1422" i="1"/>
  <c r="R1422" i="1"/>
  <c r="S1422" i="1"/>
  <c r="T1422" i="1"/>
  <c r="Z1422" i="1"/>
  <c r="AL1422" i="1"/>
  <c r="A1423" i="1"/>
  <c r="B1423" i="1"/>
  <c r="C1423" i="1"/>
  <c r="G1423" i="1"/>
  <c r="H1423" i="1"/>
  <c r="I1423" i="1"/>
  <c r="J1423" i="1"/>
  <c r="K1423" i="1"/>
  <c r="M1423" i="1"/>
  <c r="N1423" i="1"/>
  <c r="P1423" i="1"/>
  <c r="Q1423" i="1"/>
  <c r="R1423" i="1"/>
  <c r="S1423" i="1"/>
  <c r="T1423" i="1"/>
  <c r="Z1423" i="1"/>
  <c r="AL1423" i="1"/>
  <c r="A1424" i="1"/>
  <c r="B1424" i="1"/>
  <c r="C1424" i="1"/>
  <c r="G1424" i="1"/>
  <c r="H1424" i="1"/>
  <c r="I1424" i="1"/>
  <c r="J1424" i="1"/>
  <c r="K1424" i="1"/>
  <c r="M1424" i="1"/>
  <c r="N1424" i="1"/>
  <c r="P1424" i="1"/>
  <c r="Q1424" i="1"/>
  <c r="R1424" i="1"/>
  <c r="S1424" i="1"/>
  <c r="T1424" i="1"/>
  <c r="Z1424" i="1"/>
  <c r="AL1424" i="1"/>
  <c r="A1425" i="1"/>
  <c r="B1425" i="1"/>
  <c r="C1425" i="1"/>
  <c r="G1425" i="1"/>
  <c r="H1425" i="1"/>
  <c r="I1425" i="1"/>
  <c r="J1425" i="1"/>
  <c r="K1425" i="1"/>
  <c r="M1425" i="1"/>
  <c r="N1425" i="1"/>
  <c r="P1425" i="1"/>
  <c r="Q1425" i="1"/>
  <c r="R1425" i="1"/>
  <c r="S1425" i="1"/>
  <c r="T1425" i="1"/>
  <c r="Z1425" i="1"/>
  <c r="AL1425" i="1"/>
  <c r="A1426" i="1"/>
  <c r="B1426" i="1"/>
  <c r="C1426" i="1"/>
  <c r="G1426" i="1"/>
  <c r="H1426" i="1"/>
  <c r="I1426" i="1"/>
  <c r="J1426" i="1"/>
  <c r="K1426" i="1"/>
  <c r="M1426" i="1"/>
  <c r="N1426" i="1"/>
  <c r="P1426" i="1"/>
  <c r="Q1426" i="1"/>
  <c r="R1426" i="1"/>
  <c r="S1426" i="1"/>
  <c r="T1426" i="1"/>
  <c r="Z1426" i="1"/>
  <c r="AL1426" i="1"/>
  <c r="A1427" i="1"/>
  <c r="B1427" i="1"/>
  <c r="C1427" i="1"/>
  <c r="G1427" i="1"/>
  <c r="H1427" i="1"/>
  <c r="I1427" i="1"/>
  <c r="J1427" i="1"/>
  <c r="K1427" i="1"/>
  <c r="M1427" i="1"/>
  <c r="N1427" i="1"/>
  <c r="P1427" i="1"/>
  <c r="Q1427" i="1"/>
  <c r="R1427" i="1"/>
  <c r="S1427" i="1"/>
  <c r="T1427" i="1"/>
  <c r="Z1427" i="1"/>
  <c r="AL1427" i="1"/>
  <c r="A1428" i="1"/>
  <c r="B1428" i="1"/>
  <c r="C1428" i="1"/>
  <c r="G1428" i="1"/>
  <c r="H1428" i="1"/>
  <c r="I1428" i="1"/>
  <c r="J1428" i="1"/>
  <c r="K1428" i="1"/>
  <c r="M1428" i="1"/>
  <c r="N1428" i="1"/>
  <c r="P1428" i="1"/>
  <c r="Q1428" i="1"/>
  <c r="R1428" i="1"/>
  <c r="S1428" i="1"/>
  <c r="T1428" i="1"/>
  <c r="Z1428" i="1"/>
  <c r="AL1428" i="1"/>
  <c r="A1429" i="1"/>
  <c r="B1429" i="1"/>
  <c r="C1429" i="1"/>
  <c r="G1429" i="1"/>
  <c r="H1429" i="1"/>
  <c r="I1429" i="1"/>
  <c r="J1429" i="1"/>
  <c r="K1429" i="1"/>
  <c r="M1429" i="1"/>
  <c r="N1429" i="1"/>
  <c r="P1429" i="1"/>
  <c r="Q1429" i="1"/>
  <c r="R1429" i="1"/>
  <c r="S1429" i="1"/>
  <c r="T1429" i="1"/>
  <c r="Z1429" i="1"/>
  <c r="AL1429" i="1"/>
  <c r="A1430" i="1"/>
  <c r="B1430" i="1"/>
  <c r="C1430" i="1"/>
  <c r="G1430" i="1"/>
  <c r="H1430" i="1"/>
  <c r="I1430" i="1"/>
  <c r="J1430" i="1"/>
  <c r="K1430" i="1"/>
  <c r="M1430" i="1"/>
  <c r="N1430" i="1"/>
  <c r="P1430" i="1"/>
  <c r="Q1430" i="1"/>
  <c r="R1430" i="1"/>
  <c r="S1430" i="1"/>
  <c r="T1430" i="1"/>
  <c r="Z1430" i="1"/>
  <c r="AL1430" i="1"/>
  <c r="A1431" i="1"/>
  <c r="B1431" i="1"/>
  <c r="C1431" i="1"/>
  <c r="G1431" i="1"/>
  <c r="H1431" i="1"/>
  <c r="I1431" i="1"/>
  <c r="J1431" i="1"/>
  <c r="K1431" i="1"/>
  <c r="M1431" i="1"/>
  <c r="N1431" i="1"/>
  <c r="P1431" i="1"/>
  <c r="Q1431" i="1"/>
  <c r="R1431" i="1"/>
  <c r="S1431" i="1"/>
  <c r="T1431" i="1"/>
  <c r="Z1431" i="1"/>
  <c r="AL1431" i="1"/>
  <c r="A1432" i="1"/>
  <c r="B1432" i="1"/>
  <c r="C1432" i="1"/>
  <c r="G1432" i="1"/>
  <c r="H1432" i="1"/>
  <c r="I1432" i="1"/>
  <c r="J1432" i="1"/>
  <c r="K1432" i="1"/>
  <c r="M1432" i="1"/>
  <c r="N1432" i="1"/>
  <c r="P1432" i="1"/>
  <c r="Q1432" i="1"/>
  <c r="R1432" i="1"/>
  <c r="S1432" i="1"/>
  <c r="T1432" i="1"/>
  <c r="Z1432" i="1"/>
  <c r="AL1432" i="1"/>
  <c r="A1433" i="1"/>
  <c r="B1433" i="1"/>
  <c r="C1433" i="1"/>
  <c r="G1433" i="1"/>
  <c r="H1433" i="1"/>
  <c r="I1433" i="1"/>
  <c r="J1433" i="1"/>
  <c r="K1433" i="1"/>
  <c r="M1433" i="1"/>
  <c r="N1433" i="1"/>
  <c r="P1433" i="1"/>
  <c r="Q1433" i="1"/>
  <c r="R1433" i="1"/>
  <c r="S1433" i="1"/>
  <c r="T1433" i="1"/>
  <c r="Z1433" i="1"/>
  <c r="AL1433" i="1"/>
  <c r="A1434" i="1"/>
  <c r="B1434" i="1"/>
  <c r="C1434" i="1"/>
  <c r="G1434" i="1"/>
  <c r="H1434" i="1"/>
  <c r="I1434" i="1"/>
  <c r="J1434" i="1"/>
  <c r="K1434" i="1"/>
  <c r="M1434" i="1"/>
  <c r="N1434" i="1"/>
  <c r="P1434" i="1"/>
  <c r="Q1434" i="1"/>
  <c r="R1434" i="1"/>
  <c r="S1434" i="1"/>
  <c r="T1434" i="1"/>
  <c r="Z1434" i="1"/>
  <c r="AL1434" i="1"/>
  <c r="A1435" i="1"/>
  <c r="B1435" i="1"/>
  <c r="C1435" i="1"/>
  <c r="G1435" i="1"/>
  <c r="H1435" i="1"/>
  <c r="I1435" i="1"/>
  <c r="J1435" i="1"/>
  <c r="K1435" i="1"/>
  <c r="M1435" i="1"/>
  <c r="N1435" i="1"/>
  <c r="P1435" i="1"/>
  <c r="Q1435" i="1"/>
  <c r="R1435" i="1"/>
  <c r="S1435" i="1"/>
  <c r="T1435" i="1"/>
  <c r="Z1435" i="1"/>
  <c r="AL1435" i="1"/>
  <c r="A1436" i="1"/>
  <c r="B1436" i="1"/>
  <c r="C1436" i="1"/>
  <c r="G1436" i="1"/>
  <c r="H1436" i="1"/>
  <c r="I1436" i="1"/>
  <c r="J1436" i="1"/>
  <c r="K1436" i="1"/>
  <c r="M1436" i="1"/>
  <c r="N1436" i="1"/>
  <c r="P1436" i="1"/>
  <c r="Q1436" i="1"/>
  <c r="R1436" i="1"/>
  <c r="S1436" i="1"/>
  <c r="T1436" i="1"/>
  <c r="Z1436" i="1"/>
  <c r="AL1436" i="1"/>
  <c r="A1437" i="1"/>
  <c r="B1437" i="1"/>
  <c r="C1437" i="1"/>
  <c r="G1437" i="1"/>
  <c r="H1437" i="1"/>
  <c r="I1437" i="1"/>
  <c r="J1437" i="1"/>
  <c r="K1437" i="1"/>
  <c r="M1437" i="1"/>
  <c r="N1437" i="1"/>
  <c r="P1437" i="1"/>
  <c r="Q1437" i="1"/>
  <c r="R1437" i="1"/>
  <c r="S1437" i="1"/>
  <c r="T1437" i="1"/>
  <c r="Z1437" i="1"/>
  <c r="AL1437" i="1"/>
  <c r="A1438" i="1"/>
  <c r="B1438" i="1"/>
  <c r="C1438" i="1"/>
  <c r="G1438" i="1"/>
  <c r="H1438" i="1"/>
  <c r="I1438" i="1"/>
  <c r="J1438" i="1"/>
  <c r="K1438" i="1"/>
  <c r="M1438" i="1"/>
  <c r="N1438" i="1"/>
  <c r="P1438" i="1"/>
  <c r="Q1438" i="1"/>
  <c r="R1438" i="1"/>
  <c r="S1438" i="1"/>
  <c r="T1438" i="1"/>
  <c r="Z1438" i="1"/>
  <c r="AL1438" i="1"/>
  <c r="A1439" i="1"/>
  <c r="B1439" i="1"/>
  <c r="C1439" i="1"/>
  <c r="G1439" i="1"/>
  <c r="H1439" i="1"/>
  <c r="I1439" i="1"/>
  <c r="J1439" i="1"/>
  <c r="K1439" i="1"/>
  <c r="M1439" i="1"/>
  <c r="N1439" i="1"/>
  <c r="P1439" i="1"/>
  <c r="Q1439" i="1"/>
  <c r="R1439" i="1"/>
  <c r="S1439" i="1"/>
  <c r="T1439" i="1"/>
  <c r="Z1439" i="1"/>
  <c r="AL1439" i="1"/>
  <c r="A1440" i="1"/>
  <c r="B1440" i="1"/>
  <c r="C1440" i="1"/>
  <c r="G1440" i="1"/>
  <c r="H1440" i="1"/>
  <c r="I1440" i="1"/>
  <c r="J1440" i="1"/>
  <c r="K1440" i="1"/>
  <c r="M1440" i="1"/>
  <c r="N1440" i="1"/>
  <c r="P1440" i="1"/>
  <c r="Q1440" i="1"/>
  <c r="R1440" i="1"/>
  <c r="S1440" i="1"/>
  <c r="T1440" i="1"/>
  <c r="Z1440" i="1"/>
  <c r="AL1440" i="1"/>
  <c r="A1441" i="1"/>
  <c r="B1441" i="1"/>
  <c r="C1441" i="1"/>
  <c r="G1441" i="1"/>
  <c r="H1441" i="1"/>
  <c r="I1441" i="1"/>
  <c r="J1441" i="1"/>
  <c r="K1441" i="1"/>
  <c r="M1441" i="1"/>
  <c r="N1441" i="1"/>
  <c r="P1441" i="1"/>
  <c r="Q1441" i="1"/>
  <c r="R1441" i="1"/>
  <c r="S1441" i="1"/>
  <c r="T1441" i="1"/>
  <c r="Z1441" i="1"/>
  <c r="AL1441" i="1"/>
  <c r="A1442" i="1"/>
  <c r="B1442" i="1"/>
  <c r="C1442" i="1"/>
  <c r="G1442" i="1"/>
  <c r="H1442" i="1"/>
  <c r="I1442" i="1"/>
  <c r="J1442" i="1"/>
  <c r="K1442" i="1"/>
  <c r="M1442" i="1"/>
  <c r="N1442" i="1"/>
  <c r="P1442" i="1"/>
  <c r="Q1442" i="1"/>
  <c r="R1442" i="1"/>
  <c r="S1442" i="1"/>
  <c r="T1442" i="1"/>
  <c r="Z1442" i="1"/>
  <c r="AL1442" i="1"/>
  <c r="A1443" i="1"/>
  <c r="B1443" i="1"/>
  <c r="C1443" i="1"/>
  <c r="G1443" i="1"/>
  <c r="H1443" i="1"/>
  <c r="I1443" i="1"/>
  <c r="J1443" i="1"/>
  <c r="K1443" i="1"/>
  <c r="M1443" i="1"/>
  <c r="N1443" i="1"/>
  <c r="P1443" i="1"/>
  <c r="Q1443" i="1"/>
  <c r="R1443" i="1"/>
  <c r="S1443" i="1"/>
  <c r="T1443" i="1"/>
  <c r="Z1443" i="1"/>
  <c r="AL1443" i="1"/>
  <c r="A1444" i="1"/>
  <c r="B1444" i="1"/>
  <c r="C1444" i="1"/>
  <c r="G1444" i="1"/>
  <c r="H1444" i="1"/>
  <c r="I1444" i="1"/>
  <c r="J1444" i="1"/>
  <c r="K1444" i="1"/>
  <c r="M1444" i="1"/>
  <c r="N1444" i="1"/>
  <c r="P1444" i="1"/>
  <c r="Q1444" i="1"/>
  <c r="R1444" i="1"/>
  <c r="S1444" i="1"/>
  <c r="T1444" i="1"/>
  <c r="Z1444" i="1"/>
  <c r="AL1444" i="1"/>
  <c r="A1445" i="1"/>
  <c r="B1445" i="1"/>
  <c r="C1445" i="1"/>
  <c r="G1445" i="1"/>
  <c r="H1445" i="1"/>
  <c r="I1445" i="1"/>
  <c r="J1445" i="1"/>
  <c r="K1445" i="1"/>
  <c r="M1445" i="1"/>
  <c r="N1445" i="1"/>
  <c r="P1445" i="1"/>
  <c r="Q1445" i="1"/>
  <c r="R1445" i="1"/>
  <c r="S1445" i="1"/>
  <c r="T1445" i="1"/>
  <c r="Z1445" i="1"/>
  <c r="AL1445" i="1"/>
  <c r="A1446" i="1"/>
  <c r="B1446" i="1"/>
  <c r="C1446" i="1"/>
  <c r="G1446" i="1"/>
  <c r="H1446" i="1"/>
  <c r="I1446" i="1"/>
  <c r="J1446" i="1"/>
  <c r="K1446" i="1"/>
  <c r="M1446" i="1"/>
  <c r="N1446" i="1"/>
  <c r="P1446" i="1"/>
  <c r="Q1446" i="1"/>
  <c r="R1446" i="1"/>
  <c r="S1446" i="1"/>
  <c r="T1446" i="1"/>
  <c r="Z1446" i="1"/>
  <c r="AL1446" i="1"/>
  <c r="A1447" i="1"/>
  <c r="B1447" i="1"/>
  <c r="C1447" i="1"/>
  <c r="G1447" i="1"/>
  <c r="H1447" i="1"/>
  <c r="I1447" i="1"/>
  <c r="J1447" i="1"/>
  <c r="K1447" i="1"/>
  <c r="M1447" i="1"/>
  <c r="N1447" i="1"/>
  <c r="P1447" i="1"/>
  <c r="Q1447" i="1"/>
  <c r="R1447" i="1"/>
  <c r="S1447" i="1"/>
  <c r="T1447" i="1"/>
  <c r="Z1447" i="1"/>
  <c r="AL1447" i="1"/>
  <c r="A1448" i="1"/>
  <c r="B1448" i="1"/>
  <c r="C1448" i="1"/>
  <c r="G1448" i="1"/>
  <c r="H1448" i="1"/>
  <c r="I1448" i="1"/>
  <c r="J1448" i="1"/>
  <c r="K1448" i="1"/>
  <c r="M1448" i="1"/>
  <c r="N1448" i="1"/>
  <c r="P1448" i="1"/>
  <c r="Q1448" i="1"/>
  <c r="R1448" i="1"/>
  <c r="S1448" i="1"/>
  <c r="T1448" i="1"/>
  <c r="Z1448" i="1"/>
  <c r="AL1448" i="1"/>
  <c r="A1449" i="1"/>
  <c r="B1449" i="1"/>
  <c r="C1449" i="1"/>
  <c r="G1449" i="1"/>
  <c r="H1449" i="1"/>
  <c r="I1449" i="1"/>
  <c r="J1449" i="1"/>
  <c r="K1449" i="1"/>
  <c r="M1449" i="1"/>
  <c r="N1449" i="1"/>
  <c r="P1449" i="1"/>
  <c r="Q1449" i="1"/>
  <c r="R1449" i="1"/>
  <c r="S1449" i="1"/>
  <c r="T1449" i="1"/>
  <c r="Z1449" i="1"/>
  <c r="AL1449" i="1"/>
  <c r="A1450" i="1"/>
  <c r="B1450" i="1"/>
  <c r="C1450" i="1"/>
  <c r="G1450" i="1"/>
  <c r="H1450" i="1"/>
  <c r="I1450" i="1"/>
  <c r="J1450" i="1"/>
  <c r="K1450" i="1"/>
  <c r="M1450" i="1"/>
  <c r="N1450" i="1"/>
  <c r="P1450" i="1"/>
  <c r="Q1450" i="1"/>
  <c r="R1450" i="1"/>
  <c r="S1450" i="1"/>
  <c r="T1450" i="1"/>
  <c r="Z1450" i="1"/>
  <c r="AL1450" i="1"/>
  <c r="A1451" i="1"/>
  <c r="B1451" i="1"/>
  <c r="C1451" i="1"/>
  <c r="G1451" i="1"/>
  <c r="H1451" i="1"/>
  <c r="I1451" i="1"/>
  <c r="J1451" i="1"/>
  <c r="K1451" i="1"/>
  <c r="M1451" i="1"/>
  <c r="N1451" i="1"/>
  <c r="P1451" i="1"/>
  <c r="Q1451" i="1"/>
  <c r="R1451" i="1"/>
  <c r="S1451" i="1"/>
  <c r="T1451" i="1"/>
  <c r="Z1451" i="1"/>
  <c r="AL1451" i="1"/>
  <c r="A1452" i="1"/>
  <c r="B1452" i="1"/>
  <c r="C1452" i="1"/>
  <c r="G1452" i="1"/>
  <c r="H1452" i="1"/>
  <c r="I1452" i="1"/>
  <c r="J1452" i="1"/>
  <c r="K1452" i="1"/>
  <c r="M1452" i="1"/>
  <c r="N1452" i="1"/>
  <c r="P1452" i="1"/>
  <c r="Q1452" i="1"/>
  <c r="R1452" i="1"/>
  <c r="S1452" i="1"/>
  <c r="T1452" i="1"/>
  <c r="Z1452" i="1"/>
  <c r="AL1452" i="1"/>
  <c r="A1453" i="1"/>
  <c r="B1453" i="1"/>
  <c r="C1453" i="1"/>
  <c r="G1453" i="1"/>
  <c r="H1453" i="1"/>
  <c r="I1453" i="1"/>
  <c r="J1453" i="1"/>
  <c r="K1453" i="1"/>
  <c r="M1453" i="1"/>
  <c r="N1453" i="1"/>
  <c r="P1453" i="1"/>
  <c r="Q1453" i="1"/>
  <c r="R1453" i="1"/>
  <c r="S1453" i="1"/>
  <c r="T1453" i="1"/>
  <c r="Z1453" i="1"/>
  <c r="AL1453" i="1"/>
  <c r="A1454" i="1"/>
  <c r="B1454" i="1"/>
  <c r="C1454" i="1"/>
  <c r="G1454" i="1"/>
  <c r="H1454" i="1"/>
  <c r="I1454" i="1"/>
  <c r="J1454" i="1"/>
  <c r="K1454" i="1"/>
  <c r="M1454" i="1"/>
  <c r="N1454" i="1"/>
  <c r="P1454" i="1"/>
  <c r="Q1454" i="1"/>
  <c r="R1454" i="1"/>
  <c r="S1454" i="1"/>
  <c r="T1454" i="1"/>
  <c r="Z1454" i="1"/>
  <c r="AL1454" i="1"/>
  <c r="A1455" i="1"/>
  <c r="B1455" i="1"/>
  <c r="C1455" i="1"/>
  <c r="G1455" i="1"/>
  <c r="H1455" i="1"/>
  <c r="I1455" i="1"/>
  <c r="J1455" i="1"/>
  <c r="K1455" i="1"/>
  <c r="M1455" i="1"/>
  <c r="N1455" i="1"/>
  <c r="P1455" i="1"/>
  <c r="Q1455" i="1"/>
  <c r="R1455" i="1"/>
  <c r="S1455" i="1"/>
  <c r="T1455" i="1"/>
  <c r="Z1455" i="1"/>
  <c r="AL1455" i="1"/>
  <c r="A1456" i="1"/>
  <c r="B1456" i="1"/>
  <c r="C1456" i="1"/>
  <c r="G1456" i="1"/>
  <c r="H1456" i="1"/>
  <c r="I1456" i="1"/>
  <c r="J1456" i="1"/>
  <c r="K1456" i="1"/>
  <c r="M1456" i="1"/>
  <c r="N1456" i="1"/>
  <c r="P1456" i="1"/>
  <c r="Q1456" i="1"/>
  <c r="R1456" i="1"/>
  <c r="S1456" i="1"/>
  <c r="T1456" i="1"/>
  <c r="Z1456" i="1"/>
  <c r="AL1456" i="1"/>
  <c r="A1457" i="1"/>
  <c r="B1457" i="1"/>
  <c r="C1457" i="1"/>
  <c r="G1457" i="1"/>
  <c r="H1457" i="1"/>
  <c r="I1457" i="1"/>
  <c r="J1457" i="1"/>
  <c r="K1457" i="1"/>
  <c r="M1457" i="1"/>
  <c r="N1457" i="1"/>
  <c r="P1457" i="1"/>
  <c r="Q1457" i="1"/>
  <c r="R1457" i="1"/>
  <c r="S1457" i="1"/>
  <c r="T1457" i="1"/>
  <c r="Z1457" i="1"/>
  <c r="AL1457" i="1"/>
  <c r="A1458" i="1"/>
  <c r="B1458" i="1"/>
  <c r="C1458" i="1"/>
  <c r="G1458" i="1"/>
  <c r="H1458" i="1"/>
  <c r="I1458" i="1"/>
  <c r="J1458" i="1"/>
  <c r="K1458" i="1"/>
  <c r="P1458" i="1"/>
  <c r="Q1458" i="1"/>
  <c r="R1458" i="1"/>
  <c r="S1458" i="1"/>
  <c r="T1458" i="1"/>
  <c r="Z1458" i="1"/>
  <c r="AL1458" i="1"/>
  <c r="A1459" i="1"/>
  <c r="B1459" i="1"/>
  <c r="C1459" i="1"/>
  <c r="G1459" i="1"/>
  <c r="H1459" i="1"/>
  <c r="I1459" i="1"/>
  <c r="J1459" i="1"/>
  <c r="K1459" i="1"/>
  <c r="P1459" i="1"/>
  <c r="Q1459" i="1"/>
  <c r="R1459" i="1"/>
  <c r="S1459" i="1"/>
  <c r="T1459" i="1"/>
  <c r="AL1459" i="1"/>
  <c r="A1460" i="1"/>
  <c r="B1460" i="1"/>
  <c r="C1460" i="1"/>
  <c r="G1460" i="1"/>
  <c r="H1460" i="1"/>
  <c r="I1460" i="1"/>
  <c r="J1460" i="1"/>
  <c r="K1460" i="1"/>
  <c r="P1460" i="1"/>
  <c r="Q1460" i="1"/>
  <c r="R1460" i="1"/>
  <c r="S1460" i="1"/>
  <c r="T1460" i="1"/>
  <c r="Z1460" i="1"/>
  <c r="AL1460" i="1"/>
  <c r="A1461" i="1"/>
  <c r="B1461" i="1"/>
  <c r="C1461" i="1"/>
  <c r="G1461" i="1"/>
  <c r="H1461" i="1"/>
  <c r="I1461" i="1"/>
  <c r="J1461" i="1"/>
  <c r="K1461" i="1"/>
  <c r="P1461" i="1"/>
  <c r="Q1461" i="1"/>
  <c r="R1461" i="1"/>
  <c r="S1461" i="1"/>
  <c r="T1461" i="1"/>
  <c r="Z1461" i="1"/>
  <c r="AL1461" i="1"/>
  <c r="A1462" i="1"/>
  <c r="B1462" i="1"/>
  <c r="C1462" i="1"/>
  <c r="G1462" i="1"/>
  <c r="H1462" i="1"/>
  <c r="I1462" i="1"/>
  <c r="J1462" i="1"/>
  <c r="K1462" i="1"/>
  <c r="P1462" i="1"/>
  <c r="Q1462" i="1"/>
  <c r="R1462" i="1"/>
  <c r="S1462" i="1"/>
  <c r="T1462" i="1"/>
  <c r="Z1462" i="1"/>
  <c r="AL1462" i="1"/>
  <c r="A1463" i="1"/>
  <c r="B1463" i="1"/>
  <c r="C1463" i="1"/>
  <c r="G1463" i="1"/>
  <c r="H1463" i="1"/>
  <c r="I1463" i="1"/>
  <c r="J1463" i="1"/>
  <c r="K1463" i="1"/>
  <c r="P1463" i="1"/>
  <c r="Q1463" i="1"/>
  <c r="R1463" i="1"/>
  <c r="S1463" i="1"/>
  <c r="T1463" i="1"/>
  <c r="Z1463" i="1"/>
  <c r="AL1463" i="1"/>
  <c r="A1464" i="1"/>
  <c r="B1464" i="1"/>
  <c r="C1464" i="1"/>
  <c r="G1464" i="1"/>
  <c r="H1464" i="1"/>
  <c r="I1464" i="1"/>
  <c r="J1464" i="1"/>
  <c r="K1464" i="1"/>
  <c r="P1464" i="1"/>
  <c r="Q1464" i="1"/>
  <c r="R1464" i="1"/>
  <c r="S1464" i="1"/>
  <c r="T1464" i="1"/>
  <c r="Z1464" i="1"/>
  <c r="AL1464" i="1"/>
  <c r="A1465" i="1"/>
  <c r="B1465" i="1"/>
  <c r="C1465" i="1"/>
  <c r="G1465" i="1"/>
  <c r="H1465" i="1"/>
  <c r="I1465" i="1"/>
  <c r="J1465" i="1"/>
  <c r="K1465" i="1"/>
  <c r="P1465" i="1"/>
  <c r="Q1465" i="1"/>
  <c r="R1465" i="1"/>
  <c r="S1465" i="1"/>
  <c r="T1465" i="1"/>
  <c r="Z1465" i="1"/>
  <c r="AL1465" i="1"/>
  <c r="A1466" i="1"/>
  <c r="B1466" i="1"/>
  <c r="C1466" i="1"/>
  <c r="G1466" i="1"/>
  <c r="H1466" i="1"/>
  <c r="I1466" i="1"/>
  <c r="J1466" i="1"/>
  <c r="K1466" i="1"/>
  <c r="P1466" i="1"/>
  <c r="Q1466" i="1"/>
  <c r="R1466" i="1"/>
  <c r="S1466" i="1"/>
  <c r="T1466" i="1"/>
  <c r="Z1466" i="1"/>
  <c r="AL1466" i="1"/>
  <c r="A1467" i="1"/>
  <c r="B1467" i="1"/>
  <c r="C1467" i="1"/>
  <c r="G1467" i="1"/>
  <c r="H1467" i="1"/>
  <c r="I1467" i="1"/>
  <c r="J1467" i="1"/>
  <c r="K1467" i="1"/>
  <c r="P1467" i="1"/>
  <c r="Q1467" i="1"/>
  <c r="R1467" i="1"/>
  <c r="S1467" i="1"/>
  <c r="T1467" i="1"/>
  <c r="Z1467" i="1"/>
  <c r="AL1467" i="1"/>
  <c r="A1468" i="1"/>
  <c r="B1468" i="1"/>
  <c r="C1468" i="1"/>
  <c r="G1468" i="1"/>
  <c r="H1468" i="1"/>
  <c r="I1468" i="1"/>
  <c r="J1468" i="1"/>
  <c r="K1468" i="1"/>
  <c r="P1468" i="1"/>
  <c r="Q1468" i="1"/>
  <c r="R1468" i="1"/>
  <c r="S1468" i="1"/>
  <c r="T1468" i="1"/>
  <c r="Z1468" i="1"/>
  <c r="AL1468" i="1"/>
  <c r="A1469" i="1"/>
  <c r="B1469" i="1"/>
  <c r="C1469" i="1"/>
  <c r="G1469" i="1"/>
  <c r="H1469" i="1"/>
  <c r="I1469" i="1"/>
  <c r="J1469" i="1"/>
  <c r="K1469" i="1"/>
  <c r="P1469" i="1"/>
  <c r="Q1469" i="1"/>
  <c r="R1469" i="1"/>
  <c r="S1469" i="1"/>
  <c r="T1469" i="1"/>
  <c r="Z1469" i="1"/>
  <c r="AL1469" i="1"/>
  <c r="A1470" i="1"/>
  <c r="B1470" i="1"/>
  <c r="C1470" i="1"/>
  <c r="G1470" i="1"/>
  <c r="H1470" i="1"/>
  <c r="I1470" i="1"/>
  <c r="J1470" i="1"/>
  <c r="K1470" i="1"/>
  <c r="M1470" i="1"/>
  <c r="N1470" i="1"/>
  <c r="P1470" i="1"/>
  <c r="Q1470" i="1"/>
  <c r="R1470" i="1"/>
  <c r="S1470" i="1"/>
  <c r="T1470" i="1"/>
  <c r="Z1470" i="1"/>
  <c r="AL1470" i="1"/>
  <c r="A1471" i="1"/>
  <c r="B1471" i="1"/>
  <c r="C1471" i="1"/>
  <c r="G1471" i="1"/>
  <c r="H1471" i="1"/>
  <c r="I1471" i="1"/>
  <c r="J1471" i="1"/>
  <c r="K1471" i="1"/>
  <c r="M1471" i="1"/>
  <c r="N1471" i="1"/>
  <c r="P1471" i="1"/>
  <c r="Q1471" i="1"/>
  <c r="R1471" i="1"/>
  <c r="S1471" i="1"/>
  <c r="T1471" i="1"/>
  <c r="Z1471" i="1"/>
  <c r="AL1471" i="1"/>
  <c r="A1472" i="1"/>
  <c r="B1472" i="1"/>
  <c r="C1472" i="1"/>
  <c r="G1472" i="1"/>
  <c r="H1472" i="1"/>
  <c r="I1472" i="1"/>
  <c r="J1472" i="1"/>
  <c r="K1472" i="1"/>
  <c r="M1472" i="1"/>
  <c r="N1472" i="1"/>
  <c r="P1472" i="1"/>
  <c r="Q1472" i="1"/>
  <c r="R1472" i="1"/>
  <c r="S1472" i="1"/>
  <c r="T1472" i="1"/>
  <c r="Z1472" i="1"/>
  <c r="AL1472" i="1"/>
  <c r="A1473" i="1"/>
  <c r="B1473" i="1"/>
  <c r="C1473" i="1"/>
  <c r="G1473" i="1"/>
  <c r="H1473" i="1"/>
  <c r="I1473" i="1"/>
  <c r="J1473" i="1"/>
  <c r="K1473" i="1"/>
  <c r="M1473" i="1"/>
  <c r="N1473" i="1"/>
  <c r="P1473" i="1"/>
  <c r="Q1473" i="1"/>
  <c r="R1473" i="1"/>
  <c r="S1473" i="1"/>
  <c r="T1473" i="1"/>
  <c r="Z1473" i="1"/>
  <c r="AL1473" i="1"/>
  <c r="A1474" i="1"/>
  <c r="B1474" i="1"/>
  <c r="C1474" i="1"/>
  <c r="G1474" i="1"/>
  <c r="H1474" i="1"/>
  <c r="I1474" i="1"/>
  <c r="J1474" i="1"/>
  <c r="K1474" i="1"/>
  <c r="M1474" i="1"/>
  <c r="N1474" i="1"/>
  <c r="P1474" i="1"/>
  <c r="Q1474" i="1"/>
  <c r="R1474" i="1"/>
  <c r="S1474" i="1"/>
  <c r="T1474" i="1"/>
  <c r="Z1474" i="1"/>
  <c r="AL1474" i="1"/>
  <c r="A1475" i="1"/>
  <c r="B1475" i="1"/>
  <c r="C1475" i="1"/>
  <c r="G1475" i="1"/>
  <c r="H1475" i="1"/>
  <c r="I1475" i="1"/>
  <c r="J1475" i="1"/>
  <c r="K1475" i="1"/>
  <c r="M1475" i="1"/>
  <c r="N1475" i="1"/>
  <c r="P1475" i="1"/>
  <c r="Q1475" i="1"/>
  <c r="R1475" i="1"/>
  <c r="S1475" i="1"/>
  <c r="T1475" i="1"/>
  <c r="AL1475" i="1"/>
  <c r="A1476" i="1"/>
  <c r="B1476" i="1"/>
  <c r="C1476" i="1"/>
  <c r="G1476" i="1"/>
  <c r="H1476" i="1"/>
  <c r="I1476" i="1"/>
  <c r="J1476" i="1"/>
  <c r="K1476" i="1"/>
  <c r="M1476" i="1"/>
  <c r="N1476" i="1"/>
  <c r="P1476" i="1"/>
  <c r="Q1476" i="1"/>
  <c r="R1476" i="1"/>
  <c r="S1476" i="1"/>
  <c r="T1476" i="1"/>
  <c r="AL1476" i="1"/>
  <c r="A1477" i="1"/>
  <c r="B1477" i="1"/>
  <c r="C1477" i="1"/>
  <c r="G1477" i="1"/>
  <c r="H1477" i="1"/>
  <c r="I1477" i="1"/>
  <c r="J1477" i="1"/>
  <c r="K1477" i="1"/>
  <c r="M1477" i="1"/>
  <c r="N1477" i="1"/>
  <c r="P1477" i="1"/>
  <c r="Q1477" i="1"/>
  <c r="R1477" i="1"/>
  <c r="S1477" i="1"/>
  <c r="T1477" i="1"/>
  <c r="AL1477" i="1"/>
  <c r="A1478" i="1"/>
  <c r="B1478" i="1"/>
  <c r="C1478" i="1"/>
  <c r="G1478" i="1"/>
  <c r="H1478" i="1"/>
  <c r="I1478" i="1"/>
  <c r="J1478" i="1"/>
  <c r="K1478" i="1"/>
  <c r="M1478" i="1"/>
  <c r="N1478" i="1"/>
  <c r="P1478" i="1"/>
  <c r="Q1478" i="1"/>
  <c r="R1478" i="1"/>
  <c r="S1478" i="1"/>
  <c r="T1478" i="1"/>
  <c r="AL1478" i="1"/>
  <c r="A1479" i="1"/>
  <c r="B1479" i="1"/>
  <c r="C1479" i="1"/>
  <c r="G1479" i="1"/>
  <c r="H1479" i="1"/>
  <c r="I1479" i="1"/>
  <c r="J1479" i="1"/>
  <c r="K1479" i="1"/>
  <c r="M1479" i="1"/>
  <c r="N1479" i="1"/>
  <c r="P1479" i="1"/>
  <c r="Q1479" i="1"/>
  <c r="R1479" i="1"/>
  <c r="S1479" i="1"/>
  <c r="T1479" i="1"/>
  <c r="AL1479" i="1"/>
  <c r="A1480" i="1"/>
  <c r="B1480" i="1"/>
  <c r="C1480" i="1"/>
  <c r="G1480" i="1"/>
  <c r="H1480" i="1"/>
  <c r="I1480" i="1"/>
  <c r="J1480" i="1"/>
  <c r="K1480" i="1"/>
  <c r="M1480" i="1"/>
  <c r="N1480" i="1"/>
  <c r="P1480" i="1"/>
  <c r="Q1480" i="1"/>
  <c r="R1480" i="1"/>
  <c r="S1480" i="1"/>
  <c r="T1480" i="1"/>
  <c r="AL1480" i="1"/>
  <c r="A1481" i="1"/>
  <c r="B1481" i="1"/>
  <c r="C1481" i="1"/>
  <c r="G1481" i="1"/>
  <c r="H1481" i="1"/>
  <c r="I1481" i="1"/>
  <c r="J1481" i="1"/>
  <c r="K1481" i="1"/>
  <c r="M1481" i="1"/>
  <c r="N1481" i="1"/>
  <c r="P1481" i="1"/>
  <c r="Q1481" i="1"/>
  <c r="R1481" i="1"/>
  <c r="S1481" i="1"/>
  <c r="T1481" i="1"/>
  <c r="Z1481" i="1"/>
  <c r="AL1481" i="1"/>
  <c r="A1482" i="1"/>
  <c r="B1482" i="1"/>
  <c r="C1482" i="1"/>
  <c r="G1482" i="1"/>
  <c r="H1482" i="1"/>
  <c r="I1482" i="1"/>
  <c r="J1482" i="1"/>
  <c r="K1482" i="1"/>
  <c r="M1482" i="1"/>
  <c r="N1482" i="1"/>
  <c r="P1482" i="1"/>
  <c r="Q1482" i="1"/>
  <c r="R1482" i="1"/>
  <c r="S1482" i="1"/>
  <c r="T1482" i="1"/>
  <c r="Z1482" i="1"/>
  <c r="AL1482" i="1"/>
  <c r="A1483" i="1"/>
  <c r="B1483" i="1"/>
  <c r="C1483" i="1"/>
  <c r="G1483" i="1"/>
  <c r="H1483" i="1"/>
  <c r="I1483" i="1"/>
  <c r="J1483" i="1"/>
  <c r="K1483" i="1"/>
  <c r="M1483" i="1"/>
  <c r="N1483" i="1"/>
  <c r="P1483" i="1"/>
  <c r="Q1483" i="1"/>
  <c r="R1483" i="1"/>
  <c r="S1483" i="1"/>
  <c r="T1483" i="1"/>
  <c r="Z1483" i="1"/>
  <c r="AL1483" i="1"/>
  <c r="A1484" i="1"/>
  <c r="B1484" i="1"/>
  <c r="C1484" i="1"/>
  <c r="G1484" i="1"/>
  <c r="H1484" i="1"/>
  <c r="I1484" i="1"/>
  <c r="J1484" i="1"/>
  <c r="K1484" i="1"/>
  <c r="M1484" i="1"/>
  <c r="N1484" i="1"/>
  <c r="P1484" i="1"/>
  <c r="Q1484" i="1"/>
  <c r="R1484" i="1"/>
  <c r="S1484" i="1"/>
  <c r="T1484" i="1"/>
  <c r="Z1484" i="1"/>
  <c r="AL1484" i="1"/>
  <c r="A1485" i="1"/>
  <c r="B1485" i="1"/>
  <c r="C1485" i="1"/>
  <c r="G1485" i="1"/>
  <c r="H1485" i="1"/>
  <c r="I1485" i="1"/>
  <c r="J1485" i="1"/>
  <c r="K1485" i="1"/>
  <c r="M1485" i="1"/>
  <c r="N1485" i="1"/>
  <c r="P1485" i="1"/>
  <c r="Q1485" i="1"/>
  <c r="R1485" i="1"/>
  <c r="S1485" i="1"/>
  <c r="T1485" i="1"/>
  <c r="Z1485" i="1"/>
  <c r="AL1485" i="1"/>
  <c r="A1486" i="1"/>
  <c r="B1486" i="1"/>
  <c r="C1486" i="1"/>
  <c r="G1486" i="1"/>
  <c r="H1486" i="1"/>
  <c r="I1486" i="1"/>
  <c r="J1486" i="1"/>
  <c r="K1486" i="1"/>
  <c r="M1486" i="1"/>
  <c r="N1486" i="1"/>
  <c r="P1486" i="1"/>
  <c r="Q1486" i="1"/>
  <c r="R1486" i="1"/>
  <c r="S1486" i="1"/>
  <c r="T1486" i="1"/>
  <c r="Z1486" i="1"/>
  <c r="AL1486" i="1"/>
  <c r="A1487" i="1"/>
  <c r="B1487" i="1"/>
  <c r="C1487" i="1"/>
  <c r="G1487" i="1"/>
  <c r="H1487" i="1"/>
  <c r="I1487" i="1"/>
  <c r="J1487" i="1"/>
  <c r="K1487" i="1"/>
  <c r="M1487" i="1"/>
  <c r="N1487" i="1"/>
  <c r="P1487" i="1"/>
  <c r="Q1487" i="1"/>
  <c r="R1487" i="1"/>
  <c r="S1487" i="1"/>
  <c r="T1487" i="1"/>
  <c r="Z1487" i="1"/>
  <c r="AL1487" i="1"/>
  <c r="A1488" i="1"/>
  <c r="B1488" i="1"/>
  <c r="C1488" i="1"/>
  <c r="G1488" i="1"/>
  <c r="H1488" i="1"/>
  <c r="I1488" i="1"/>
  <c r="J1488" i="1"/>
  <c r="K1488" i="1"/>
  <c r="M1488" i="1"/>
  <c r="N1488" i="1"/>
  <c r="P1488" i="1"/>
  <c r="Q1488" i="1"/>
  <c r="R1488" i="1"/>
  <c r="S1488" i="1"/>
  <c r="T1488" i="1"/>
  <c r="Z1488" i="1"/>
  <c r="AL1488" i="1"/>
  <c r="A1489" i="1"/>
  <c r="B1489" i="1"/>
  <c r="C1489" i="1"/>
  <c r="G1489" i="1"/>
  <c r="H1489" i="1"/>
  <c r="I1489" i="1"/>
  <c r="J1489" i="1"/>
  <c r="K1489" i="1"/>
  <c r="M1489" i="1"/>
  <c r="N1489" i="1"/>
  <c r="P1489" i="1"/>
  <c r="Q1489" i="1"/>
  <c r="R1489" i="1"/>
  <c r="S1489" i="1"/>
  <c r="T1489" i="1"/>
  <c r="Z1489" i="1"/>
  <c r="AL1489" i="1"/>
  <c r="A1490" i="1"/>
  <c r="B1490" i="1"/>
  <c r="C1490" i="1"/>
  <c r="G1490" i="1"/>
  <c r="H1490" i="1"/>
  <c r="I1490" i="1"/>
  <c r="J1490" i="1"/>
  <c r="K1490" i="1"/>
  <c r="M1490" i="1"/>
  <c r="N1490" i="1"/>
  <c r="P1490" i="1"/>
  <c r="Q1490" i="1"/>
  <c r="R1490" i="1"/>
  <c r="S1490" i="1"/>
  <c r="T1490" i="1"/>
  <c r="Z1490" i="1"/>
  <c r="AL1490" i="1"/>
  <c r="A1491" i="1"/>
  <c r="B1491" i="1"/>
  <c r="C1491" i="1"/>
  <c r="G1491" i="1"/>
  <c r="H1491" i="1"/>
  <c r="I1491" i="1"/>
  <c r="J1491" i="1"/>
  <c r="K1491" i="1"/>
  <c r="M1491" i="1"/>
  <c r="N1491" i="1"/>
  <c r="P1491" i="1"/>
  <c r="Q1491" i="1"/>
  <c r="R1491" i="1"/>
  <c r="S1491" i="1"/>
  <c r="T1491" i="1"/>
  <c r="Z1491" i="1"/>
  <c r="AL1491" i="1"/>
  <c r="A1492" i="1"/>
  <c r="B1492" i="1"/>
  <c r="C1492" i="1"/>
  <c r="G1492" i="1"/>
  <c r="H1492" i="1"/>
  <c r="I1492" i="1"/>
  <c r="J1492" i="1"/>
  <c r="K1492" i="1"/>
  <c r="M1492" i="1"/>
  <c r="N1492" i="1"/>
  <c r="P1492" i="1"/>
  <c r="Q1492" i="1"/>
  <c r="R1492" i="1"/>
  <c r="S1492" i="1"/>
  <c r="T1492" i="1"/>
  <c r="Z1492" i="1"/>
  <c r="AL1492" i="1"/>
  <c r="A1493" i="1"/>
  <c r="B1493" i="1"/>
  <c r="C1493" i="1"/>
  <c r="G1493" i="1"/>
  <c r="H1493" i="1"/>
  <c r="I1493" i="1"/>
  <c r="J1493" i="1"/>
  <c r="K1493" i="1"/>
  <c r="M1493" i="1"/>
  <c r="N1493" i="1"/>
  <c r="P1493" i="1"/>
  <c r="Q1493" i="1"/>
  <c r="R1493" i="1"/>
  <c r="S1493" i="1"/>
  <c r="T1493" i="1"/>
  <c r="Z1493" i="1"/>
  <c r="AL1493" i="1"/>
  <c r="A1494" i="1"/>
  <c r="B1494" i="1"/>
  <c r="C1494" i="1"/>
  <c r="G1494" i="1"/>
  <c r="H1494" i="1"/>
  <c r="I1494" i="1"/>
  <c r="J1494" i="1"/>
  <c r="K1494" i="1"/>
  <c r="M1494" i="1"/>
  <c r="N1494" i="1"/>
  <c r="P1494" i="1"/>
  <c r="Q1494" i="1"/>
  <c r="R1494" i="1"/>
  <c r="S1494" i="1"/>
  <c r="T1494" i="1"/>
  <c r="Z1494" i="1"/>
  <c r="AL1494" i="1"/>
  <c r="A1495" i="1"/>
  <c r="B1495" i="1"/>
  <c r="C1495" i="1"/>
  <c r="G1495" i="1"/>
  <c r="H1495" i="1"/>
  <c r="I1495" i="1"/>
  <c r="J1495" i="1"/>
  <c r="K1495" i="1"/>
  <c r="M1495" i="1"/>
  <c r="N1495" i="1"/>
  <c r="P1495" i="1"/>
  <c r="Q1495" i="1"/>
  <c r="R1495" i="1"/>
  <c r="S1495" i="1"/>
  <c r="T1495" i="1"/>
  <c r="Z1495" i="1"/>
  <c r="AL1495" i="1"/>
  <c r="A1496" i="1"/>
  <c r="B1496" i="1"/>
  <c r="C1496" i="1"/>
  <c r="G1496" i="1"/>
  <c r="H1496" i="1"/>
  <c r="I1496" i="1"/>
  <c r="J1496" i="1"/>
  <c r="K1496" i="1"/>
  <c r="M1496" i="1"/>
  <c r="N1496" i="1"/>
  <c r="P1496" i="1"/>
  <c r="Q1496" i="1"/>
  <c r="R1496" i="1"/>
  <c r="S1496" i="1"/>
  <c r="T1496" i="1"/>
  <c r="Z1496" i="1"/>
  <c r="AL1496" i="1"/>
  <c r="A1497" i="1"/>
  <c r="B1497" i="1"/>
  <c r="C1497" i="1"/>
  <c r="G1497" i="1"/>
  <c r="H1497" i="1"/>
  <c r="I1497" i="1"/>
  <c r="J1497" i="1"/>
  <c r="K1497" i="1"/>
  <c r="M1497" i="1"/>
  <c r="N1497" i="1"/>
  <c r="P1497" i="1"/>
  <c r="Q1497" i="1"/>
  <c r="R1497" i="1"/>
  <c r="S1497" i="1"/>
  <c r="T1497" i="1"/>
  <c r="Z1497" i="1"/>
  <c r="AL1497" i="1"/>
  <c r="A1498" i="1"/>
  <c r="B1498" i="1"/>
  <c r="C1498" i="1"/>
  <c r="G1498" i="1"/>
  <c r="H1498" i="1"/>
  <c r="I1498" i="1"/>
  <c r="J1498" i="1"/>
  <c r="K1498" i="1"/>
  <c r="M1498" i="1"/>
  <c r="N1498" i="1"/>
  <c r="P1498" i="1"/>
  <c r="Q1498" i="1"/>
  <c r="R1498" i="1"/>
  <c r="S1498" i="1"/>
  <c r="T1498" i="1"/>
  <c r="Z1498" i="1"/>
  <c r="AL1498" i="1"/>
  <c r="A1499" i="1"/>
  <c r="B1499" i="1"/>
  <c r="C1499" i="1"/>
  <c r="G1499" i="1"/>
  <c r="H1499" i="1"/>
  <c r="I1499" i="1"/>
  <c r="J1499" i="1"/>
  <c r="K1499" i="1"/>
  <c r="M1499" i="1"/>
  <c r="N1499" i="1"/>
  <c r="P1499" i="1"/>
  <c r="Q1499" i="1"/>
  <c r="R1499" i="1"/>
  <c r="S1499" i="1"/>
  <c r="T1499" i="1"/>
  <c r="Z1499" i="1"/>
  <c r="AL1499" i="1"/>
  <c r="A1500" i="1"/>
  <c r="B1500" i="1"/>
  <c r="C1500" i="1"/>
  <c r="G1500" i="1"/>
  <c r="H1500" i="1"/>
  <c r="I1500" i="1"/>
  <c r="J1500" i="1"/>
  <c r="K1500" i="1"/>
  <c r="M1500" i="1"/>
  <c r="N1500" i="1"/>
  <c r="P1500" i="1"/>
  <c r="Q1500" i="1"/>
  <c r="R1500" i="1"/>
  <c r="S1500" i="1"/>
  <c r="T1500" i="1"/>
  <c r="Z1500" i="1"/>
  <c r="AL1500" i="1"/>
  <c r="A1501" i="1"/>
  <c r="B1501" i="1"/>
  <c r="C1501" i="1"/>
  <c r="G1501" i="1"/>
  <c r="H1501" i="1"/>
  <c r="I1501" i="1"/>
  <c r="J1501" i="1"/>
  <c r="K1501" i="1"/>
  <c r="M1501" i="1"/>
  <c r="N1501" i="1"/>
  <c r="P1501" i="1"/>
  <c r="Q1501" i="1"/>
  <c r="R1501" i="1"/>
  <c r="S1501" i="1"/>
  <c r="T1501" i="1"/>
  <c r="Z1501" i="1"/>
  <c r="AL1501" i="1"/>
  <c r="A1502" i="1"/>
  <c r="B1502" i="1"/>
  <c r="C1502" i="1"/>
  <c r="G1502" i="1"/>
  <c r="H1502" i="1"/>
  <c r="I1502" i="1"/>
  <c r="J1502" i="1"/>
  <c r="K1502" i="1"/>
  <c r="M1502" i="1"/>
  <c r="N1502" i="1"/>
  <c r="P1502" i="1"/>
  <c r="Q1502" i="1"/>
  <c r="R1502" i="1"/>
  <c r="S1502" i="1"/>
  <c r="T1502" i="1"/>
  <c r="Z1502" i="1"/>
  <c r="AL1502" i="1"/>
  <c r="A1503" i="1"/>
  <c r="B1503" i="1"/>
  <c r="C1503" i="1"/>
  <c r="G1503" i="1"/>
  <c r="H1503" i="1"/>
  <c r="I1503" i="1"/>
  <c r="J1503" i="1"/>
  <c r="K1503" i="1"/>
  <c r="M1503" i="1"/>
  <c r="N1503" i="1"/>
  <c r="P1503" i="1"/>
  <c r="Q1503" i="1"/>
  <c r="R1503" i="1"/>
  <c r="S1503" i="1"/>
  <c r="T1503" i="1"/>
  <c r="Z1503" i="1"/>
  <c r="AL1503" i="1"/>
  <c r="A1504" i="1"/>
  <c r="B1504" i="1"/>
  <c r="C1504" i="1"/>
  <c r="G1504" i="1"/>
  <c r="H1504" i="1"/>
  <c r="I1504" i="1"/>
  <c r="J1504" i="1"/>
  <c r="K1504" i="1"/>
  <c r="M1504" i="1"/>
  <c r="N1504" i="1"/>
  <c r="P1504" i="1"/>
  <c r="Q1504" i="1"/>
  <c r="R1504" i="1"/>
  <c r="S1504" i="1"/>
  <c r="T1504" i="1"/>
  <c r="Z1504" i="1"/>
  <c r="AL1504" i="1"/>
  <c r="A1505" i="1"/>
  <c r="B1505" i="1"/>
  <c r="C1505" i="1"/>
  <c r="G1505" i="1"/>
  <c r="H1505" i="1"/>
  <c r="I1505" i="1"/>
  <c r="J1505" i="1"/>
  <c r="K1505" i="1"/>
  <c r="M1505" i="1"/>
  <c r="N1505" i="1"/>
  <c r="P1505" i="1"/>
  <c r="Q1505" i="1"/>
  <c r="R1505" i="1"/>
  <c r="S1505" i="1"/>
  <c r="T1505" i="1"/>
  <c r="Z1505" i="1"/>
  <c r="AL1505" i="1"/>
  <c r="A1506" i="1"/>
  <c r="B1506" i="1"/>
  <c r="C1506" i="1"/>
  <c r="G1506" i="1"/>
  <c r="H1506" i="1"/>
  <c r="I1506" i="1"/>
  <c r="J1506" i="1"/>
  <c r="K1506" i="1"/>
  <c r="M1506" i="1"/>
  <c r="N1506" i="1"/>
  <c r="P1506" i="1"/>
  <c r="Q1506" i="1"/>
  <c r="R1506" i="1"/>
  <c r="S1506" i="1"/>
  <c r="T1506" i="1"/>
  <c r="Z1506" i="1"/>
  <c r="AL1506" i="1"/>
  <c r="A1507" i="1"/>
  <c r="B1507" i="1"/>
  <c r="C1507" i="1"/>
  <c r="G1507" i="1"/>
  <c r="H1507" i="1"/>
  <c r="I1507" i="1"/>
  <c r="J1507" i="1"/>
  <c r="K1507" i="1"/>
  <c r="M1507" i="1"/>
  <c r="N1507" i="1"/>
  <c r="P1507" i="1"/>
  <c r="Q1507" i="1"/>
  <c r="R1507" i="1"/>
  <c r="S1507" i="1"/>
  <c r="T1507" i="1"/>
  <c r="Z1507" i="1"/>
  <c r="AL1507" i="1"/>
  <c r="A1508" i="1"/>
  <c r="B1508" i="1"/>
  <c r="C1508" i="1"/>
  <c r="G1508" i="1"/>
  <c r="H1508" i="1"/>
  <c r="I1508" i="1"/>
  <c r="J1508" i="1"/>
  <c r="K1508" i="1"/>
  <c r="M1508" i="1"/>
  <c r="N1508" i="1"/>
  <c r="P1508" i="1"/>
  <c r="Q1508" i="1"/>
  <c r="R1508" i="1"/>
  <c r="S1508" i="1"/>
  <c r="T1508" i="1"/>
  <c r="Z1508" i="1"/>
  <c r="AL1508" i="1"/>
  <c r="A1509" i="1"/>
  <c r="B1509" i="1"/>
  <c r="C1509" i="1"/>
  <c r="G1509" i="1"/>
  <c r="H1509" i="1"/>
  <c r="I1509" i="1"/>
  <c r="J1509" i="1"/>
  <c r="K1509" i="1"/>
  <c r="M1509" i="1"/>
  <c r="N1509" i="1"/>
  <c r="P1509" i="1"/>
  <c r="Q1509" i="1"/>
  <c r="R1509" i="1"/>
  <c r="S1509" i="1"/>
  <c r="T1509" i="1"/>
  <c r="Z1509" i="1"/>
  <c r="AL1509" i="1"/>
  <c r="A1510" i="1"/>
  <c r="B1510" i="1"/>
  <c r="C1510" i="1"/>
  <c r="G1510" i="1"/>
  <c r="H1510" i="1"/>
  <c r="I1510" i="1"/>
  <c r="J1510" i="1"/>
  <c r="K1510" i="1"/>
  <c r="M1510" i="1"/>
  <c r="N1510" i="1"/>
  <c r="P1510" i="1"/>
  <c r="Q1510" i="1"/>
  <c r="R1510" i="1"/>
  <c r="S1510" i="1"/>
  <c r="T1510" i="1"/>
  <c r="Z1510" i="1"/>
  <c r="AL1510" i="1"/>
  <c r="A1511" i="1"/>
  <c r="B1511" i="1"/>
  <c r="C1511" i="1"/>
  <c r="G1511" i="1"/>
  <c r="H1511" i="1"/>
  <c r="I1511" i="1"/>
  <c r="J1511" i="1"/>
  <c r="K1511" i="1"/>
  <c r="P1511" i="1"/>
  <c r="Q1511" i="1"/>
  <c r="R1511" i="1"/>
  <c r="S1511" i="1"/>
  <c r="T1511" i="1"/>
  <c r="Z1511" i="1"/>
  <c r="AL1511" i="1"/>
  <c r="A1512" i="1"/>
  <c r="B1512" i="1"/>
  <c r="C1512" i="1"/>
  <c r="G1512" i="1"/>
  <c r="H1512" i="1"/>
  <c r="I1512" i="1"/>
  <c r="J1512" i="1"/>
  <c r="K1512" i="1"/>
  <c r="M1512" i="1"/>
  <c r="N1512" i="1"/>
  <c r="P1512" i="1"/>
  <c r="Q1512" i="1"/>
  <c r="R1512" i="1"/>
  <c r="S1512" i="1"/>
  <c r="T1512" i="1"/>
  <c r="Z1512" i="1"/>
  <c r="AL1512" i="1"/>
  <c r="A1513" i="1"/>
  <c r="B1513" i="1"/>
  <c r="C1513" i="1"/>
  <c r="G1513" i="1"/>
  <c r="H1513" i="1"/>
  <c r="I1513" i="1"/>
  <c r="J1513" i="1"/>
  <c r="K1513" i="1"/>
  <c r="M1513" i="1"/>
  <c r="N1513" i="1"/>
  <c r="P1513" i="1"/>
  <c r="Q1513" i="1"/>
  <c r="R1513" i="1"/>
  <c r="S1513" i="1"/>
  <c r="T1513" i="1"/>
  <c r="Z1513" i="1"/>
  <c r="AL1513" i="1"/>
  <c r="A1514" i="1"/>
  <c r="B1514" i="1"/>
  <c r="C1514" i="1"/>
  <c r="G1514" i="1"/>
  <c r="H1514" i="1"/>
  <c r="I1514" i="1"/>
  <c r="J1514" i="1"/>
  <c r="K1514" i="1"/>
  <c r="M1514" i="1"/>
  <c r="N1514" i="1"/>
  <c r="P1514" i="1"/>
  <c r="Q1514" i="1"/>
  <c r="R1514" i="1"/>
  <c r="S1514" i="1"/>
  <c r="T1514" i="1"/>
  <c r="Z1514" i="1"/>
  <c r="AL1514" i="1"/>
  <c r="A1515" i="1"/>
  <c r="B1515" i="1"/>
  <c r="C1515" i="1"/>
  <c r="G1515" i="1"/>
  <c r="H1515" i="1"/>
  <c r="I1515" i="1"/>
  <c r="J1515" i="1"/>
  <c r="K1515" i="1"/>
  <c r="M1515" i="1"/>
  <c r="N1515" i="1"/>
  <c r="P1515" i="1"/>
  <c r="Q1515" i="1"/>
  <c r="R1515" i="1"/>
  <c r="S1515" i="1"/>
  <c r="T1515" i="1"/>
  <c r="Z1515" i="1"/>
  <c r="AL1515" i="1"/>
  <c r="A1516" i="1"/>
  <c r="B1516" i="1"/>
  <c r="C1516" i="1"/>
  <c r="G1516" i="1"/>
  <c r="H1516" i="1"/>
  <c r="I1516" i="1"/>
  <c r="J1516" i="1"/>
  <c r="K1516" i="1"/>
  <c r="M1516" i="1"/>
  <c r="N1516" i="1"/>
  <c r="P1516" i="1"/>
  <c r="Q1516" i="1"/>
  <c r="R1516" i="1"/>
  <c r="S1516" i="1"/>
  <c r="T1516" i="1"/>
  <c r="Z1516" i="1"/>
  <c r="AL1516" i="1"/>
  <c r="A1517" i="1"/>
  <c r="B1517" i="1"/>
  <c r="C1517" i="1"/>
  <c r="G1517" i="1"/>
  <c r="H1517" i="1"/>
  <c r="I1517" i="1"/>
  <c r="J1517" i="1"/>
  <c r="K1517" i="1"/>
  <c r="M1517" i="1"/>
  <c r="N1517" i="1"/>
  <c r="P1517" i="1"/>
  <c r="Q1517" i="1"/>
  <c r="R1517" i="1"/>
  <c r="S1517" i="1"/>
  <c r="T1517" i="1"/>
  <c r="Z1517" i="1"/>
  <c r="AL1517" i="1"/>
  <c r="A1518" i="1"/>
  <c r="B1518" i="1"/>
  <c r="C1518" i="1"/>
  <c r="G1518" i="1"/>
  <c r="H1518" i="1"/>
  <c r="I1518" i="1"/>
  <c r="J1518" i="1"/>
  <c r="K1518" i="1"/>
  <c r="M1518" i="1"/>
  <c r="N1518" i="1"/>
  <c r="P1518" i="1"/>
  <c r="Q1518" i="1"/>
  <c r="R1518" i="1"/>
  <c r="S1518" i="1"/>
  <c r="T1518" i="1"/>
  <c r="Z1518" i="1"/>
  <c r="AL1518" i="1"/>
  <c r="A1519" i="1"/>
  <c r="B1519" i="1"/>
  <c r="C1519" i="1"/>
  <c r="G1519" i="1"/>
  <c r="H1519" i="1"/>
  <c r="I1519" i="1"/>
  <c r="J1519" i="1"/>
  <c r="K1519" i="1"/>
  <c r="M1519" i="1"/>
  <c r="N1519" i="1"/>
  <c r="P1519" i="1"/>
  <c r="Q1519" i="1"/>
  <c r="R1519" i="1"/>
  <c r="S1519" i="1"/>
  <c r="T1519" i="1"/>
  <c r="Z1519" i="1"/>
  <c r="AL1519" i="1"/>
  <c r="A1520" i="1"/>
  <c r="B1520" i="1"/>
  <c r="C1520" i="1"/>
  <c r="G1520" i="1"/>
  <c r="H1520" i="1"/>
  <c r="I1520" i="1"/>
  <c r="J1520" i="1"/>
  <c r="K1520" i="1"/>
  <c r="M1520" i="1"/>
  <c r="N1520" i="1"/>
  <c r="P1520" i="1"/>
  <c r="Q1520" i="1"/>
  <c r="R1520" i="1"/>
  <c r="S1520" i="1"/>
  <c r="T1520" i="1"/>
  <c r="Z1520" i="1"/>
  <c r="AL1520" i="1"/>
  <c r="A1521" i="1"/>
  <c r="B1521" i="1"/>
  <c r="C1521" i="1"/>
  <c r="G1521" i="1"/>
  <c r="H1521" i="1"/>
  <c r="I1521" i="1"/>
  <c r="J1521" i="1"/>
  <c r="K1521" i="1"/>
  <c r="M1521" i="1"/>
  <c r="N1521" i="1"/>
  <c r="P1521" i="1"/>
  <c r="Q1521" i="1"/>
  <c r="R1521" i="1"/>
  <c r="S1521" i="1"/>
  <c r="T1521" i="1"/>
  <c r="Z1521" i="1"/>
  <c r="AL1521" i="1"/>
  <c r="A1522" i="1"/>
  <c r="B1522" i="1"/>
  <c r="C1522" i="1"/>
  <c r="G1522" i="1"/>
  <c r="H1522" i="1"/>
  <c r="I1522" i="1"/>
  <c r="J1522" i="1"/>
  <c r="K1522" i="1"/>
  <c r="M1522" i="1"/>
  <c r="N1522" i="1"/>
  <c r="P1522" i="1"/>
  <c r="Q1522" i="1"/>
  <c r="R1522" i="1"/>
  <c r="S1522" i="1"/>
  <c r="T1522" i="1"/>
  <c r="Z1522" i="1"/>
  <c r="AL1522" i="1"/>
  <c r="A1523" i="1"/>
  <c r="B1523" i="1"/>
  <c r="C1523" i="1"/>
  <c r="G1523" i="1"/>
  <c r="H1523" i="1"/>
  <c r="I1523" i="1"/>
  <c r="J1523" i="1"/>
  <c r="K1523" i="1"/>
  <c r="M1523" i="1"/>
  <c r="N1523" i="1"/>
  <c r="P1523" i="1"/>
  <c r="Q1523" i="1"/>
  <c r="R1523" i="1"/>
  <c r="S1523" i="1"/>
  <c r="T1523" i="1"/>
  <c r="Z1523" i="1"/>
  <c r="AL1523" i="1"/>
  <c r="A1524" i="1"/>
  <c r="B1524" i="1"/>
  <c r="C1524" i="1"/>
  <c r="G1524" i="1"/>
  <c r="H1524" i="1"/>
  <c r="I1524" i="1"/>
  <c r="J1524" i="1"/>
  <c r="K1524" i="1"/>
  <c r="M1524" i="1"/>
  <c r="N1524" i="1"/>
  <c r="P1524" i="1"/>
  <c r="Q1524" i="1"/>
  <c r="R1524" i="1"/>
  <c r="S1524" i="1"/>
  <c r="T1524" i="1"/>
  <c r="Z1524" i="1"/>
  <c r="AL1524" i="1"/>
  <c r="A1525" i="1"/>
  <c r="B1525" i="1"/>
  <c r="C1525" i="1"/>
  <c r="G1525" i="1"/>
  <c r="H1525" i="1"/>
  <c r="I1525" i="1"/>
  <c r="J1525" i="1"/>
  <c r="K1525" i="1"/>
  <c r="M1525" i="1"/>
  <c r="N1525" i="1"/>
  <c r="P1525" i="1"/>
  <c r="Q1525" i="1"/>
  <c r="R1525" i="1"/>
  <c r="S1525" i="1"/>
  <c r="T1525" i="1"/>
  <c r="Z1525" i="1"/>
  <c r="AL1525" i="1"/>
  <c r="A1526" i="1"/>
  <c r="B1526" i="1"/>
  <c r="C1526" i="1"/>
  <c r="G1526" i="1"/>
  <c r="H1526" i="1"/>
  <c r="I1526" i="1"/>
  <c r="J1526" i="1"/>
  <c r="K1526" i="1"/>
  <c r="M1526" i="1"/>
  <c r="N1526" i="1"/>
  <c r="P1526" i="1"/>
  <c r="Q1526" i="1"/>
  <c r="R1526" i="1"/>
  <c r="S1526" i="1"/>
  <c r="T1526" i="1"/>
  <c r="Z1526" i="1"/>
  <c r="AL1526" i="1"/>
  <c r="A1527" i="1"/>
  <c r="B1527" i="1"/>
  <c r="C1527" i="1"/>
  <c r="G1527" i="1"/>
  <c r="H1527" i="1"/>
  <c r="I1527" i="1"/>
  <c r="J1527" i="1"/>
  <c r="K1527" i="1"/>
  <c r="M1527" i="1"/>
  <c r="N1527" i="1"/>
  <c r="P1527" i="1"/>
  <c r="Q1527" i="1"/>
  <c r="R1527" i="1"/>
  <c r="S1527" i="1"/>
  <c r="T1527" i="1"/>
  <c r="Z1527" i="1"/>
  <c r="AL1527" i="1"/>
  <c r="A1528" i="1"/>
  <c r="B1528" i="1"/>
  <c r="C1528" i="1"/>
  <c r="G1528" i="1"/>
  <c r="H1528" i="1"/>
  <c r="I1528" i="1"/>
  <c r="J1528" i="1"/>
  <c r="K1528" i="1"/>
  <c r="M1528" i="1"/>
  <c r="N1528" i="1"/>
  <c r="P1528" i="1"/>
  <c r="Q1528" i="1"/>
  <c r="R1528" i="1"/>
  <c r="S1528" i="1"/>
  <c r="T1528" i="1"/>
  <c r="Z1528" i="1"/>
  <c r="AL1528" i="1"/>
  <c r="A1529" i="1"/>
  <c r="B1529" i="1"/>
  <c r="C1529" i="1"/>
  <c r="G1529" i="1"/>
  <c r="H1529" i="1"/>
  <c r="I1529" i="1"/>
  <c r="J1529" i="1"/>
  <c r="K1529" i="1"/>
  <c r="M1529" i="1"/>
  <c r="N1529" i="1"/>
  <c r="P1529" i="1"/>
  <c r="Q1529" i="1"/>
  <c r="R1529" i="1"/>
  <c r="S1529" i="1"/>
  <c r="T1529" i="1"/>
  <c r="Z1529" i="1"/>
  <c r="AL1529" i="1"/>
  <c r="A1530" i="1"/>
  <c r="B1530" i="1"/>
  <c r="C1530" i="1"/>
  <c r="G1530" i="1"/>
  <c r="H1530" i="1"/>
  <c r="I1530" i="1"/>
  <c r="J1530" i="1"/>
  <c r="K1530" i="1"/>
  <c r="M1530" i="1"/>
  <c r="N1530" i="1"/>
  <c r="P1530" i="1"/>
  <c r="Q1530" i="1"/>
  <c r="R1530" i="1"/>
  <c r="S1530" i="1"/>
  <c r="T1530" i="1"/>
  <c r="Z1530" i="1"/>
  <c r="AL1530" i="1"/>
  <c r="A1531" i="1"/>
  <c r="B1531" i="1"/>
  <c r="C1531" i="1"/>
  <c r="G1531" i="1"/>
  <c r="H1531" i="1"/>
  <c r="I1531" i="1"/>
  <c r="J1531" i="1"/>
  <c r="K1531" i="1"/>
  <c r="M1531" i="1"/>
  <c r="N1531" i="1"/>
  <c r="P1531" i="1"/>
  <c r="Q1531" i="1"/>
  <c r="R1531" i="1"/>
  <c r="S1531" i="1"/>
  <c r="T1531" i="1"/>
  <c r="Z1531" i="1"/>
  <c r="AL1531" i="1"/>
  <c r="A1532" i="1"/>
  <c r="B1532" i="1"/>
  <c r="C1532" i="1"/>
  <c r="G1532" i="1"/>
  <c r="H1532" i="1"/>
  <c r="I1532" i="1"/>
  <c r="J1532" i="1"/>
  <c r="K1532" i="1"/>
  <c r="M1532" i="1"/>
  <c r="N1532" i="1"/>
  <c r="P1532" i="1"/>
  <c r="Q1532" i="1"/>
  <c r="R1532" i="1"/>
  <c r="S1532" i="1"/>
  <c r="T1532" i="1"/>
  <c r="Z1532" i="1"/>
  <c r="AL1532" i="1"/>
  <c r="A1533" i="1"/>
  <c r="B1533" i="1"/>
  <c r="C1533" i="1"/>
  <c r="G1533" i="1"/>
  <c r="H1533" i="1"/>
  <c r="I1533" i="1"/>
  <c r="J1533" i="1"/>
  <c r="K1533" i="1"/>
  <c r="M1533" i="1"/>
  <c r="N1533" i="1"/>
  <c r="P1533" i="1"/>
  <c r="Q1533" i="1"/>
  <c r="R1533" i="1"/>
  <c r="S1533" i="1"/>
  <c r="T1533" i="1"/>
  <c r="Z1533" i="1"/>
  <c r="AL1533" i="1"/>
  <c r="A1534" i="1"/>
  <c r="B1534" i="1"/>
  <c r="C1534" i="1"/>
  <c r="G1534" i="1"/>
  <c r="H1534" i="1"/>
  <c r="I1534" i="1"/>
  <c r="J1534" i="1"/>
  <c r="K1534" i="1"/>
  <c r="M1534" i="1"/>
  <c r="N1534" i="1"/>
  <c r="P1534" i="1"/>
  <c r="Q1534" i="1"/>
  <c r="R1534" i="1"/>
  <c r="S1534" i="1"/>
  <c r="T1534" i="1"/>
  <c r="Z1534" i="1"/>
  <c r="AL1534" i="1"/>
  <c r="A1535" i="1"/>
  <c r="B1535" i="1"/>
  <c r="C1535" i="1"/>
  <c r="G1535" i="1"/>
  <c r="H1535" i="1"/>
  <c r="I1535" i="1"/>
  <c r="J1535" i="1"/>
  <c r="K1535" i="1"/>
  <c r="M1535" i="1"/>
  <c r="N1535" i="1"/>
  <c r="P1535" i="1"/>
  <c r="Q1535" i="1"/>
  <c r="R1535" i="1"/>
  <c r="S1535" i="1"/>
  <c r="T1535" i="1"/>
  <c r="Z1535" i="1"/>
  <c r="AL1535" i="1"/>
  <c r="A1536" i="1"/>
  <c r="B1536" i="1"/>
  <c r="C1536" i="1"/>
  <c r="G1536" i="1"/>
  <c r="H1536" i="1"/>
  <c r="I1536" i="1"/>
  <c r="J1536" i="1"/>
  <c r="K1536" i="1"/>
  <c r="M1536" i="1"/>
  <c r="N1536" i="1"/>
  <c r="P1536" i="1"/>
  <c r="Q1536" i="1"/>
  <c r="R1536" i="1"/>
  <c r="S1536" i="1"/>
  <c r="T1536" i="1"/>
  <c r="Z1536" i="1"/>
  <c r="AL1536" i="1"/>
  <c r="A1537" i="1"/>
  <c r="B1537" i="1"/>
  <c r="C1537" i="1"/>
  <c r="G1537" i="1"/>
  <c r="H1537" i="1"/>
  <c r="I1537" i="1"/>
  <c r="J1537" i="1"/>
  <c r="K1537" i="1"/>
  <c r="M1537" i="1"/>
  <c r="N1537" i="1"/>
  <c r="P1537" i="1"/>
  <c r="Q1537" i="1"/>
  <c r="R1537" i="1"/>
  <c r="S1537" i="1"/>
  <c r="T1537" i="1"/>
  <c r="Z1537" i="1"/>
  <c r="AL1537" i="1"/>
  <c r="A1538" i="1"/>
  <c r="B1538" i="1"/>
  <c r="C1538" i="1"/>
  <c r="G1538" i="1"/>
  <c r="H1538" i="1"/>
  <c r="I1538" i="1"/>
  <c r="J1538" i="1"/>
  <c r="K1538" i="1"/>
  <c r="M1538" i="1"/>
  <c r="N1538" i="1"/>
  <c r="P1538" i="1"/>
  <c r="Q1538" i="1"/>
  <c r="R1538" i="1"/>
  <c r="S1538" i="1"/>
  <c r="T1538" i="1"/>
  <c r="Z1538" i="1"/>
  <c r="AL1538" i="1"/>
  <c r="A1539" i="1"/>
  <c r="B1539" i="1"/>
  <c r="C1539" i="1"/>
  <c r="G1539" i="1"/>
  <c r="H1539" i="1"/>
  <c r="I1539" i="1"/>
  <c r="J1539" i="1"/>
  <c r="K1539" i="1"/>
  <c r="M1539" i="1"/>
  <c r="N1539" i="1"/>
  <c r="P1539" i="1"/>
  <c r="Q1539" i="1"/>
  <c r="R1539" i="1"/>
  <c r="S1539" i="1"/>
  <c r="T1539" i="1"/>
  <c r="Z1539" i="1"/>
  <c r="AL1539" i="1"/>
  <c r="A1540" i="1"/>
  <c r="B1540" i="1"/>
  <c r="C1540" i="1"/>
  <c r="G1540" i="1"/>
  <c r="H1540" i="1"/>
  <c r="I1540" i="1"/>
  <c r="J1540" i="1"/>
  <c r="K1540" i="1"/>
  <c r="M1540" i="1"/>
  <c r="N1540" i="1"/>
  <c r="P1540" i="1"/>
  <c r="Q1540" i="1"/>
  <c r="R1540" i="1"/>
  <c r="S1540" i="1"/>
  <c r="T1540" i="1"/>
  <c r="Z1540" i="1"/>
  <c r="AL1540" i="1"/>
  <c r="A1541" i="1"/>
  <c r="B1541" i="1"/>
  <c r="C1541" i="1"/>
  <c r="G1541" i="1"/>
  <c r="H1541" i="1"/>
  <c r="I1541" i="1"/>
  <c r="J1541" i="1"/>
  <c r="K1541" i="1"/>
  <c r="M1541" i="1"/>
  <c r="N1541" i="1"/>
  <c r="P1541" i="1"/>
  <c r="Q1541" i="1"/>
  <c r="R1541" i="1"/>
  <c r="S1541" i="1"/>
  <c r="T1541" i="1"/>
  <c r="Z1541" i="1"/>
  <c r="AL1541" i="1"/>
  <c r="A1542" i="1"/>
  <c r="B1542" i="1"/>
  <c r="C1542" i="1"/>
  <c r="G1542" i="1"/>
  <c r="H1542" i="1"/>
  <c r="I1542" i="1"/>
  <c r="J1542" i="1"/>
  <c r="K1542" i="1"/>
  <c r="M1542" i="1"/>
  <c r="N1542" i="1"/>
  <c r="P1542" i="1"/>
  <c r="Q1542" i="1"/>
  <c r="R1542" i="1"/>
  <c r="S1542" i="1"/>
  <c r="T1542" i="1"/>
  <c r="Z1542" i="1"/>
  <c r="AL1542" i="1"/>
  <c r="A1543" i="1"/>
  <c r="B1543" i="1"/>
  <c r="C1543" i="1"/>
  <c r="G1543" i="1"/>
  <c r="H1543" i="1"/>
  <c r="I1543" i="1"/>
  <c r="J1543" i="1"/>
  <c r="K1543" i="1"/>
  <c r="M1543" i="1"/>
  <c r="N1543" i="1"/>
  <c r="P1543" i="1"/>
  <c r="Q1543" i="1"/>
  <c r="R1543" i="1"/>
  <c r="S1543" i="1"/>
  <c r="T1543" i="1"/>
  <c r="Z1543" i="1"/>
  <c r="AL1543" i="1"/>
  <c r="A1544" i="1"/>
  <c r="B1544" i="1"/>
  <c r="C1544" i="1"/>
  <c r="G1544" i="1"/>
  <c r="H1544" i="1"/>
  <c r="I1544" i="1"/>
  <c r="J1544" i="1"/>
  <c r="K1544" i="1"/>
  <c r="M1544" i="1"/>
  <c r="N1544" i="1"/>
  <c r="P1544" i="1"/>
  <c r="Q1544" i="1"/>
  <c r="R1544" i="1"/>
  <c r="S1544" i="1"/>
  <c r="T1544" i="1"/>
  <c r="Z1544" i="1"/>
  <c r="AL1544" i="1"/>
  <c r="A1545" i="1"/>
  <c r="B1545" i="1"/>
  <c r="C1545" i="1"/>
  <c r="G1545" i="1"/>
  <c r="H1545" i="1"/>
  <c r="I1545" i="1"/>
  <c r="J1545" i="1"/>
  <c r="K1545" i="1"/>
  <c r="M1545" i="1"/>
  <c r="N1545" i="1"/>
  <c r="P1545" i="1"/>
  <c r="Q1545" i="1"/>
  <c r="R1545" i="1"/>
  <c r="S1545" i="1"/>
  <c r="T1545" i="1"/>
  <c r="Z1545" i="1"/>
  <c r="AL1545" i="1"/>
  <c r="A1546" i="1"/>
  <c r="B1546" i="1"/>
  <c r="C1546" i="1"/>
  <c r="G1546" i="1"/>
  <c r="H1546" i="1"/>
  <c r="I1546" i="1"/>
  <c r="J1546" i="1"/>
  <c r="K1546" i="1"/>
  <c r="M1546" i="1"/>
  <c r="N1546" i="1"/>
  <c r="P1546" i="1"/>
  <c r="Q1546" i="1"/>
  <c r="R1546" i="1"/>
  <c r="S1546" i="1"/>
  <c r="T1546" i="1"/>
  <c r="Z1546" i="1"/>
  <c r="AL1546" i="1"/>
  <c r="A1547" i="1"/>
  <c r="B1547" i="1"/>
  <c r="C1547" i="1"/>
  <c r="G1547" i="1"/>
  <c r="H1547" i="1"/>
  <c r="I1547" i="1"/>
  <c r="J1547" i="1"/>
  <c r="K1547" i="1"/>
  <c r="M1547" i="1"/>
  <c r="N1547" i="1"/>
  <c r="P1547" i="1"/>
  <c r="Q1547" i="1"/>
  <c r="R1547" i="1"/>
  <c r="S1547" i="1"/>
  <c r="T1547" i="1"/>
  <c r="Z1547" i="1"/>
  <c r="AL1547" i="1"/>
  <c r="A1548" i="1"/>
  <c r="B1548" i="1"/>
  <c r="C1548" i="1"/>
  <c r="G1548" i="1"/>
  <c r="H1548" i="1"/>
  <c r="I1548" i="1"/>
  <c r="J1548" i="1"/>
  <c r="K1548" i="1"/>
  <c r="M1548" i="1"/>
  <c r="N1548" i="1"/>
  <c r="P1548" i="1"/>
  <c r="Q1548" i="1"/>
  <c r="R1548" i="1"/>
  <c r="S1548" i="1"/>
  <c r="T1548" i="1"/>
  <c r="Z1548" i="1"/>
  <c r="AL1548" i="1"/>
  <c r="A1549" i="1"/>
  <c r="B1549" i="1"/>
  <c r="C1549" i="1"/>
  <c r="G1549" i="1"/>
  <c r="H1549" i="1"/>
  <c r="I1549" i="1"/>
  <c r="J1549" i="1"/>
  <c r="K1549" i="1"/>
  <c r="M1549" i="1"/>
  <c r="N1549" i="1"/>
  <c r="P1549" i="1"/>
  <c r="Q1549" i="1"/>
  <c r="R1549" i="1"/>
  <c r="S1549" i="1"/>
  <c r="T1549" i="1"/>
  <c r="Z1549" i="1"/>
  <c r="AL1549" i="1"/>
  <c r="A1550" i="1"/>
  <c r="B1550" i="1"/>
  <c r="C1550" i="1"/>
  <c r="G1550" i="1"/>
  <c r="H1550" i="1"/>
  <c r="I1550" i="1"/>
  <c r="J1550" i="1"/>
  <c r="K1550" i="1"/>
  <c r="M1550" i="1"/>
  <c r="N1550" i="1"/>
  <c r="P1550" i="1"/>
  <c r="Q1550" i="1"/>
  <c r="R1550" i="1"/>
  <c r="S1550" i="1"/>
  <c r="T1550" i="1"/>
  <c r="Z1550" i="1"/>
  <c r="AL1550" i="1"/>
  <c r="A1551" i="1"/>
  <c r="B1551" i="1"/>
  <c r="C1551" i="1"/>
  <c r="G1551" i="1"/>
  <c r="H1551" i="1"/>
  <c r="I1551" i="1"/>
  <c r="J1551" i="1"/>
  <c r="K1551" i="1"/>
  <c r="M1551" i="1"/>
  <c r="N1551" i="1"/>
  <c r="P1551" i="1"/>
  <c r="Q1551" i="1"/>
  <c r="R1551" i="1"/>
  <c r="S1551" i="1"/>
  <c r="T1551" i="1"/>
  <c r="Z1551" i="1"/>
  <c r="AL1551" i="1"/>
  <c r="A1552" i="1"/>
  <c r="B1552" i="1"/>
  <c r="C1552" i="1"/>
  <c r="G1552" i="1"/>
  <c r="H1552" i="1"/>
  <c r="I1552" i="1"/>
  <c r="J1552" i="1"/>
  <c r="K1552" i="1"/>
  <c r="M1552" i="1"/>
  <c r="N1552" i="1"/>
  <c r="P1552" i="1"/>
  <c r="Q1552" i="1"/>
  <c r="R1552" i="1"/>
  <c r="S1552" i="1"/>
  <c r="T1552" i="1"/>
  <c r="Z1552" i="1"/>
  <c r="AL1552" i="1"/>
  <c r="A1553" i="1"/>
  <c r="B1553" i="1"/>
  <c r="C1553" i="1"/>
  <c r="G1553" i="1"/>
  <c r="H1553" i="1"/>
  <c r="I1553" i="1"/>
  <c r="J1553" i="1"/>
  <c r="K1553" i="1"/>
  <c r="M1553" i="1"/>
  <c r="N1553" i="1"/>
  <c r="P1553" i="1"/>
  <c r="Q1553" i="1"/>
  <c r="R1553" i="1"/>
  <c r="S1553" i="1"/>
  <c r="T1553" i="1"/>
  <c r="Z1553" i="1"/>
  <c r="AL1553" i="1"/>
  <c r="A1554" i="1"/>
  <c r="B1554" i="1"/>
  <c r="C1554" i="1"/>
  <c r="G1554" i="1"/>
  <c r="H1554" i="1"/>
  <c r="I1554" i="1"/>
  <c r="J1554" i="1"/>
  <c r="K1554" i="1"/>
  <c r="M1554" i="1"/>
  <c r="N1554" i="1"/>
  <c r="P1554" i="1"/>
  <c r="Q1554" i="1"/>
  <c r="R1554" i="1"/>
  <c r="S1554" i="1"/>
  <c r="T1554" i="1"/>
  <c r="Z1554" i="1"/>
  <c r="AL1554" i="1"/>
  <c r="A1555" i="1"/>
  <c r="B1555" i="1"/>
  <c r="C1555" i="1"/>
  <c r="G1555" i="1"/>
  <c r="H1555" i="1"/>
  <c r="I1555" i="1"/>
  <c r="J1555" i="1"/>
  <c r="K1555" i="1"/>
  <c r="M1555" i="1"/>
  <c r="N1555" i="1"/>
  <c r="P1555" i="1"/>
  <c r="Q1555" i="1"/>
  <c r="R1555" i="1"/>
  <c r="S1555" i="1"/>
  <c r="T1555" i="1"/>
  <c r="AL1555" i="1"/>
  <c r="A1556" i="1"/>
  <c r="B1556" i="1"/>
  <c r="C1556" i="1"/>
  <c r="G1556" i="1"/>
  <c r="H1556" i="1"/>
  <c r="I1556" i="1"/>
  <c r="J1556" i="1"/>
  <c r="K1556" i="1"/>
  <c r="M1556" i="1"/>
  <c r="N1556" i="1"/>
  <c r="P1556" i="1"/>
  <c r="Q1556" i="1"/>
  <c r="R1556" i="1"/>
  <c r="S1556" i="1"/>
  <c r="T1556" i="1"/>
  <c r="AL1556" i="1"/>
  <c r="A1557" i="1"/>
  <c r="B1557" i="1"/>
  <c r="C1557" i="1"/>
  <c r="G1557" i="1"/>
  <c r="H1557" i="1"/>
  <c r="I1557" i="1"/>
  <c r="J1557" i="1"/>
  <c r="K1557" i="1"/>
  <c r="M1557" i="1"/>
  <c r="N1557" i="1"/>
  <c r="P1557" i="1"/>
  <c r="Q1557" i="1"/>
  <c r="R1557" i="1"/>
  <c r="S1557" i="1"/>
  <c r="T1557" i="1"/>
  <c r="AL1557" i="1"/>
  <c r="A1558" i="1"/>
  <c r="B1558" i="1"/>
  <c r="C1558" i="1"/>
  <c r="G1558" i="1"/>
  <c r="H1558" i="1"/>
  <c r="I1558" i="1"/>
  <c r="J1558" i="1"/>
  <c r="K1558" i="1"/>
  <c r="M1558" i="1"/>
  <c r="N1558" i="1"/>
  <c r="P1558" i="1"/>
  <c r="Q1558" i="1"/>
  <c r="R1558" i="1"/>
  <c r="S1558" i="1"/>
  <c r="T1558" i="1"/>
  <c r="Z1558" i="1"/>
  <c r="AL1558" i="1"/>
  <c r="A1559" i="1"/>
  <c r="B1559" i="1"/>
  <c r="C1559" i="1"/>
  <c r="G1559" i="1"/>
  <c r="H1559" i="1"/>
  <c r="I1559" i="1"/>
  <c r="J1559" i="1"/>
  <c r="K1559" i="1"/>
  <c r="M1559" i="1"/>
  <c r="N1559" i="1"/>
  <c r="P1559" i="1"/>
  <c r="Q1559" i="1"/>
  <c r="R1559" i="1"/>
  <c r="S1559" i="1"/>
  <c r="T1559" i="1"/>
  <c r="Z1559" i="1"/>
  <c r="AL1559" i="1"/>
  <c r="A1560" i="1"/>
  <c r="B1560" i="1"/>
  <c r="C1560" i="1"/>
  <c r="G1560" i="1"/>
  <c r="H1560" i="1"/>
  <c r="I1560" i="1"/>
  <c r="J1560" i="1"/>
  <c r="K1560" i="1"/>
  <c r="M1560" i="1"/>
  <c r="N1560" i="1"/>
  <c r="P1560" i="1"/>
  <c r="Q1560" i="1"/>
  <c r="R1560" i="1"/>
  <c r="S1560" i="1"/>
  <c r="T1560" i="1"/>
  <c r="Z1560" i="1"/>
  <c r="AL1560" i="1"/>
  <c r="A1561" i="1"/>
  <c r="B1561" i="1"/>
  <c r="C1561" i="1"/>
  <c r="G1561" i="1"/>
  <c r="H1561" i="1"/>
  <c r="I1561" i="1"/>
  <c r="J1561" i="1"/>
  <c r="K1561" i="1"/>
  <c r="M1561" i="1"/>
  <c r="N1561" i="1"/>
  <c r="P1561" i="1"/>
  <c r="Q1561" i="1"/>
  <c r="R1561" i="1"/>
  <c r="S1561" i="1"/>
  <c r="T1561" i="1"/>
  <c r="Z1561" i="1"/>
  <c r="AL1561" i="1"/>
  <c r="A1562" i="1"/>
  <c r="B1562" i="1"/>
  <c r="C1562" i="1"/>
  <c r="G1562" i="1"/>
  <c r="H1562" i="1"/>
  <c r="I1562" i="1"/>
  <c r="J1562" i="1"/>
  <c r="K1562" i="1"/>
  <c r="M1562" i="1"/>
  <c r="N1562" i="1"/>
  <c r="P1562" i="1"/>
  <c r="Q1562" i="1"/>
  <c r="R1562" i="1"/>
  <c r="S1562" i="1"/>
  <c r="T1562" i="1"/>
  <c r="Z1562" i="1"/>
  <c r="AL1562" i="1"/>
  <c r="A1563" i="1"/>
  <c r="B1563" i="1"/>
  <c r="C1563" i="1"/>
  <c r="G1563" i="1"/>
  <c r="H1563" i="1"/>
  <c r="I1563" i="1"/>
  <c r="J1563" i="1"/>
  <c r="K1563" i="1"/>
  <c r="M1563" i="1"/>
  <c r="N1563" i="1"/>
  <c r="P1563" i="1"/>
  <c r="Q1563" i="1"/>
  <c r="R1563" i="1"/>
  <c r="S1563" i="1"/>
  <c r="T1563" i="1"/>
  <c r="Z1563" i="1"/>
  <c r="AL1563" i="1"/>
  <c r="A1564" i="1"/>
  <c r="B1564" i="1"/>
  <c r="C1564" i="1"/>
  <c r="G1564" i="1"/>
  <c r="H1564" i="1"/>
  <c r="I1564" i="1"/>
  <c r="J1564" i="1"/>
  <c r="K1564" i="1"/>
  <c r="P1564" i="1"/>
  <c r="Q1564" i="1"/>
  <c r="R1564" i="1"/>
  <c r="S1564" i="1"/>
  <c r="T1564" i="1"/>
  <c r="Z1564" i="1"/>
  <c r="AL1564" i="1"/>
  <c r="A1565" i="1"/>
  <c r="B1565" i="1"/>
  <c r="C1565" i="1"/>
  <c r="G1565" i="1"/>
  <c r="H1565" i="1"/>
  <c r="I1565" i="1"/>
  <c r="J1565" i="1"/>
  <c r="K1565" i="1"/>
  <c r="P1565" i="1"/>
  <c r="Q1565" i="1"/>
  <c r="R1565" i="1"/>
  <c r="S1565" i="1"/>
  <c r="T1565" i="1"/>
  <c r="Z1565" i="1"/>
  <c r="AL1565" i="1"/>
  <c r="A1566" i="1"/>
  <c r="B1566" i="1"/>
  <c r="C1566" i="1"/>
  <c r="G1566" i="1"/>
  <c r="H1566" i="1"/>
  <c r="I1566" i="1"/>
  <c r="J1566" i="1"/>
  <c r="K1566" i="1"/>
  <c r="M1566" i="1"/>
  <c r="N1566" i="1"/>
  <c r="P1566" i="1"/>
  <c r="Q1566" i="1"/>
  <c r="R1566" i="1"/>
  <c r="S1566" i="1"/>
  <c r="T1566" i="1"/>
  <c r="Z1566" i="1"/>
  <c r="AL1566" i="1"/>
  <c r="A1567" i="1"/>
  <c r="B1567" i="1"/>
  <c r="C1567" i="1"/>
  <c r="G1567" i="1"/>
  <c r="H1567" i="1"/>
  <c r="I1567" i="1"/>
  <c r="J1567" i="1"/>
  <c r="K1567" i="1"/>
  <c r="M1567" i="1"/>
  <c r="N1567" i="1"/>
  <c r="P1567" i="1"/>
  <c r="Q1567" i="1"/>
  <c r="R1567" i="1"/>
  <c r="S1567" i="1"/>
  <c r="T1567" i="1"/>
  <c r="Z1567" i="1"/>
  <c r="AL1567" i="1"/>
  <c r="A1568" i="1"/>
  <c r="B1568" i="1"/>
  <c r="C1568" i="1"/>
  <c r="G1568" i="1"/>
  <c r="H1568" i="1"/>
  <c r="I1568" i="1"/>
  <c r="J1568" i="1"/>
  <c r="K1568" i="1"/>
  <c r="M1568" i="1"/>
  <c r="N1568" i="1"/>
  <c r="P1568" i="1"/>
  <c r="Q1568" i="1"/>
  <c r="R1568" i="1"/>
  <c r="S1568" i="1"/>
  <c r="T1568" i="1"/>
  <c r="Z1568" i="1"/>
  <c r="AL1568" i="1"/>
  <c r="A1569" i="1"/>
  <c r="B1569" i="1"/>
  <c r="C1569" i="1"/>
  <c r="G1569" i="1"/>
  <c r="H1569" i="1"/>
  <c r="I1569" i="1"/>
  <c r="J1569" i="1"/>
  <c r="K1569" i="1"/>
  <c r="M1569" i="1"/>
  <c r="N1569" i="1"/>
  <c r="P1569" i="1"/>
  <c r="Q1569" i="1"/>
  <c r="R1569" i="1"/>
  <c r="S1569" i="1"/>
  <c r="T1569" i="1"/>
  <c r="Z1569" i="1"/>
  <c r="AL1569" i="1"/>
  <c r="A1570" i="1"/>
  <c r="B1570" i="1"/>
  <c r="C1570" i="1"/>
  <c r="G1570" i="1"/>
  <c r="H1570" i="1"/>
  <c r="I1570" i="1"/>
  <c r="J1570" i="1"/>
  <c r="K1570" i="1"/>
  <c r="M1570" i="1"/>
  <c r="N1570" i="1"/>
  <c r="P1570" i="1"/>
  <c r="Q1570" i="1"/>
  <c r="R1570" i="1"/>
  <c r="S1570" i="1"/>
  <c r="T1570" i="1"/>
  <c r="Z1570" i="1"/>
  <c r="AL1570" i="1"/>
  <c r="A1571" i="1"/>
  <c r="B1571" i="1"/>
  <c r="C1571" i="1"/>
  <c r="G1571" i="1"/>
  <c r="H1571" i="1"/>
  <c r="I1571" i="1"/>
  <c r="J1571" i="1"/>
  <c r="K1571" i="1"/>
  <c r="M1571" i="1"/>
  <c r="N1571" i="1"/>
  <c r="P1571" i="1"/>
  <c r="Q1571" i="1"/>
  <c r="R1571" i="1"/>
  <c r="S1571" i="1"/>
  <c r="T1571" i="1"/>
  <c r="Z1571" i="1"/>
  <c r="AL1571" i="1"/>
  <c r="A1572" i="1"/>
  <c r="B1572" i="1"/>
  <c r="C1572" i="1"/>
  <c r="G1572" i="1"/>
  <c r="H1572" i="1"/>
  <c r="I1572" i="1"/>
  <c r="J1572" i="1"/>
  <c r="K1572" i="1"/>
  <c r="M1572" i="1"/>
  <c r="N1572" i="1"/>
  <c r="P1572" i="1"/>
  <c r="Q1572" i="1"/>
  <c r="R1572" i="1"/>
  <c r="S1572" i="1"/>
  <c r="T1572" i="1"/>
  <c r="Z1572" i="1"/>
  <c r="AL1572" i="1"/>
  <c r="A1573" i="1"/>
  <c r="B1573" i="1"/>
  <c r="C1573" i="1"/>
  <c r="G1573" i="1"/>
  <c r="H1573" i="1"/>
  <c r="I1573" i="1"/>
  <c r="J1573" i="1"/>
  <c r="K1573" i="1"/>
  <c r="M1573" i="1"/>
  <c r="N1573" i="1"/>
  <c r="P1573" i="1"/>
  <c r="Q1573" i="1"/>
  <c r="R1573" i="1"/>
  <c r="S1573" i="1"/>
  <c r="T1573" i="1"/>
  <c r="Z1573" i="1"/>
  <c r="AL1573" i="1"/>
  <c r="A1574" i="1"/>
  <c r="B1574" i="1"/>
  <c r="C1574" i="1"/>
  <c r="G1574" i="1"/>
  <c r="H1574" i="1"/>
  <c r="I1574" i="1"/>
  <c r="J1574" i="1"/>
  <c r="K1574" i="1"/>
  <c r="M1574" i="1"/>
  <c r="N1574" i="1"/>
  <c r="P1574" i="1"/>
  <c r="Q1574" i="1"/>
  <c r="R1574" i="1"/>
  <c r="S1574" i="1"/>
  <c r="T1574" i="1"/>
  <c r="Z1574" i="1"/>
  <c r="AL1574" i="1"/>
  <c r="A1575" i="1"/>
  <c r="B1575" i="1"/>
  <c r="C1575" i="1"/>
  <c r="G1575" i="1"/>
  <c r="H1575" i="1"/>
  <c r="I1575" i="1"/>
  <c r="J1575" i="1"/>
  <c r="K1575" i="1"/>
  <c r="M1575" i="1"/>
  <c r="N1575" i="1"/>
  <c r="P1575" i="1"/>
  <c r="Q1575" i="1"/>
  <c r="R1575" i="1"/>
  <c r="S1575" i="1"/>
  <c r="T1575" i="1"/>
  <c r="Z1575" i="1"/>
  <c r="AL1575" i="1"/>
  <c r="A1576" i="1"/>
  <c r="B1576" i="1"/>
  <c r="C1576" i="1"/>
  <c r="G1576" i="1"/>
  <c r="H1576" i="1"/>
  <c r="I1576" i="1"/>
  <c r="J1576" i="1"/>
  <c r="K1576" i="1"/>
  <c r="M1576" i="1"/>
  <c r="N1576" i="1"/>
  <c r="P1576" i="1"/>
  <c r="Q1576" i="1"/>
  <c r="R1576" i="1"/>
  <c r="S1576" i="1"/>
  <c r="T1576" i="1"/>
  <c r="Z1576" i="1"/>
  <c r="AL1576" i="1"/>
  <c r="A1577" i="1"/>
  <c r="C1577" i="1"/>
  <c r="G1577" i="1"/>
  <c r="H1577" i="1"/>
  <c r="I1577" i="1"/>
  <c r="J1577" i="1"/>
  <c r="K1577" i="1"/>
  <c r="P1577" i="1"/>
  <c r="Q1577" i="1"/>
  <c r="R1577" i="1"/>
  <c r="S1577" i="1"/>
  <c r="T1577" i="1"/>
  <c r="Z1577" i="1"/>
  <c r="AL1577" i="1"/>
  <c r="A1578" i="1"/>
  <c r="B1578" i="1"/>
  <c r="C1578" i="1"/>
  <c r="G1578" i="1"/>
  <c r="H1578" i="1"/>
  <c r="I1578" i="1"/>
  <c r="J1578" i="1"/>
  <c r="K1578" i="1"/>
  <c r="M1578" i="1"/>
  <c r="N1578" i="1"/>
  <c r="P1578" i="1"/>
  <c r="Q1578" i="1"/>
  <c r="R1578" i="1"/>
  <c r="S1578" i="1"/>
  <c r="T1578" i="1"/>
  <c r="Z1578" i="1"/>
  <c r="AL1578" i="1"/>
  <c r="A1579" i="1"/>
  <c r="B1579" i="1"/>
  <c r="C1579" i="1"/>
  <c r="G1579" i="1"/>
  <c r="H1579" i="1"/>
  <c r="I1579" i="1"/>
  <c r="J1579" i="1"/>
  <c r="K1579" i="1"/>
  <c r="M1579" i="1"/>
  <c r="N1579" i="1"/>
  <c r="P1579" i="1"/>
  <c r="Q1579" i="1"/>
  <c r="R1579" i="1"/>
  <c r="S1579" i="1"/>
  <c r="T1579" i="1"/>
  <c r="Z1579" i="1"/>
  <c r="AL1579" i="1"/>
  <c r="A1580" i="1"/>
  <c r="B1580" i="1"/>
  <c r="C1580" i="1"/>
  <c r="G1580" i="1"/>
  <c r="H1580" i="1"/>
  <c r="I1580" i="1"/>
  <c r="J1580" i="1"/>
  <c r="K1580" i="1"/>
  <c r="M1580" i="1"/>
  <c r="N1580" i="1"/>
  <c r="P1580" i="1"/>
  <c r="Q1580" i="1"/>
  <c r="R1580" i="1"/>
  <c r="S1580" i="1"/>
  <c r="T1580" i="1"/>
  <c r="Z1580" i="1"/>
  <c r="AL1580" i="1"/>
  <c r="A1581" i="1"/>
  <c r="B1581" i="1"/>
  <c r="C1581" i="1"/>
  <c r="G1581" i="1"/>
  <c r="H1581" i="1"/>
  <c r="I1581" i="1"/>
  <c r="J1581" i="1"/>
  <c r="K1581" i="1"/>
  <c r="M1581" i="1"/>
  <c r="N1581" i="1"/>
  <c r="P1581" i="1"/>
  <c r="Q1581" i="1"/>
  <c r="R1581" i="1"/>
  <c r="S1581" i="1"/>
  <c r="T1581" i="1"/>
  <c r="Z1581" i="1"/>
  <c r="AL1581" i="1"/>
  <c r="A1582" i="1"/>
  <c r="B1582" i="1"/>
  <c r="C1582" i="1"/>
  <c r="G1582" i="1"/>
  <c r="H1582" i="1"/>
  <c r="I1582" i="1"/>
  <c r="J1582" i="1"/>
  <c r="K1582" i="1"/>
  <c r="M1582" i="1"/>
  <c r="N1582" i="1"/>
  <c r="P1582" i="1"/>
  <c r="Q1582" i="1"/>
  <c r="R1582" i="1"/>
  <c r="S1582" i="1"/>
  <c r="T1582" i="1"/>
  <c r="Z1582" i="1"/>
  <c r="AL1582" i="1"/>
  <c r="A1583" i="1"/>
  <c r="B1583" i="1"/>
  <c r="C1583" i="1"/>
  <c r="G1583" i="1"/>
  <c r="H1583" i="1"/>
  <c r="I1583" i="1"/>
  <c r="J1583" i="1"/>
  <c r="K1583" i="1"/>
  <c r="M1583" i="1"/>
  <c r="N1583" i="1"/>
  <c r="P1583" i="1"/>
  <c r="Q1583" i="1"/>
  <c r="R1583" i="1"/>
  <c r="S1583" i="1"/>
  <c r="T1583" i="1"/>
  <c r="Z1583" i="1"/>
  <c r="AL1583" i="1"/>
  <c r="A1584" i="1"/>
  <c r="B1584" i="1"/>
  <c r="C1584" i="1"/>
  <c r="G1584" i="1"/>
  <c r="H1584" i="1"/>
  <c r="I1584" i="1"/>
  <c r="J1584" i="1"/>
  <c r="K1584" i="1"/>
  <c r="M1584" i="1"/>
  <c r="N1584" i="1"/>
  <c r="P1584" i="1"/>
  <c r="Q1584" i="1"/>
  <c r="R1584" i="1"/>
  <c r="S1584" i="1"/>
  <c r="T1584" i="1"/>
  <c r="Z1584" i="1"/>
  <c r="AL1584" i="1"/>
  <c r="A1585" i="1"/>
  <c r="B1585" i="1"/>
  <c r="C1585" i="1"/>
  <c r="G1585" i="1"/>
  <c r="H1585" i="1"/>
  <c r="I1585" i="1"/>
  <c r="J1585" i="1"/>
  <c r="K1585" i="1"/>
  <c r="M1585" i="1"/>
  <c r="N1585" i="1"/>
  <c r="P1585" i="1"/>
  <c r="Q1585" i="1"/>
  <c r="R1585" i="1"/>
  <c r="S1585" i="1"/>
  <c r="T1585" i="1"/>
  <c r="Z1585" i="1"/>
  <c r="AL1585" i="1"/>
  <c r="A1586" i="1"/>
  <c r="B1586" i="1"/>
  <c r="C1586" i="1"/>
  <c r="G1586" i="1"/>
  <c r="H1586" i="1"/>
  <c r="I1586" i="1"/>
  <c r="J1586" i="1"/>
  <c r="K1586" i="1"/>
  <c r="M1586" i="1"/>
  <c r="N1586" i="1"/>
  <c r="P1586" i="1"/>
  <c r="Q1586" i="1"/>
  <c r="R1586" i="1"/>
  <c r="S1586" i="1"/>
  <c r="T1586" i="1"/>
  <c r="Z1586" i="1"/>
  <c r="AL1586" i="1"/>
  <c r="A1587" i="1"/>
  <c r="B1587" i="1"/>
  <c r="C1587" i="1"/>
  <c r="G1587" i="1"/>
  <c r="H1587" i="1"/>
  <c r="I1587" i="1"/>
  <c r="J1587" i="1"/>
  <c r="K1587" i="1"/>
  <c r="M1587" i="1"/>
  <c r="N1587" i="1"/>
  <c r="P1587" i="1"/>
  <c r="Q1587" i="1"/>
  <c r="R1587" i="1"/>
  <c r="S1587" i="1"/>
  <c r="T1587" i="1"/>
  <c r="Z1587" i="1"/>
  <c r="AL1587" i="1"/>
  <c r="A1588" i="1"/>
  <c r="B1588" i="1"/>
  <c r="C1588" i="1"/>
  <c r="G1588" i="1"/>
  <c r="H1588" i="1"/>
  <c r="I1588" i="1"/>
  <c r="J1588" i="1"/>
  <c r="K1588" i="1"/>
  <c r="M1588" i="1"/>
  <c r="N1588" i="1"/>
  <c r="P1588" i="1"/>
  <c r="Q1588" i="1"/>
  <c r="R1588" i="1"/>
  <c r="S1588" i="1"/>
  <c r="T1588" i="1"/>
  <c r="Z1588" i="1"/>
  <c r="AL1588" i="1"/>
  <c r="A1589" i="1"/>
  <c r="B1589" i="1"/>
  <c r="C1589" i="1"/>
  <c r="G1589" i="1"/>
  <c r="H1589" i="1"/>
  <c r="I1589" i="1"/>
  <c r="J1589" i="1"/>
  <c r="K1589" i="1"/>
  <c r="M1589" i="1"/>
  <c r="N1589" i="1"/>
  <c r="P1589" i="1"/>
  <c r="Q1589" i="1"/>
  <c r="R1589" i="1"/>
  <c r="S1589" i="1"/>
  <c r="T1589" i="1"/>
  <c r="Z1589" i="1"/>
  <c r="AL1589" i="1"/>
  <c r="A1590" i="1"/>
  <c r="B1590" i="1"/>
  <c r="C1590" i="1"/>
  <c r="G1590" i="1"/>
  <c r="H1590" i="1"/>
  <c r="I1590" i="1"/>
  <c r="J1590" i="1"/>
  <c r="K1590" i="1"/>
  <c r="M1590" i="1"/>
  <c r="N1590" i="1"/>
  <c r="P1590" i="1"/>
  <c r="Q1590" i="1"/>
  <c r="R1590" i="1"/>
  <c r="S1590" i="1"/>
  <c r="T1590" i="1"/>
  <c r="Z1590" i="1"/>
  <c r="AL1590" i="1"/>
  <c r="A1591" i="1"/>
  <c r="B1591" i="1"/>
  <c r="C1591" i="1"/>
  <c r="G1591" i="1"/>
  <c r="H1591" i="1"/>
  <c r="I1591" i="1"/>
  <c r="J1591" i="1"/>
  <c r="K1591" i="1"/>
  <c r="M1591" i="1"/>
  <c r="N1591" i="1"/>
  <c r="P1591" i="1"/>
  <c r="Q1591" i="1"/>
  <c r="R1591" i="1"/>
  <c r="S1591" i="1"/>
  <c r="T1591" i="1"/>
  <c r="Z1591" i="1"/>
  <c r="AL1591" i="1"/>
  <c r="A1592" i="1"/>
  <c r="B1592" i="1"/>
  <c r="C1592" i="1"/>
  <c r="G1592" i="1"/>
  <c r="H1592" i="1"/>
  <c r="I1592" i="1"/>
  <c r="J1592" i="1"/>
  <c r="K1592" i="1"/>
  <c r="M1592" i="1"/>
  <c r="N1592" i="1"/>
  <c r="P1592" i="1"/>
  <c r="Q1592" i="1"/>
  <c r="R1592" i="1"/>
  <c r="S1592" i="1"/>
  <c r="T1592" i="1"/>
  <c r="Z1592" i="1"/>
  <c r="AL1592" i="1"/>
  <c r="A1593" i="1"/>
  <c r="B1593" i="1"/>
  <c r="C1593" i="1"/>
  <c r="G1593" i="1"/>
  <c r="H1593" i="1"/>
  <c r="I1593" i="1"/>
  <c r="J1593" i="1"/>
  <c r="K1593" i="1"/>
  <c r="M1593" i="1"/>
  <c r="N1593" i="1"/>
  <c r="P1593" i="1"/>
  <c r="Q1593" i="1"/>
  <c r="R1593" i="1"/>
  <c r="S1593" i="1"/>
  <c r="T1593" i="1"/>
  <c r="Z1593" i="1"/>
  <c r="AL1593" i="1"/>
  <c r="A1594" i="1"/>
  <c r="B1594" i="1"/>
  <c r="C1594" i="1"/>
  <c r="G1594" i="1"/>
  <c r="H1594" i="1"/>
  <c r="I1594" i="1"/>
  <c r="J1594" i="1"/>
  <c r="K1594" i="1"/>
  <c r="M1594" i="1"/>
  <c r="N1594" i="1"/>
  <c r="P1594" i="1"/>
  <c r="Q1594" i="1"/>
  <c r="R1594" i="1"/>
  <c r="S1594" i="1"/>
  <c r="T1594" i="1"/>
  <c r="Z1594" i="1"/>
  <c r="AL1594" i="1"/>
  <c r="A1595" i="1"/>
  <c r="B1595" i="1"/>
  <c r="C1595" i="1"/>
  <c r="G1595" i="1"/>
  <c r="H1595" i="1"/>
  <c r="I1595" i="1"/>
  <c r="J1595" i="1"/>
  <c r="K1595" i="1"/>
  <c r="M1595" i="1"/>
  <c r="N1595" i="1"/>
  <c r="P1595" i="1"/>
  <c r="Q1595" i="1"/>
  <c r="R1595" i="1"/>
  <c r="S1595" i="1"/>
  <c r="T1595" i="1"/>
  <c r="Z1595" i="1"/>
  <c r="AL1595" i="1"/>
  <c r="A1596" i="1"/>
  <c r="B1596" i="1"/>
  <c r="C1596" i="1"/>
  <c r="G1596" i="1"/>
  <c r="H1596" i="1"/>
  <c r="I1596" i="1"/>
  <c r="J1596" i="1"/>
  <c r="K1596" i="1"/>
  <c r="M1596" i="1"/>
  <c r="N1596" i="1"/>
  <c r="P1596" i="1"/>
  <c r="Q1596" i="1"/>
  <c r="R1596" i="1"/>
  <c r="S1596" i="1"/>
  <c r="T1596" i="1"/>
  <c r="Z1596" i="1"/>
  <c r="AL1596" i="1"/>
  <c r="A1597" i="1"/>
  <c r="B1597" i="1"/>
  <c r="C1597" i="1"/>
  <c r="G1597" i="1"/>
  <c r="H1597" i="1"/>
  <c r="I1597" i="1"/>
  <c r="J1597" i="1"/>
  <c r="K1597" i="1"/>
  <c r="M1597" i="1"/>
  <c r="N1597" i="1"/>
  <c r="P1597" i="1"/>
  <c r="Q1597" i="1"/>
  <c r="R1597" i="1"/>
  <c r="S1597" i="1"/>
  <c r="T1597" i="1"/>
  <c r="Z1597" i="1"/>
  <c r="AL1597" i="1"/>
  <c r="A1598" i="1"/>
  <c r="B1598" i="1"/>
  <c r="C1598" i="1"/>
  <c r="G1598" i="1"/>
  <c r="H1598" i="1"/>
  <c r="I1598" i="1"/>
  <c r="J1598" i="1"/>
  <c r="K1598" i="1"/>
  <c r="M1598" i="1"/>
  <c r="N1598" i="1"/>
  <c r="P1598" i="1"/>
  <c r="Q1598" i="1"/>
  <c r="R1598" i="1"/>
  <c r="S1598" i="1"/>
  <c r="T1598" i="1"/>
  <c r="Z1598" i="1"/>
  <c r="AL1598" i="1"/>
  <c r="A1599" i="1"/>
  <c r="B1599" i="1"/>
  <c r="C1599" i="1"/>
  <c r="G1599" i="1"/>
  <c r="H1599" i="1"/>
  <c r="I1599" i="1"/>
  <c r="J1599" i="1"/>
  <c r="K1599" i="1"/>
  <c r="M1599" i="1"/>
  <c r="N1599" i="1"/>
  <c r="P1599" i="1"/>
  <c r="Q1599" i="1"/>
  <c r="R1599" i="1"/>
  <c r="S1599" i="1"/>
  <c r="T1599" i="1"/>
  <c r="Z1599" i="1"/>
  <c r="AL1599" i="1"/>
  <c r="A1600" i="1"/>
  <c r="B1600" i="1"/>
  <c r="C1600" i="1"/>
  <c r="G1600" i="1"/>
  <c r="H1600" i="1"/>
  <c r="I1600" i="1"/>
  <c r="J1600" i="1"/>
  <c r="K1600" i="1"/>
  <c r="M1600" i="1"/>
  <c r="N1600" i="1"/>
  <c r="P1600" i="1"/>
  <c r="Q1600" i="1"/>
  <c r="R1600" i="1"/>
  <c r="S1600" i="1"/>
  <c r="T1600" i="1"/>
  <c r="Z1600" i="1"/>
  <c r="AL1600" i="1"/>
  <c r="A1601" i="1"/>
  <c r="B1601" i="1"/>
  <c r="C1601" i="1"/>
  <c r="G1601" i="1"/>
  <c r="H1601" i="1"/>
  <c r="I1601" i="1"/>
  <c r="J1601" i="1"/>
  <c r="K1601" i="1"/>
  <c r="M1601" i="1"/>
  <c r="N1601" i="1"/>
  <c r="P1601" i="1"/>
  <c r="Q1601" i="1"/>
  <c r="R1601" i="1"/>
  <c r="S1601" i="1"/>
  <c r="T1601" i="1"/>
  <c r="Z1601" i="1"/>
  <c r="AL1601" i="1"/>
  <c r="A1602" i="1"/>
  <c r="B1602" i="1"/>
  <c r="C1602" i="1"/>
  <c r="G1602" i="1"/>
  <c r="H1602" i="1"/>
  <c r="I1602" i="1"/>
  <c r="J1602" i="1"/>
  <c r="K1602" i="1"/>
  <c r="P1602" i="1"/>
  <c r="Q1602" i="1"/>
  <c r="R1602" i="1"/>
  <c r="S1602" i="1"/>
  <c r="T1602" i="1"/>
  <c r="Z1602" i="1"/>
  <c r="AL1602" i="1"/>
  <c r="A1603" i="1"/>
  <c r="B1603" i="1"/>
  <c r="C1603" i="1"/>
  <c r="G1603" i="1"/>
  <c r="H1603" i="1"/>
  <c r="I1603" i="1"/>
  <c r="J1603" i="1"/>
  <c r="K1603" i="1"/>
  <c r="M1603" i="1"/>
  <c r="N1603" i="1"/>
  <c r="P1603" i="1"/>
  <c r="Q1603" i="1"/>
  <c r="R1603" i="1"/>
  <c r="S1603" i="1"/>
  <c r="T1603" i="1"/>
  <c r="Z1603" i="1"/>
  <c r="AL1603" i="1"/>
  <c r="A1604" i="1"/>
  <c r="B1604" i="1"/>
  <c r="C1604" i="1"/>
  <c r="G1604" i="1"/>
  <c r="H1604" i="1"/>
  <c r="I1604" i="1"/>
  <c r="J1604" i="1"/>
  <c r="K1604" i="1"/>
  <c r="M1604" i="1"/>
  <c r="N1604" i="1"/>
  <c r="P1604" i="1"/>
  <c r="Q1604" i="1"/>
  <c r="R1604" i="1"/>
  <c r="S1604" i="1"/>
  <c r="T1604" i="1"/>
  <c r="Z1604" i="1"/>
  <c r="AL1604" i="1"/>
  <c r="A1605" i="1"/>
  <c r="B1605" i="1"/>
  <c r="C1605" i="1"/>
  <c r="G1605" i="1"/>
  <c r="H1605" i="1"/>
  <c r="I1605" i="1"/>
  <c r="J1605" i="1"/>
  <c r="K1605" i="1"/>
  <c r="M1605" i="1"/>
  <c r="N1605" i="1"/>
  <c r="P1605" i="1"/>
  <c r="Q1605" i="1"/>
  <c r="R1605" i="1"/>
  <c r="S1605" i="1"/>
  <c r="T1605" i="1"/>
  <c r="Z1605" i="1"/>
  <c r="AL1605" i="1"/>
  <c r="A1606" i="1"/>
  <c r="B1606" i="1"/>
  <c r="C1606" i="1"/>
  <c r="G1606" i="1"/>
  <c r="H1606" i="1"/>
  <c r="I1606" i="1"/>
  <c r="J1606" i="1"/>
  <c r="K1606" i="1"/>
  <c r="M1606" i="1"/>
  <c r="N1606" i="1"/>
  <c r="P1606" i="1"/>
  <c r="Q1606" i="1"/>
  <c r="R1606" i="1"/>
  <c r="S1606" i="1"/>
  <c r="T1606" i="1"/>
  <c r="Z1606" i="1"/>
  <c r="AL1606" i="1"/>
  <c r="A1607" i="1"/>
  <c r="B1607" i="1"/>
  <c r="C1607" i="1"/>
  <c r="G1607" i="1"/>
  <c r="H1607" i="1"/>
  <c r="I1607" i="1"/>
  <c r="J1607" i="1"/>
  <c r="K1607" i="1"/>
  <c r="M1607" i="1"/>
  <c r="N1607" i="1"/>
  <c r="P1607" i="1"/>
  <c r="Q1607" i="1"/>
  <c r="R1607" i="1"/>
  <c r="S1607" i="1"/>
  <c r="T1607" i="1"/>
  <c r="Z1607" i="1"/>
  <c r="AL1607" i="1"/>
  <c r="A1608" i="1"/>
  <c r="B1608" i="1"/>
  <c r="C1608" i="1"/>
  <c r="G1608" i="1"/>
  <c r="H1608" i="1"/>
  <c r="I1608" i="1"/>
  <c r="J1608" i="1"/>
  <c r="K1608" i="1"/>
  <c r="P1608" i="1"/>
  <c r="Q1608" i="1"/>
  <c r="R1608" i="1"/>
  <c r="S1608" i="1"/>
  <c r="T1608" i="1"/>
  <c r="Z1608" i="1"/>
  <c r="AL1608" i="1"/>
  <c r="A1609" i="1"/>
  <c r="B1609" i="1"/>
  <c r="C1609" i="1"/>
  <c r="G1609" i="1"/>
  <c r="H1609" i="1"/>
  <c r="I1609" i="1"/>
  <c r="J1609" i="1"/>
  <c r="K1609" i="1"/>
  <c r="M1609" i="1"/>
  <c r="N1609" i="1"/>
  <c r="P1609" i="1"/>
  <c r="Q1609" i="1"/>
  <c r="R1609" i="1"/>
  <c r="S1609" i="1"/>
  <c r="T1609" i="1"/>
  <c r="Z1609" i="1"/>
  <c r="AL1609" i="1"/>
  <c r="A1610" i="1"/>
  <c r="B1610" i="1"/>
  <c r="C1610" i="1"/>
  <c r="G1610" i="1"/>
  <c r="H1610" i="1"/>
  <c r="I1610" i="1"/>
  <c r="J1610" i="1"/>
  <c r="K1610" i="1"/>
  <c r="M1610" i="1"/>
  <c r="N1610" i="1"/>
  <c r="P1610" i="1"/>
  <c r="Q1610" i="1"/>
  <c r="R1610" i="1"/>
  <c r="S1610" i="1"/>
  <c r="T1610" i="1"/>
  <c r="Z1610" i="1"/>
  <c r="AL1610" i="1"/>
  <c r="A1611" i="1"/>
  <c r="B1611" i="1"/>
  <c r="C1611" i="1"/>
  <c r="G1611" i="1"/>
  <c r="H1611" i="1"/>
  <c r="I1611" i="1"/>
  <c r="J1611" i="1"/>
  <c r="K1611" i="1"/>
  <c r="M1611" i="1"/>
  <c r="N1611" i="1"/>
  <c r="P1611" i="1"/>
  <c r="Q1611" i="1"/>
  <c r="R1611" i="1"/>
  <c r="S1611" i="1"/>
  <c r="T1611" i="1"/>
  <c r="Z1611" i="1"/>
  <c r="AL1611" i="1"/>
  <c r="A1612" i="1"/>
  <c r="B1612" i="1"/>
  <c r="C1612" i="1"/>
  <c r="G1612" i="1"/>
  <c r="H1612" i="1"/>
  <c r="I1612" i="1"/>
  <c r="J1612" i="1"/>
  <c r="K1612" i="1"/>
  <c r="M1612" i="1"/>
  <c r="N1612" i="1"/>
  <c r="P1612" i="1"/>
  <c r="Q1612" i="1"/>
  <c r="R1612" i="1"/>
  <c r="S1612" i="1"/>
  <c r="T1612" i="1"/>
  <c r="Z1612" i="1"/>
  <c r="AL1612" i="1"/>
  <c r="A1613" i="1"/>
  <c r="B1613" i="1"/>
  <c r="C1613" i="1"/>
  <c r="G1613" i="1"/>
  <c r="H1613" i="1"/>
  <c r="I1613" i="1"/>
  <c r="J1613" i="1"/>
  <c r="K1613" i="1"/>
  <c r="M1613" i="1"/>
  <c r="N1613" i="1"/>
  <c r="P1613" i="1"/>
  <c r="Q1613" i="1"/>
  <c r="R1613" i="1"/>
  <c r="S1613" i="1"/>
  <c r="T1613" i="1"/>
  <c r="Z1613" i="1"/>
  <c r="AL1613" i="1"/>
  <c r="A1614" i="1"/>
  <c r="B1614" i="1"/>
  <c r="C1614" i="1"/>
  <c r="G1614" i="1"/>
  <c r="H1614" i="1"/>
  <c r="I1614" i="1"/>
  <c r="J1614" i="1"/>
  <c r="K1614" i="1"/>
  <c r="M1614" i="1"/>
  <c r="N1614" i="1"/>
  <c r="P1614" i="1"/>
  <c r="Q1614" i="1"/>
  <c r="R1614" i="1"/>
  <c r="S1614" i="1"/>
  <c r="T1614" i="1"/>
  <c r="Z1614" i="1"/>
  <c r="AL1614" i="1"/>
  <c r="A1615" i="1"/>
  <c r="B1615" i="1"/>
  <c r="C1615" i="1"/>
  <c r="G1615" i="1"/>
  <c r="H1615" i="1"/>
  <c r="I1615" i="1"/>
  <c r="J1615" i="1"/>
  <c r="K1615" i="1"/>
  <c r="M1615" i="1"/>
  <c r="N1615" i="1"/>
  <c r="P1615" i="1"/>
  <c r="Q1615" i="1"/>
  <c r="R1615" i="1"/>
  <c r="S1615" i="1"/>
  <c r="T1615" i="1"/>
  <c r="Z1615" i="1"/>
  <c r="AL1615" i="1"/>
  <c r="A1616" i="1"/>
  <c r="B1616" i="1"/>
  <c r="C1616" i="1"/>
  <c r="G1616" i="1"/>
  <c r="H1616" i="1"/>
  <c r="I1616" i="1"/>
  <c r="J1616" i="1"/>
  <c r="K1616" i="1"/>
  <c r="M1616" i="1"/>
  <c r="N1616" i="1"/>
  <c r="P1616" i="1"/>
  <c r="Q1616" i="1"/>
  <c r="R1616" i="1"/>
  <c r="S1616" i="1"/>
  <c r="T1616" i="1"/>
  <c r="Z1616" i="1"/>
  <c r="AL1616" i="1"/>
  <c r="A1617" i="1"/>
  <c r="B1617" i="1"/>
  <c r="C1617" i="1"/>
  <c r="G1617" i="1"/>
  <c r="H1617" i="1"/>
  <c r="I1617" i="1"/>
  <c r="J1617" i="1"/>
  <c r="K1617" i="1"/>
  <c r="M1617" i="1"/>
  <c r="N1617" i="1"/>
  <c r="P1617" i="1"/>
  <c r="Q1617" i="1"/>
  <c r="R1617" i="1"/>
  <c r="S1617" i="1"/>
  <c r="T1617" i="1"/>
  <c r="Z1617" i="1"/>
  <c r="AL1617" i="1"/>
  <c r="A1618" i="1"/>
  <c r="B1618" i="1"/>
  <c r="C1618" i="1"/>
  <c r="G1618" i="1"/>
  <c r="H1618" i="1"/>
  <c r="I1618" i="1"/>
  <c r="J1618" i="1"/>
  <c r="K1618" i="1"/>
  <c r="P1618" i="1"/>
  <c r="Q1618" i="1"/>
  <c r="R1618" i="1"/>
  <c r="S1618" i="1"/>
  <c r="T1618" i="1"/>
  <c r="Z1618" i="1"/>
  <c r="AL1618" i="1"/>
  <c r="A1619" i="1"/>
  <c r="B1619" i="1"/>
  <c r="C1619" i="1"/>
  <c r="G1619" i="1"/>
  <c r="H1619" i="1"/>
  <c r="I1619" i="1"/>
  <c r="J1619" i="1"/>
  <c r="K1619" i="1"/>
  <c r="P1619" i="1"/>
  <c r="Q1619" i="1"/>
  <c r="R1619" i="1"/>
  <c r="S1619" i="1"/>
  <c r="T1619" i="1"/>
  <c r="Z1619" i="1"/>
  <c r="AL1619" i="1"/>
  <c r="A1620" i="1"/>
  <c r="B1620" i="1"/>
  <c r="C1620" i="1"/>
  <c r="G1620" i="1"/>
  <c r="H1620" i="1"/>
  <c r="I1620" i="1"/>
  <c r="J1620" i="1"/>
  <c r="K1620" i="1"/>
  <c r="P1620" i="1"/>
  <c r="Q1620" i="1"/>
  <c r="R1620" i="1"/>
  <c r="S1620" i="1"/>
  <c r="T1620" i="1"/>
  <c r="Z1620" i="1"/>
  <c r="AL1620" i="1"/>
  <c r="A1621" i="1"/>
  <c r="B1621" i="1"/>
  <c r="C1621" i="1"/>
  <c r="G1621" i="1"/>
  <c r="H1621" i="1"/>
  <c r="I1621" i="1"/>
  <c r="J1621" i="1"/>
  <c r="K1621" i="1"/>
  <c r="P1621" i="1"/>
  <c r="Q1621" i="1"/>
  <c r="R1621" i="1"/>
  <c r="S1621" i="1"/>
  <c r="T1621" i="1"/>
  <c r="Z1621" i="1"/>
  <c r="AL1621" i="1"/>
  <c r="A1622" i="1"/>
  <c r="B1622" i="1"/>
  <c r="C1622" i="1"/>
  <c r="G1622" i="1"/>
  <c r="H1622" i="1"/>
  <c r="I1622" i="1"/>
  <c r="J1622" i="1"/>
  <c r="K1622" i="1"/>
  <c r="P1622" i="1"/>
  <c r="Q1622" i="1"/>
  <c r="R1622" i="1"/>
  <c r="S1622" i="1"/>
  <c r="T1622" i="1"/>
  <c r="Z1622" i="1"/>
  <c r="AL1622" i="1"/>
  <c r="A1623" i="1"/>
  <c r="B1623" i="1"/>
  <c r="C1623" i="1"/>
  <c r="G1623" i="1"/>
  <c r="H1623" i="1"/>
  <c r="I1623" i="1"/>
  <c r="J1623" i="1"/>
  <c r="K1623" i="1"/>
  <c r="P1623" i="1"/>
  <c r="Q1623" i="1"/>
  <c r="R1623" i="1"/>
  <c r="S1623" i="1"/>
  <c r="T1623" i="1"/>
  <c r="Z1623" i="1"/>
  <c r="AL1623" i="1"/>
  <c r="A1624" i="1"/>
  <c r="B1624" i="1"/>
  <c r="C1624" i="1"/>
  <c r="G1624" i="1"/>
  <c r="H1624" i="1"/>
  <c r="I1624" i="1"/>
  <c r="J1624" i="1"/>
  <c r="K1624" i="1"/>
  <c r="P1624" i="1"/>
  <c r="Q1624" i="1"/>
  <c r="R1624" i="1"/>
  <c r="S1624" i="1"/>
  <c r="T1624" i="1"/>
  <c r="Z1624" i="1"/>
  <c r="AL1624" i="1"/>
  <c r="A1625" i="1"/>
  <c r="B1625" i="1"/>
  <c r="C1625" i="1"/>
  <c r="G1625" i="1"/>
  <c r="H1625" i="1"/>
  <c r="I1625" i="1"/>
  <c r="J1625" i="1"/>
  <c r="K1625" i="1"/>
  <c r="P1625" i="1"/>
  <c r="Q1625" i="1"/>
  <c r="R1625" i="1"/>
  <c r="S1625" i="1"/>
  <c r="T1625" i="1"/>
  <c r="Z1625" i="1"/>
  <c r="AL1625" i="1"/>
  <c r="A1626" i="1"/>
  <c r="B1626" i="1"/>
  <c r="C1626" i="1"/>
  <c r="G1626" i="1"/>
  <c r="H1626" i="1"/>
  <c r="I1626" i="1"/>
  <c r="J1626" i="1"/>
  <c r="K1626" i="1"/>
  <c r="P1626" i="1"/>
  <c r="Q1626" i="1"/>
  <c r="R1626" i="1"/>
  <c r="S1626" i="1"/>
  <c r="T1626" i="1"/>
  <c r="Z1626" i="1"/>
  <c r="AL1626" i="1"/>
  <c r="A1627" i="1"/>
  <c r="B1627" i="1"/>
  <c r="C1627" i="1"/>
  <c r="G1627" i="1"/>
  <c r="H1627" i="1"/>
  <c r="I1627" i="1"/>
  <c r="J1627" i="1"/>
  <c r="K1627" i="1"/>
  <c r="M1627" i="1"/>
  <c r="N1627" i="1"/>
  <c r="P1627" i="1"/>
  <c r="Q1627" i="1"/>
  <c r="R1627" i="1"/>
  <c r="S1627" i="1"/>
  <c r="T1627" i="1"/>
  <c r="Z1627" i="1"/>
  <c r="AL1627" i="1"/>
  <c r="A1628" i="1"/>
  <c r="B1628" i="1"/>
  <c r="C1628" i="1"/>
  <c r="G1628" i="1"/>
  <c r="H1628" i="1"/>
  <c r="I1628" i="1"/>
  <c r="J1628" i="1"/>
  <c r="K1628" i="1"/>
  <c r="M1628" i="1"/>
  <c r="N1628" i="1"/>
  <c r="P1628" i="1"/>
  <c r="Q1628" i="1"/>
  <c r="R1628" i="1"/>
  <c r="S1628" i="1"/>
  <c r="T1628" i="1"/>
  <c r="Z1628" i="1"/>
  <c r="AL1628" i="1"/>
  <c r="A1629" i="1"/>
  <c r="B1629" i="1"/>
  <c r="C1629" i="1"/>
  <c r="G1629" i="1"/>
  <c r="H1629" i="1"/>
  <c r="I1629" i="1"/>
  <c r="J1629" i="1"/>
  <c r="K1629" i="1"/>
  <c r="M1629" i="1"/>
  <c r="N1629" i="1"/>
  <c r="P1629" i="1"/>
  <c r="Q1629" i="1"/>
  <c r="R1629" i="1"/>
  <c r="S1629" i="1"/>
  <c r="T1629" i="1"/>
  <c r="Z1629" i="1"/>
  <c r="AL1629" i="1"/>
  <c r="A1630" i="1"/>
  <c r="B1630" i="1"/>
  <c r="C1630" i="1"/>
  <c r="G1630" i="1"/>
  <c r="H1630" i="1"/>
  <c r="I1630" i="1"/>
  <c r="J1630" i="1"/>
  <c r="K1630" i="1"/>
  <c r="M1630" i="1"/>
  <c r="N1630" i="1"/>
  <c r="P1630" i="1"/>
  <c r="Q1630" i="1"/>
  <c r="R1630" i="1"/>
  <c r="S1630" i="1"/>
  <c r="T1630" i="1"/>
  <c r="Z1630" i="1"/>
  <c r="AL1630" i="1"/>
  <c r="A1631" i="1"/>
  <c r="B1631" i="1"/>
  <c r="C1631" i="1"/>
  <c r="G1631" i="1"/>
  <c r="H1631" i="1"/>
  <c r="I1631" i="1"/>
  <c r="J1631" i="1"/>
  <c r="K1631" i="1"/>
  <c r="M1631" i="1"/>
  <c r="N1631" i="1"/>
  <c r="P1631" i="1"/>
  <c r="Q1631" i="1"/>
  <c r="R1631" i="1"/>
  <c r="S1631" i="1"/>
  <c r="T1631" i="1"/>
  <c r="Z1631" i="1"/>
  <c r="AL1631" i="1"/>
  <c r="A1632" i="1"/>
  <c r="B1632" i="1"/>
  <c r="C1632" i="1"/>
  <c r="G1632" i="1"/>
  <c r="H1632" i="1"/>
  <c r="I1632" i="1"/>
  <c r="J1632" i="1"/>
  <c r="K1632" i="1"/>
  <c r="M1632" i="1"/>
  <c r="N1632" i="1"/>
  <c r="P1632" i="1"/>
  <c r="Q1632" i="1"/>
  <c r="R1632" i="1"/>
  <c r="S1632" i="1"/>
  <c r="T1632" i="1"/>
  <c r="Z1632" i="1"/>
  <c r="AL1632" i="1"/>
  <c r="A1633" i="1"/>
  <c r="B1633" i="1"/>
  <c r="C1633" i="1"/>
  <c r="G1633" i="1"/>
  <c r="H1633" i="1"/>
  <c r="I1633" i="1"/>
  <c r="J1633" i="1"/>
  <c r="K1633" i="1"/>
  <c r="M1633" i="1"/>
  <c r="N1633" i="1"/>
  <c r="P1633" i="1"/>
  <c r="Q1633" i="1"/>
  <c r="R1633" i="1"/>
  <c r="S1633" i="1"/>
  <c r="T1633" i="1"/>
  <c r="Z1633" i="1"/>
  <c r="AL1633" i="1"/>
  <c r="A1634" i="1"/>
  <c r="B1634" i="1"/>
  <c r="C1634" i="1"/>
  <c r="G1634" i="1"/>
  <c r="H1634" i="1"/>
  <c r="I1634" i="1"/>
  <c r="J1634" i="1"/>
  <c r="K1634" i="1"/>
  <c r="M1634" i="1"/>
  <c r="N1634" i="1"/>
  <c r="P1634" i="1"/>
  <c r="Q1634" i="1"/>
  <c r="R1634" i="1"/>
  <c r="S1634" i="1"/>
  <c r="T1634" i="1"/>
  <c r="Z1634" i="1"/>
  <c r="AL1634" i="1"/>
  <c r="A1635" i="1"/>
  <c r="B1635" i="1"/>
  <c r="C1635" i="1"/>
  <c r="G1635" i="1"/>
  <c r="H1635" i="1"/>
  <c r="I1635" i="1"/>
  <c r="J1635" i="1"/>
  <c r="K1635" i="1"/>
  <c r="M1635" i="1"/>
  <c r="N1635" i="1"/>
  <c r="P1635" i="1"/>
  <c r="Q1635" i="1"/>
  <c r="R1635" i="1"/>
  <c r="S1635" i="1"/>
  <c r="T1635" i="1"/>
  <c r="Z1635" i="1"/>
  <c r="AL1635" i="1"/>
  <c r="A1636" i="1"/>
  <c r="B1636" i="1"/>
  <c r="C1636" i="1"/>
  <c r="G1636" i="1"/>
  <c r="H1636" i="1"/>
  <c r="I1636" i="1"/>
  <c r="J1636" i="1"/>
  <c r="K1636" i="1"/>
  <c r="M1636" i="1"/>
  <c r="N1636" i="1"/>
  <c r="P1636" i="1"/>
  <c r="Q1636" i="1"/>
  <c r="R1636" i="1"/>
  <c r="S1636" i="1"/>
  <c r="T1636" i="1"/>
  <c r="Z1636" i="1"/>
  <c r="AL1636" i="1"/>
  <c r="A1637" i="1"/>
  <c r="B1637" i="1"/>
  <c r="C1637" i="1"/>
  <c r="G1637" i="1"/>
  <c r="H1637" i="1"/>
  <c r="I1637" i="1"/>
  <c r="J1637" i="1"/>
  <c r="K1637" i="1"/>
  <c r="M1637" i="1"/>
  <c r="N1637" i="1"/>
  <c r="P1637" i="1"/>
  <c r="Q1637" i="1"/>
  <c r="R1637" i="1"/>
  <c r="S1637" i="1"/>
  <c r="T1637" i="1"/>
  <c r="Z1637" i="1"/>
  <c r="AL1637" i="1"/>
  <c r="A1638" i="1"/>
  <c r="B1638" i="1"/>
  <c r="C1638" i="1"/>
  <c r="G1638" i="1"/>
  <c r="H1638" i="1"/>
  <c r="I1638" i="1"/>
  <c r="J1638" i="1"/>
  <c r="K1638" i="1"/>
  <c r="M1638" i="1"/>
  <c r="N1638" i="1"/>
  <c r="P1638" i="1"/>
  <c r="Q1638" i="1"/>
  <c r="R1638" i="1"/>
  <c r="S1638" i="1"/>
  <c r="T1638" i="1"/>
  <c r="Z1638" i="1"/>
  <c r="AL1638" i="1"/>
  <c r="A1639" i="1"/>
  <c r="B1639" i="1"/>
  <c r="C1639" i="1"/>
  <c r="G1639" i="1"/>
  <c r="H1639" i="1"/>
  <c r="I1639" i="1"/>
  <c r="J1639" i="1"/>
  <c r="K1639" i="1"/>
  <c r="M1639" i="1"/>
  <c r="N1639" i="1"/>
  <c r="P1639" i="1"/>
  <c r="Q1639" i="1"/>
  <c r="R1639" i="1"/>
  <c r="S1639" i="1"/>
  <c r="T1639" i="1"/>
  <c r="Z1639" i="1"/>
  <c r="AL1639" i="1"/>
  <c r="A1640" i="1"/>
  <c r="C1640" i="1"/>
  <c r="G1640" i="1"/>
  <c r="H1640" i="1"/>
  <c r="J1640" i="1"/>
  <c r="K1640" i="1"/>
  <c r="P1640" i="1"/>
  <c r="Q1640" i="1"/>
  <c r="R1640" i="1"/>
  <c r="T1640" i="1"/>
  <c r="AL1640" i="1"/>
  <c r="A1641" i="1"/>
  <c r="B1641" i="1"/>
  <c r="C1641" i="1"/>
  <c r="G1641" i="1"/>
  <c r="H1641" i="1"/>
  <c r="I1641" i="1"/>
  <c r="J1641" i="1"/>
  <c r="K1641" i="1"/>
  <c r="M1641" i="1"/>
  <c r="N1641" i="1"/>
  <c r="P1641" i="1"/>
  <c r="Q1641" i="1"/>
  <c r="R1641" i="1"/>
  <c r="S1641" i="1"/>
  <c r="T1641" i="1"/>
  <c r="Z1641" i="1"/>
  <c r="AL1641" i="1"/>
  <c r="A1642" i="1"/>
  <c r="B1642" i="1"/>
  <c r="C1642" i="1"/>
  <c r="G1642" i="1"/>
  <c r="H1642" i="1"/>
  <c r="I1642" i="1"/>
  <c r="J1642" i="1"/>
  <c r="K1642" i="1"/>
  <c r="M1642" i="1"/>
  <c r="N1642" i="1"/>
  <c r="P1642" i="1"/>
  <c r="Q1642" i="1"/>
  <c r="R1642" i="1"/>
  <c r="S1642" i="1"/>
  <c r="T1642" i="1"/>
  <c r="Z1642" i="1"/>
  <c r="AL1642" i="1"/>
  <c r="A1643" i="1"/>
  <c r="B1643" i="1"/>
  <c r="C1643" i="1"/>
  <c r="G1643" i="1"/>
  <c r="H1643" i="1"/>
  <c r="I1643" i="1"/>
  <c r="J1643" i="1"/>
  <c r="K1643" i="1"/>
  <c r="M1643" i="1"/>
  <c r="N1643" i="1"/>
  <c r="P1643" i="1"/>
  <c r="Q1643" i="1"/>
  <c r="R1643" i="1"/>
  <c r="S1643" i="1"/>
  <c r="T1643" i="1"/>
  <c r="Z1643" i="1"/>
  <c r="AL1643" i="1"/>
  <c r="A1644" i="1"/>
  <c r="B1644" i="1"/>
  <c r="C1644" i="1"/>
  <c r="G1644" i="1"/>
  <c r="H1644" i="1"/>
  <c r="I1644" i="1"/>
  <c r="J1644" i="1"/>
  <c r="K1644" i="1"/>
  <c r="M1644" i="1"/>
  <c r="N1644" i="1"/>
  <c r="P1644" i="1"/>
  <c r="Q1644" i="1"/>
  <c r="R1644" i="1"/>
  <c r="S1644" i="1"/>
  <c r="T1644" i="1"/>
  <c r="Z1644" i="1"/>
  <c r="AL1644" i="1"/>
  <c r="A1645" i="1"/>
  <c r="B1645" i="1"/>
  <c r="C1645" i="1"/>
  <c r="G1645" i="1"/>
  <c r="H1645" i="1"/>
  <c r="I1645" i="1"/>
  <c r="J1645" i="1"/>
  <c r="K1645" i="1"/>
  <c r="M1645" i="1"/>
  <c r="N1645" i="1"/>
  <c r="P1645" i="1"/>
  <c r="Q1645" i="1"/>
  <c r="R1645" i="1"/>
  <c r="S1645" i="1"/>
  <c r="T1645" i="1"/>
  <c r="Z1645" i="1"/>
  <c r="AL1645" i="1"/>
  <c r="A1646" i="1"/>
  <c r="B1646" i="1"/>
  <c r="C1646" i="1"/>
  <c r="G1646" i="1"/>
  <c r="H1646" i="1"/>
  <c r="I1646" i="1"/>
  <c r="J1646" i="1"/>
  <c r="K1646" i="1"/>
  <c r="M1646" i="1"/>
  <c r="N1646" i="1"/>
  <c r="P1646" i="1"/>
  <c r="Q1646" i="1"/>
  <c r="R1646" i="1"/>
  <c r="S1646" i="1"/>
  <c r="T1646" i="1"/>
  <c r="Z1646" i="1"/>
  <c r="AL1646" i="1"/>
  <c r="A1647" i="1"/>
  <c r="B1647" i="1"/>
  <c r="C1647" i="1"/>
  <c r="G1647" i="1"/>
  <c r="H1647" i="1"/>
  <c r="I1647" i="1"/>
  <c r="J1647" i="1"/>
  <c r="K1647" i="1"/>
  <c r="M1647" i="1"/>
  <c r="N1647" i="1"/>
  <c r="P1647" i="1"/>
  <c r="Q1647" i="1"/>
  <c r="R1647" i="1"/>
  <c r="S1647" i="1"/>
  <c r="T1647" i="1"/>
  <c r="Z1647" i="1"/>
  <c r="AL1647" i="1"/>
  <c r="A1648" i="1"/>
  <c r="B1648" i="1"/>
  <c r="C1648" i="1"/>
  <c r="G1648" i="1"/>
  <c r="H1648" i="1"/>
  <c r="I1648" i="1"/>
  <c r="J1648" i="1"/>
  <c r="K1648" i="1"/>
  <c r="M1648" i="1"/>
  <c r="N1648" i="1"/>
  <c r="P1648" i="1"/>
  <c r="Q1648" i="1"/>
  <c r="R1648" i="1"/>
  <c r="S1648" i="1"/>
  <c r="T1648" i="1"/>
  <c r="Z1648" i="1"/>
  <c r="AL1648" i="1"/>
  <c r="A1649" i="1"/>
  <c r="B1649" i="1"/>
  <c r="C1649" i="1"/>
  <c r="G1649" i="1"/>
  <c r="H1649" i="1"/>
  <c r="I1649" i="1"/>
  <c r="J1649" i="1"/>
  <c r="K1649" i="1"/>
  <c r="M1649" i="1"/>
  <c r="N1649" i="1"/>
  <c r="P1649" i="1"/>
  <c r="Q1649" i="1"/>
  <c r="R1649" i="1"/>
  <c r="S1649" i="1"/>
  <c r="T1649" i="1"/>
  <c r="Z1649" i="1"/>
  <c r="AL1649" i="1"/>
  <c r="A1650" i="1"/>
  <c r="B1650" i="1"/>
  <c r="C1650" i="1"/>
  <c r="G1650" i="1"/>
  <c r="H1650" i="1"/>
  <c r="I1650" i="1"/>
  <c r="J1650" i="1"/>
  <c r="K1650" i="1"/>
  <c r="M1650" i="1"/>
  <c r="N1650" i="1"/>
  <c r="P1650" i="1"/>
  <c r="Q1650" i="1"/>
  <c r="R1650" i="1"/>
  <c r="S1650" i="1"/>
  <c r="T1650" i="1"/>
  <c r="Z1650" i="1"/>
  <c r="AL1650" i="1"/>
  <c r="A1651" i="1"/>
  <c r="B1651" i="1"/>
  <c r="C1651" i="1"/>
  <c r="G1651" i="1"/>
  <c r="H1651" i="1"/>
  <c r="I1651" i="1"/>
  <c r="J1651" i="1"/>
  <c r="K1651" i="1"/>
  <c r="M1651" i="1"/>
  <c r="N1651" i="1"/>
  <c r="P1651" i="1"/>
  <c r="Q1651" i="1"/>
  <c r="R1651" i="1"/>
  <c r="S1651" i="1"/>
  <c r="T1651" i="1"/>
  <c r="Z1651" i="1"/>
  <c r="AL1651" i="1"/>
  <c r="A1652" i="1"/>
  <c r="B1652" i="1"/>
  <c r="C1652" i="1"/>
  <c r="G1652" i="1"/>
  <c r="H1652" i="1"/>
  <c r="I1652" i="1"/>
  <c r="J1652" i="1"/>
  <c r="K1652" i="1"/>
  <c r="M1652" i="1"/>
  <c r="N1652" i="1"/>
  <c r="P1652" i="1"/>
  <c r="Q1652" i="1"/>
  <c r="R1652" i="1"/>
  <c r="S1652" i="1"/>
  <c r="T1652" i="1"/>
  <c r="Z1652" i="1"/>
  <c r="AL1652" i="1"/>
  <c r="A1653" i="1"/>
  <c r="B1653" i="1"/>
  <c r="C1653" i="1"/>
  <c r="G1653" i="1"/>
  <c r="H1653" i="1"/>
  <c r="I1653" i="1"/>
  <c r="J1653" i="1"/>
  <c r="K1653" i="1"/>
  <c r="M1653" i="1"/>
  <c r="N1653" i="1"/>
  <c r="P1653" i="1"/>
  <c r="Q1653" i="1"/>
  <c r="R1653" i="1"/>
  <c r="S1653" i="1"/>
  <c r="T1653" i="1"/>
  <c r="Z1653" i="1"/>
  <c r="AL1653" i="1"/>
  <c r="A1654" i="1"/>
  <c r="B1654" i="1"/>
  <c r="C1654" i="1"/>
  <c r="G1654" i="1"/>
  <c r="H1654" i="1"/>
  <c r="I1654" i="1"/>
  <c r="J1654" i="1"/>
  <c r="K1654" i="1"/>
  <c r="M1654" i="1"/>
  <c r="N1654" i="1"/>
  <c r="P1654" i="1"/>
  <c r="Q1654" i="1"/>
  <c r="R1654" i="1"/>
  <c r="S1654" i="1"/>
  <c r="T1654" i="1"/>
  <c r="Z1654" i="1"/>
  <c r="AL1654" i="1"/>
  <c r="A1655" i="1"/>
  <c r="B1655" i="1"/>
  <c r="C1655" i="1"/>
  <c r="G1655" i="1"/>
  <c r="H1655" i="1"/>
  <c r="I1655" i="1"/>
  <c r="J1655" i="1"/>
  <c r="K1655" i="1"/>
  <c r="M1655" i="1"/>
  <c r="N1655" i="1"/>
  <c r="P1655" i="1"/>
  <c r="Q1655" i="1"/>
  <c r="R1655" i="1"/>
  <c r="S1655" i="1"/>
  <c r="T1655" i="1"/>
  <c r="AL1655" i="1"/>
  <c r="A1656" i="1"/>
  <c r="B1656" i="1"/>
  <c r="C1656" i="1"/>
  <c r="G1656" i="1"/>
  <c r="H1656" i="1"/>
  <c r="I1656" i="1"/>
  <c r="J1656" i="1"/>
  <c r="K1656" i="1"/>
  <c r="M1656" i="1"/>
  <c r="N1656" i="1"/>
  <c r="P1656" i="1"/>
  <c r="Q1656" i="1"/>
  <c r="R1656" i="1"/>
  <c r="S1656" i="1"/>
  <c r="T1656" i="1"/>
  <c r="Z1656" i="1"/>
  <c r="AL1656" i="1"/>
  <c r="A1657" i="1"/>
  <c r="B1657" i="1"/>
  <c r="C1657" i="1"/>
  <c r="G1657" i="1"/>
  <c r="H1657" i="1"/>
  <c r="I1657" i="1"/>
  <c r="J1657" i="1"/>
  <c r="K1657" i="1"/>
  <c r="M1657" i="1"/>
  <c r="N1657" i="1"/>
  <c r="P1657" i="1"/>
  <c r="Q1657" i="1"/>
  <c r="R1657" i="1"/>
  <c r="S1657" i="1"/>
  <c r="T1657" i="1"/>
  <c r="Z1657" i="1"/>
  <c r="AL1657" i="1"/>
  <c r="A1658" i="1"/>
  <c r="B1658" i="1"/>
  <c r="C1658" i="1"/>
  <c r="G1658" i="1"/>
  <c r="H1658" i="1"/>
  <c r="I1658" i="1"/>
  <c r="J1658" i="1"/>
  <c r="K1658" i="1"/>
  <c r="P1658" i="1"/>
  <c r="Q1658" i="1"/>
  <c r="R1658" i="1"/>
  <c r="S1658" i="1"/>
  <c r="T1658" i="1"/>
  <c r="Z1658" i="1"/>
  <c r="AL1658" i="1"/>
  <c r="A1659" i="1"/>
  <c r="B1659" i="1"/>
  <c r="C1659" i="1"/>
  <c r="G1659" i="1"/>
  <c r="H1659" i="1"/>
  <c r="I1659" i="1"/>
  <c r="J1659" i="1"/>
  <c r="K1659" i="1"/>
  <c r="P1659" i="1"/>
  <c r="Q1659" i="1"/>
  <c r="R1659" i="1"/>
  <c r="S1659" i="1"/>
  <c r="T1659" i="1"/>
  <c r="Z1659" i="1"/>
  <c r="AL1659" i="1"/>
  <c r="A1660" i="1"/>
  <c r="B1660" i="1"/>
  <c r="C1660" i="1"/>
  <c r="G1660" i="1"/>
  <c r="H1660" i="1"/>
  <c r="I1660" i="1"/>
  <c r="J1660" i="1"/>
  <c r="K1660" i="1"/>
  <c r="M1660" i="1"/>
  <c r="N1660" i="1"/>
  <c r="P1660" i="1"/>
  <c r="Q1660" i="1"/>
  <c r="R1660" i="1"/>
  <c r="S1660" i="1"/>
  <c r="T1660" i="1"/>
  <c r="Z1660" i="1"/>
  <c r="AL1660" i="1"/>
  <c r="A1661" i="1"/>
  <c r="B1661" i="1"/>
  <c r="C1661" i="1"/>
  <c r="G1661" i="1"/>
  <c r="H1661" i="1"/>
  <c r="I1661" i="1"/>
  <c r="J1661" i="1"/>
  <c r="K1661" i="1"/>
  <c r="P1661" i="1"/>
  <c r="Q1661" i="1"/>
  <c r="R1661" i="1"/>
  <c r="S1661" i="1"/>
  <c r="T1661" i="1"/>
  <c r="Z1661" i="1"/>
  <c r="AL1661" i="1"/>
  <c r="A1662" i="1"/>
  <c r="B1662" i="1"/>
  <c r="C1662" i="1"/>
  <c r="G1662" i="1"/>
  <c r="H1662" i="1"/>
  <c r="I1662" i="1"/>
  <c r="J1662" i="1"/>
  <c r="K1662" i="1"/>
  <c r="P1662" i="1"/>
  <c r="Q1662" i="1"/>
  <c r="R1662" i="1"/>
  <c r="S1662" i="1"/>
  <c r="T1662" i="1"/>
  <c r="Z1662" i="1"/>
  <c r="AL1662" i="1"/>
  <c r="A1663" i="1"/>
  <c r="B1663" i="1"/>
  <c r="C1663" i="1"/>
  <c r="G1663" i="1"/>
  <c r="H1663" i="1"/>
  <c r="I1663" i="1"/>
  <c r="J1663" i="1"/>
  <c r="K1663" i="1"/>
  <c r="M1663" i="1"/>
  <c r="N1663" i="1"/>
  <c r="P1663" i="1"/>
  <c r="Q1663" i="1"/>
  <c r="R1663" i="1"/>
  <c r="S1663" i="1"/>
  <c r="T1663" i="1"/>
  <c r="Z1663" i="1"/>
  <c r="AL1663" i="1"/>
  <c r="A1664" i="1"/>
  <c r="B1664" i="1"/>
  <c r="C1664" i="1"/>
  <c r="G1664" i="1"/>
  <c r="H1664" i="1"/>
  <c r="I1664" i="1"/>
  <c r="J1664" i="1"/>
  <c r="K1664" i="1"/>
  <c r="M1664" i="1"/>
  <c r="N1664" i="1"/>
  <c r="P1664" i="1"/>
  <c r="Q1664" i="1"/>
  <c r="R1664" i="1"/>
  <c r="S1664" i="1"/>
  <c r="T1664" i="1"/>
  <c r="Z1664" i="1"/>
  <c r="AL1664" i="1"/>
  <c r="A1665" i="1"/>
  <c r="B1665" i="1"/>
  <c r="C1665" i="1"/>
  <c r="G1665" i="1"/>
  <c r="H1665" i="1"/>
  <c r="I1665" i="1"/>
  <c r="J1665" i="1"/>
  <c r="K1665" i="1"/>
  <c r="M1665" i="1"/>
  <c r="N1665" i="1"/>
  <c r="P1665" i="1"/>
  <c r="Q1665" i="1"/>
  <c r="R1665" i="1"/>
  <c r="S1665" i="1"/>
  <c r="T1665" i="1"/>
  <c r="Z1665" i="1"/>
  <c r="AL1665" i="1"/>
  <c r="A1666" i="1"/>
  <c r="B1666" i="1"/>
  <c r="C1666" i="1"/>
  <c r="G1666" i="1"/>
  <c r="H1666" i="1"/>
  <c r="I1666" i="1"/>
  <c r="J1666" i="1"/>
  <c r="K1666" i="1"/>
  <c r="M1666" i="1"/>
  <c r="N1666" i="1"/>
  <c r="P1666" i="1"/>
  <c r="Q1666" i="1"/>
  <c r="R1666" i="1"/>
  <c r="S1666" i="1"/>
  <c r="T1666" i="1"/>
  <c r="Z1666" i="1"/>
  <c r="AL1666" i="1"/>
  <c r="A1667" i="1"/>
  <c r="B1667" i="1"/>
  <c r="C1667" i="1"/>
  <c r="G1667" i="1"/>
  <c r="H1667" i="1"/>
  <c r="I1667" i="1"/>
  <c r="J1667" i="1"/>
  <c r="K1667" i="1"/>
  <c r="M1667" i="1"/>
  <c r="N1667" i="1"/>
  <c r="P1667" i="1"/>
  <c r="Q1667" i="1"/>
  <c r="R1667" i="1"/>
  <c r="S1667" i="1"/>
  <c r="T1667" i="1"/>
  <c r="Z1667" i="1"/>
  <c r="AL1667" i="1"/>
  <c r="A1668" i="1"/>
  <c r="B1668" i="1"/>
  <c r="C1668" i="1"/>
  <c r="G1668" i="1"/>
  <c r="H1668" i="1"/>
  <c r="I1668" i="1"/>
  <c r="J1668" i="1"/>
  <c r="K1668" i="1"/>
  <c r="M1668" i="1"/>
  <c r="N1668" i="1"/>
  <c r="P1668" i="1"/>
  <c r="Q1668" i="1"/>
  <c r="R1668" i="1"/>
  <c r="S1668" i="1"/>
  <c r="T1668" i="1"/>
  <c r="Z1668" i="1"/>
  <c r="AL1668" i="1"/>
  <c r="A1669" i="1"/>
  <c r="B1669" i="1"/>
  <c r="C1669" i="1"/>
  <c r="G1669" i="1"/>
  <c r="H1669" i="1"/>
  <c r="I1669" i="1"/>
  <c r="J1669" i="1"/>
  <c r="K1669" i="1"/>
  <c r="M1669" i="1"/>
  <c r="N1669" i="1"/>
  <c r="P1669" i="1"/>
  <c r="Q1669" i="1"/>
  <c r="R1669" i="1"/>
  <c r="S1669" i="1"/>
  <c r="T1669" i="1"/>
  <c r="Z1669" i="1"/>
  <c r="AL1669" i="1"/>
  <c r="A1670" i="1"/>
  <c r="B1670" i="1"/>
  <c r="C1670" i="1"/>
  <c r="G1670" i="1"/>
  <c r="H1670" i="1"/>
  <c r="I1670" i="1"/>
  <c r="J1670" i="1"/>
  <c r="K1670" i="1"/>
  <c r="M1670" i="1"/>
  <c r="N1670" i="1"/>
  <c r="P1670" i="1"/>
  <c r="Q1670" i="1"/>
  <c r="R1670" i="1"/>
  <c r="S1670" i="1"/>
  <c r="T1670" i="1"/>
  <c r="Z1670" i="1"/>
  <c r="AL1670" i="1"/>
  <c r="A1671" i="1"/>
  <c r="B1671" i="1"/>
  <c r="C1671" i="1"/>
  <c r="G1671" i="1"/>
  <c r="H1671" i="1"/>
  <c r="I1671" i="1"/>
  <c r="J1671" i="1"/>
  <c r="K1671" i="1"/>
  <c r="M1671" i="1"/>
  <c r="N1671" i="1"/>
  <c r="P1671" i="1"/>
  <c r="Q1671" i="1"/>
  <c r="R1671" i="1"/>
  <c r="S1671" i="1"/>
  <c r="T1671" i="1"/>
  <c r="Z1671" i="1"/>
  <c r="AL1671" i="1"/>
  <c r="A1672" i="1"/>
  <c r="B1672" i="1"/>
  <c r="C1672" i="1"/>
  <c r="G1672" i="1"/>
  <c r="H1672" i="1"/>
  <c r="I1672" i="1"/>
  <c r="J1672" i="1"/>
  <c r="K1672" i="1"/>
  <c r="M1672" i="1"/>
  <c r="N1672" i="1"/>
  <c r="P1672" i="1"/>
  <c r="Q1672" i="1"/>
  <c r="R1672" i="1"/>
  <c r="S1672" i="1"/>
  <c r="T1672" i="1"/>
  <c r="AL1672" i="1"/>
  <c r="A1673" i="1"/>
  <c r="B1673" i="1"/>
  <c r="C1673" i="1"/>
  <c r="G1673" i="1"/>
  <c r="H1673" i="1"/>
  <c r="I1673" i="1"/>
  <c r="J1673" i="1"/>
  <c r="K1673" i="1"/>
  <c r="M1673" i="1"/>
  <c r="N1673" i="1"/>
  <c r="P1673" i="1"/>
  <c r="Q1673" i="1"/>
  <c r="R1673" i="1"/>
  <c r="S1673" i="1"/>
  <c r="T1673" i="1"/>
  <c r="AL1673" i="1"/>
  <c r="A1674" i="1"/>
  <c r="B1674" i="1"/>
  <c r="C1674" i="1"/>
  <c r="G1674" i="1"/>
  <c r="H1674" i="1"/>
  <c r="I1674" i="1"/>
  <c r="J1674" i="1"/>
  <c r="K1674" i="1"/>
  <c r="M1674" i="1"/>
  <c r="N1674" i="1"/>
  <c r="P1674" i="1"/>
  <c r="Q1674" i="1"/>
  <c r="R1674" i="1"/>
  <c r="S1674" i="1"/>
  <c r="T1674" i="1"/>
  <c r="Z1674" i="1"/>
  <c r="AL1674" i="1"/>
  <c r="A1675" i="1"/>
  <c r="B1675" i="1"/>
  <c r="C1675" i="1"/>
  <c r="G1675" i="1"/>
  <c r="H1675" i="1"/>
  <c r="I1675" i="1"/>
  <c r="J1675" i="1"/>
  <c r="K1675" i="1"/>
  <c r="M1675" i="1"/>
  <c r="N1675" i="1"/>
  <c r="P1675" i="1"/>
  <c r="Q1675" i="1"/>
  <c r="R1675" i="1"/>
  <c r="S1675" i="1"/>
  <c r="T1675" i="1"/>
  <c r="Z1675" i="1"/>
  <c r="AL1675" i="1"/>
  <c r="A1676" i="1"/>
  <c r="B1676" i="1"/>
  <c r="C1676" i="1"/>
  <c r="G1676" i="1"/>
  <c r="H1676" i="1"/>
  <c r="I1676" i="1"/>
  <c r="J1676" i="1"/>
  <c r="K1676" i="1"/>
  <c r="M1676" i="1"/>
  <c r="N1676" i="1"/>
  <c r="P1676" i="1"/>
  <c r="Q1676" i="1"/>
  <c r="R1676" i="1"/>
  <c r="S1676" i="1"/>
  <c r="T1676" i="1"/>
  <c r="AL1676" i="1"/>
  <c r="A1677" i="1"/>
  <c r="B1677" i="1"/>
  <c r="C1677" i="1"/>
  <c r="G1677" i="1"/>
  <c r="H1677" i="1"/>
  <c r="I1677" i="1"/>
  <c r="J1677" i="1"/>
  <c r="K1677" i="1"/>
  <c r="M1677" i="1"/>
  <c r="N1677" i="1"/>
  <c r="P1677" i="1"/>
  <c r="Q1677" i="1"/>
  <c r="R1677" i="1"/>
  <c r="S1677" i="1"/>
  <c r="T1677" i="1"/>
  <c r="AL1677" i="1"/>
  <c r="A1678" i="1"/>
  <c r="B1678" i="1"/>
  <c r="C1678" i="1"/>
  <c r="G1678" i="1"/>
  <c r="H1678" i="1"/>
  <c r="I1678" i="1"/>
  <c r="J1678" i="1"/>
  <c r="K1678" i="1"/>
  <c r="P1678" i="1"/>
  <c r="Q1678" i="1"/>
  <c r="R1678" i="1"/>
  <c r="S1678" i="1"/>
  <c r="T1678" i="1"/>
  <c r="Z1678" i="1"/>
  <c r="AL1678" i="1"/>
  <c r="A1679" i="1"/>
  <c r="B1679" i="1"/>
  <c r="C1679" i="1"/>
  <c r="G1679" i="1"/>
  <c r="H1679" i="1"/>
  <c r="I1679" i="1"/>
  <c r="J1679" i="1"/>
  <c r="K1679" i="1"/>
  <c r="M1679" i="1"/>
  <c r="N1679" i="1"/>
  <c r="P1679" i="1"/>
  <c r="Q1679" i="1"/>
  <c r="R1679" i="1"/>
  <c r="S1679" i="1"/>
  <c r="T1679" i="1"/>
  <c r="Z1679" i="1"/>
  <c r="AL1679" i="1"/>
  <c r="A1680" i="1"/>
  <c r="B1680" i="1"/>
  <c r="C1680" i="1"/>
  <c r="G1680" i="1"/>
  <c r="H1680" i="1"/>
  <c r="I1680" i="1"/>
  <c r="J1680" i="1"/>
  <c r="K1680" i="1"/>
  <c r="M1680" i="1"/>
  <c r="N1680" i="1"/>
  <c r="P1680" i="1"/>
  <c r="Q1680" i="1"/>
  <c r="R1680" i="1"/>
  <c r="S1680" i="1"/>
  <c r="T1680" i="1"/>
  <c r="Z1680" i="1"/>
  <c r="AL1680" i="1"/>
  <c r="A1681" i="1"/>
  <c r="B1681" i="1"/>
  <c r="C1681" i="1"/>
  <c r="G1681" i="1"/>
  <c r="H1681" i="1"/>
  <c r="I1681" i="1"/>
  <c r="J1681" i="1"/>
  <c r="K1681" i="1"/>
  <c r="M1681" i="1"/>
  <c r="N1681" i="1"/>
  <c r="P1681" i="1"/>
  <c r="Q1681" i="1"/>
  <c r="R1681" i="1"/>
  <c r="S1681" i="1"/>
  <c r="T1681" i="1"/>
  <c r="AL1681" i="1"/>
  <c r="A1682" i="1"/>
  <c r="B1682" i="1"/>
  <c r="C1682" i="1"/>
  <c r="G1682" i="1"/>
  <c r="H1682" i="1"/>
  <c r="I1682" i="1"/>
  <c r="J1682" i="1"/>
  <c r="K1682" i="1"/>
  <c r="M1682" i="1"/>
  <c r="N1682" i="1"/>
  <c r="P1682" i="1"/>
  <c r="Q1682" i="1"/>
  <c r="R1682" i="1"/>
  <c r="S1682" i="1"/>
  <c r="T1682" i="1"/>
  <c r="Z1682" i="1"/>
  <c r="AL1682" i="1"/>
  <c r="A1683" i="1"/>
  <c r="B1683" i="1"/>
  <c r="C1683" i="1"/>
  <c r="G1683" i="1"/>
  <c r="H1683" i="1"/>
  <c r="I1683" i="1"/>
  <c r="J1683" i="1"/>
  <c r="K1683" i="1"/>
  <c r="M1683" i="1"/>
  <c r="N1683" i="1"/>
  <c r="P1683" i="1"/>
  <c r="Q1683" i="1"/>
  <c r="R1683" i="1"/>
  <c r="S1683" i="1"/>
  <c r="T1683" i="1"/>
  <c r="AL1683" i="1"/>
  <c r="A1684" i="1"/>
  <c r="B1684" i="1"/>
  <c r="C1684" i="1"/>
  <c r="G1684" i="1"/>
  <c r="H1684" i="1"/>
  <c r="I1684" i="1"/>
  <c r="J1684" i="1"/>
  <c r="K1684" i="1"/>
  <c r="M1684" i="1"/>
  <c r="N1684" i="1"/>
  <c r="P1684" i="1"/>
  <c r="Q1684" i="1"/>
  <c r="R1684" i="1"/>
  <c r="S1684" i="1"/>
  <c r="T1684" i="1"/>
  <c r="AL1684" i="1"/>
  <c r="A1685" i="1"/>
  <c r="B1685" i="1"/>
  <c r="C1685" i="1"/>
  <c r="G1685" i="1"/>
  <c r="H1685" i="1"/>
  <c r="I1685" i="1"/>
  <c r="J1685" i="1"/>
  <c r="K1685" i="1"/>
  <c r="M1685" i="1"/>
  <c r="N1685" i="1"/>
  <c r="P1685" i="1"/>
  <c r="Q1685" i="1"/>
  <c r="R1685" i="1"/>
  <c r="S1685" i="1"/>
  <c r="T1685" i="1"/>
  <c r="Z1685" i="1"/>
  <c r="AL1685" i="1"/>
  <c r="A1686" i="1"/>
  <c r="B1686" i="1"/>
  <c r="C1686" i="1"/>
  <c r="G1686" i="1"/>
  <c r="H1686" i="1"/>
  <c r="I1686" i="1"/>
  <c r="J1686" i="1"/>
  <c r="K1686" i="1"/>
  <c r="M1686" i="1"/>
  <c r="N1686" i="1"/>
  <c r="P1686" i="1"/>
  <c r="Q1686" i="1"/>
  <c r="R1686" i="1"/>
  <c r="S1686" i="1"/>
  <c r="T1686" i="1"/>
  <c r="Z1686" i="1"/>
  <c r="AL1686" i="1"/>
  <c r="A1687" i="1"/>
  <c r="B1687" i="1"/>
  <c r="C1687" i="1"/>
  <c r="G1687" i="1"/>
  <c r="H1687" i="1"/>
  <c r="I1687" i="1"/>
  <c r="J1687" i="1"/>
  <c r="K1687" i="1"/>
  <c r="M1687" i="1"/>
  <c r="N1687" i="1"/>
  <c r="P1687" i="1"/>
  <c r="Q1687" i="1"/>
  <c r="R1687" i="1"/>
  <c r="S1687" i="1"/>
  <c r="T1687" i="1"/>
  <c r="Z1687" i="1"/>
  <c r="AL1687" i="1"/>
  <c r="A1688" i="1"/>
  <c r="B1688" i="1"/>
  <c r="C1688" i="1"/>
  <c r="G1688" i="1"/>
  <c r="H1688" i="1"/>
  <c r="I1688" i="1"/>
  <c r="J1688" i="1"/>
  <c r="K1688" i="1"/>
  <c r="M1688" i="1"/>
  <c r="N1688" i="1"/>
  <c r="P1688" i="1"/>
  <c r="Q1688" i="1"/>
  <c r="R1688" i="1"/>
  <c r="S1688" i="1"/>
  <c r="T1688" i="1"/>
  <c r="AL1688" i="1"/>
  <c r="A1689" i="1"/>
  <c r="B1689" i="1"/>
  <c r="C1689" i="1"/>
  <c r="G1689" i="1"/>
  <c r="H1689" i="1"/>
  <c r="I1689" i="1"/>
  <c r="J1689" i="1"/>
  <c r="K1689" i="1"/>
  <c r="M1689" i="1"/>
  <c r="N1689" i="1"/>
  <c r="P1689" i="1"/>
  <c r="Q1689" i="1"/>
  <c r="R1689" i="1"/>
  <c r="S1689" i="1"/>
  <c r="T1689" i="1"/>
  <c r="AL1689" i="1"/>
  <c r="A1690" i="1"/>
  <c r="B1690" i="1"/>
  <c r="C1690" i="1"/>
  <c r="G1690" i="1"/>
  <c r="H1690" i="1"/>
  <c r="I1690" i="1"/>
  <c r="J1690" i="1"/>
  <c r="K1690" i="1"/>
  <c r="M1690" i="1"/>
  <c r="N1690" i="1"/>
  <c r="P1690" i="1"/>
  <c r="Q1690" i="1"/>
  <c r="R1690" i="1"/>
  <c r="S1690" i="1"/>
  <c r="T1690" i="1"/>
  <c r="Z1690" i="1"/>
  <c r="AL1690" i="1"/>
  <c r="A1691" i="1"/>
  <c r="B1691" i="1"/>
  <c r="C1691" i="1"/>
  <c r="G1691" i="1"/>
  <c r="H1691" i="1"/>
  <c r="I1691" i="1"/>
  <c r="J1691" i="1"/>
  <c r="K1691" i="1"/>
  <c r="M1691" i="1"/>
  <c r="N1691" i="1"/>
  <c r="P1691" i="1"/>
  <c r="Q1691" i="1"/>
  <c r="R1691" i="1"/>
  <c r="S1691" i="1"/>
  <c r="T1691" i="1"/>
  <c r="AL1691" i="1"/>
  <c r="A1692" i="1"/>
  <c r="B1692" i="1"/>
  <c r="C1692" i="1"/>
  <c r="G1692" i="1"/>
  <c r="H1692" i="1"/>
  <c r="I1692" i="1"/>
  <c r="J1692" i="1"/>
  <c r="K1692" i="1"/>
  <c r="P1692" i="1"/>
  <c r="Q1692" i="1"/>
  <c r="R1692" i="1"/>
  <c r="S1692" i="1"/>
  <c r="T1692" i="1"/>
  <c r="AL1692" i="1"/>
  <c r="A1693" i="1"/>
  <c r="B1693" i="1"/>
  <c r="C1693" i="1"/>
  <c r="G1693" i="1"/>
  <c r="H1693" i="1"/>
  <c r="I1693" i="1"/>
  <c r="J1693" i="1"/>
  <c r="K1693" i="1"/>
  <c r="P1693" i="1"/>
  <c r="Q1693" i="1"/>
  <c r="R1693" i="1"/>
  <c r="S1693" i="1"/>
  <c r="T1693" i="1"/>
  <c r="AL1693" i="1"/>
  <c r="A1694" i="1"/>
  <c r="B1694" i="1"/>
  <c r="C1694" i="1"/>
  <c r="G1694" i="1"/>
  <c r="H1694" i="1"/>
  <c r="I1694" i="1"/>
  <c r="J1694" i="1"/>
  <c r="K1694" i="1"/>
  <c r="P1694" i="1"/>
  <c r="Q1694" i="1"/>
  <c r="R1694" i="1"/>
  <c r="S1694" i="1"/>
  <c r="T1694" i="1"/>
  <c r="AL1694" i="1"/>
  <c r="A1695" i="1"/>
  <c r="B1695" i="1"/>
  <c r="C1695" i="1"/>
  <c r="G1695" i="1"/>
  <c r="H1695" i="1"/>
  <c r="I1695" i="1"/>
  <c r="J1695" i="1"/>
  <c r="K1695" i="1"/>
  <c r="M1695" i="1"/>
  <c r="N1695" i="1"/>
  <c r="P1695" i="1"/>
  <c r="Q1695" i="1"/>
  <c r="R1695" i="1"/>
  <c r="S1695" i="1"/>
  <c r="T1695" i="1"/>
  <c r="Z1695" i="1"/>
  <c r="AL1695" i="1"/>
  <c r="A1696" i="1"/>
  <c r="B1696" i="1"/>
  <c r="C1696" i="1"/>
  <c r="G1696" i="1"/>
  <c r="H1696" i="1"/>
  <c r="I1696" i="1"/>
  <c r="J1696" i="1"/>
  <c r="K1696" i="1"/>
  <c r="M1696" i="1"/>
  <c r="N1696" i="1"/>
  <c r="P1696" i="1"/>
  <c r="Q1696" i="1"/>
  <c r="R1696" i="1"/>
  <c r="S1696" i="1"/>
  <c r="T1696" i="1"/>
  <c r="Z1696" i="1"/>
  <c r="AL1696" i="1"/>
  <c r="A1697" i="1"/>
  <c r="B1697" i="1"/>
  <c r="C1697" i="1"/>
  <c r="G1697" i="1"/>
  <c r="H1697" i="1"/>
  <c r="I1697" i="1"/>
  <c r="J1697" i="1"/>
  <c r="K1697" i="1"/>
  <c r="M1697" i="1"/>
  <c r="N1697" i="1"/>
  <c r="P1697" i="1"/>
  <c r="Q1697" i="1"/>
  <c r="R1697" i="1"/>
  <c r="S1697" i="1"/>
  <c r="T1697" i="1"/>
  <c r="AL1697" i="1"/>
  <c r="A1698" i="1"/>
  <c r="B1698" i="1"/>
  <c r="C1698" i="1"/>
  <c r="G1698" i="1"/>
  <c r="H1698" i="1"/>
  <c r="I1698" i="1"/>
  <c r="J1698" i="1"/>
  <c r="K1698" i="1"/>
  <c r="M1698" i="1"/>
  <c r="N1698" i="1"/>
  <c r="P1698" i="1"/>
  <c r="Q1698" i="1"/>
  <c r="R1698" i="1"/>
  <c r="S1698" i="1"/>
  <c r="T1698" i="1"/>
  <c r="AL1698" i="1"/>
  <c r="A1699" i="1"/>
  <c r="B1699" i="1"/>
  <c r="C1699" i="1"/>
  <c r="G1699" i="1"/>
  <c r="H1699" i="1"/>
  <c r="I1699" i="1"/>
  <c r="J1699" i="1"/>
  <c r="K1699" i="1"/>
  <c r="M1699" i="1"/>
  <c r="N1699" i="1"/>
  <c r="P1699" i="1"/>
  <c r="Q1699" i="1"/>
  <c r="R1699" i="1"/>
  <c r="S1699" i="1"/>
  <c r="T1699" i="1"/>
  <c r="Z1699" i="1"/>
  <c r="AL1699" i="1"/>
  <c r="A1700" i="1"/>
  <c r="B1700" i="1"/>
  <c r="C1700" i="1"/>
  <c r="G1700" i="1"/>
  <c r="H1700" i="1"/>
  <c r="I1700" i="1"/>
  <c r="J1700" i="1"/>
  <c r="K1700" i="1"/>
  <c r="M1700" i="1"/>
  <c r="N1700" i="1"/>
  <c r="P1700" i="1"/>
  <c r="Q1700" i="1"/>
  <c r="R1700" i="1"/>
  <c r="S1700" i="1"/>
  <c r="T1700" i="1"/>
  <c r="Z1700" i="1"/>
  <c r="AL1700" i="1"/>
  <c r="A1701" i="1"/>
  <c r="B1701" i="1"/>
  <c r="C1701" i="1"/>
  <c r="G1701" i="1"/>
  <c r="H1701" i="1"/>
  <c r="I1701" i="1"/>
  <c r="J1701" i="1"/>
  <c r="K1701" i="1"/>
  <c r="M1701" i="1"/>
  <c r="N1701" i="1"/>
  <c r="P1701" i="1"/>
  <c r="Q1701" i="1"/>
  <c r="R1701" i="1"/>
  <c r="S1701" i="1"/>
  <c r="T1701" i="1"/>
  <c r="AL1701" i="1"/>
  <c r="A1702" i="1"/>
  <c r="B1702" i="1"/>
  <c r="C1702" i="1"/>
  <c r="G1702" i="1"/>
  <c r="H1702" i="1"/>
  <c r="I1702" i="1"/>
  <c r="J1702" i="1"/>
  <c r="K1702" i="1"/>
  <c r="M1702" i="1"/>
  <c r="N1702" i="1"/>
  <c r="P1702" i="1"/>
  <c r="Q1702" i="1"/>
  <c r="R1702" i="1"/>
  <c r="S1702" i="1"/>
  <c r="T1702" i="1"/>
  <c r="AL1702" i="1"/>
  <c r="A1703" i="1"/>
  <c r="B1703" i="1"/>
  <c r="C1703" i="1"/>
  <c r="G1703" i="1"/>
  <c r="H1703" i="1"/>
  <c r="I1703" i="1"/>
  <c r="J1703" i="1"/>
  <c r="K1703" i="1"/>
  <c r="M1703" i="1"/>
  <c r="N1703" i="1"/>
  <c r="P1703" i="1"/>
  <c r="Q1703" i="1"/>
  <c r="R1703" i="1"/>
  <c r="S1703" i="1"/>
  <c r="T1703" i="1"/>
  <c r="AL1703" i="1"/>
  <c r="A1704" i="1"/>
  <c r="B1704" i="1"/>
  <c r="C1704" i="1"/>
  <c r="G1704" i="1"/>
  <c r="H1704" i="1"/>
  <c r="I1704" i="1"/>
  <c r="J1704" i="1"/>
  <c r="K1704" i="1"/>
  <c r="M1704" i="1"/>
  <c r="N1704" i="1"/>
  <c r="P1704" i="1"/>
  <c r="Q1704" i="1"/>
  <c r="R1704" i="1"/>
  <c r="S1704" i="1"/>
  <c r="T1704" i="1"/>
  <c r="AL1704" i="1"/>
  <c r="A1705" i="1"/>
  <c r="B1705" i="1"/>
  <c r="C1705" i="1"/>
  <c r="G1705" i="1"/>
  <c r="H1705" i="1"/>
  <c r="I1705" i="1"/>
  <c r="J1705" i="1"/>
  <c r="K1705" i="1"/>
  <c r="M1705" i="1"/>
  <c r="N1705" i="1"/>
  <c r="P1705" i="1"/>
  <c r="Q1705" i="1"/>
  <c r="R1705" i="1"/>
  <c r="S1705" i="1"/>
  <c r="T1705" i="1"/>
  <c r="AL1705" i="1"/>
  <c r="A1706" i="1"/>
  <c r="B1706" i="1"/>
  <c r="C1706" i="1"/>
  <c r="G1706" i="1"/>
  <c r="H1706" i="1"/>
  <c r="I1706" i="1"/>
  <c r="J1706" i="1"/>
  <c r="K1706" i="1"/>
  <c r="M1706" i="1"/>
  <c r="N1706" i="1"/>
  <c r="P1706" i="1"/>
  <c r="Q1706" i="1"/>
  <c r="R1706" i="1"/>
  <c r="S1706" i="1"/>
  <c r="T1706" i="1"/>
  <c r="AL1706" i="1"/>
  <c r="A1707" i="1"/>
  <c r="B1707" i="1"/>
  <c r="C1707" i="1"/>
  <c r="G1707" i="1"/>
  <c r="H1707" i="1"/>
  <c r="I1707" i="1"/>
  <c r="J1707" i="1"/>
  <c r="K1707" i="1"/>
  <c r="M1707" i="1"/>
  <c r="N1707" i="1"/>
  <c r="P1707" i="1"/>
  <c r="Q1707" i="1"/>
  <c r="R1707" i="1"/>
  <c r="S1707" i="1"/>
  <c r="T1707" i="1"/>
  <c r="AL1707" i="1"/>
  <c r="A1708" i="1"/>
  <c r="B1708" i="1"/>
  <c r="C1708" i="1"/>
  <c r="G1708" i="1"/>
  <c r="H1708" i="1"/>
  <c r="I1708" i="1"/>
  <c r="J1708" i="1"/>
  <c r="K1708" i="1"/>
  <c r="M1708" i="1"/>
  <c r="N1708" i="1"/>
  <c r="P1708" i="1"/>
  <c r="Q1708" i="1"/>
  <c r="R1708" i="1"/>
  <c r="S1708" i="1"/>
  <c r="T1708" i="1"/>
  <c r="AL1708" i="1"/>
  <c r="A1709" i="1"/>
  <c r="B1709" i="1"/>
  <c r="C1709" i="1"/>
  <c r="G1709" i="1"/>
  <c r="H1709" i="1"/>
  <c r="I1709" i="1"/>
  <c r="J1709" i="1"/>
  <c r="K1709" i="1"/>
  <c r="M1709" i="1"/>
  <c r="N1709" i="1"/>
  <c r="P1709" i="1"/>
  <c r="Q1709" i="1"/>
  <c r="R1709" i="1"/>
  <c r="S1709" i="1"/>
  <c r="T1709" i="1"/>
  <c r="Z1709" i="1"/>
  <c r="AL1709" i="1"/>
  <c r="A1710" i="1"/>
  <c r="B1710" i="1"/>
  <c r="C1710" i="1"/>
  <c r="G1710" i="1"/>
  <c r="H1710" i="1"/>
  <c r="I1710" i="1"/>
  <c r="J1710" i="1"/>
  <c r="K1710" i="1"/>
  <c r="M1710" i="1"/>
  <c r="N1710" i="1"/>
  <c r="P1710" i="1"/>
  <c r="Q1710" i="1"/>
  <c r="R1710" i="1"/>
  <c r="S1710" i="1"/>
  <c r="T1710" i="1"/>
  <c r="Z1710" i="1"/>
  <c r="AL1710" i="1"/>
  <c r="A1711" i="1"/>
  <c r="B1711" i="1"/>
  <c r="C1711" i="1"/>
  <c r="G1711" i="1"/>
  <c r="H1711" i="1"/>
  <c r="I1711" i="1"/>
  <c r="J1711" i="1"/>
  <c r="K1711" i="1"/>
  <c r="M1711" i="1"/>
  <c r="N1711" i="1"/>
  <c r="P1711" i="1"/>
  <c r="Q1711" i="1"/>
  <c r="R1711" i="1"/>
  <c r="S1711" i="1"/>
  <c r="T1711" i="1"/>
  <c r="Z1711" i="1"/>
  <c r="AL1711" i="1"/>
  <c r="A1712" i="1"/>
  <c r="B1712" i="1"/>
  <c r="C1712" i="1"/>
  <c r="G1712" i="1"/>
  <c r="H1712" i="1"/>
  <c r="I1712" i="1"/>
  <c r="J1712" i="1"/>
  <c r="K1712" i="1"/>
  <c r="M1712" i="1"/>
  <c r="N1712" i="1"/>
  <c r="P1712" i="1"/>
  <c r="Q1712" i="1"/>
  <c r="R1712" i="1"/>
  <c r="S1712" i="1"/>
  <c r="T1712" i="1"/>
  <c r="AL1712" i="1"/>
  <c r="A1713" i="1"/>
  <c r="B1713" i="1"/>
  <c r="C1713" i="1"/>
  <c r="G1713" i="1"/>
  <c r="H1713" i="1"/>
  <c r="I1713" i="1"/>
  <c r="J1713" i="1"/>
  <c r="K1713" i="1"/>
  <c r="M1713" i="1"/>
  <c r="N1713" i="1"/>
  <c r="P1713" i="1"/>
  <c r="Q1713" i="1"/>
  <c r="R1713" i="1"/>
  <c r="S1713" i="1"/>
  <c r="T1713" i="1"/>
  <c r="AL1713" i="1"/>
  <c r="A1714" i="1"/>
  <c r="B1714" i="1"/>
  <c r="C1714" i="1"/>
  <c r="G1714" i="1"/>
  <c r="H1714" i="1"/>
  <c r="I1714" i="1"/>
  <c r="J1714" i="1"/>
  <c r="K1714" i="1"/>
  <c r="M1714" i="1"/>
  <c r="N1714" i="1"/>
  <c r="P1714" i="1"/>
  <c r="Q1714" i="1"/>
  <c r="R1714" i="1"/>
  <c r="S1714" i="1"/>
  <c r="T1714" i="1"/>
  <c r="Z1714" i="1"/>
  <c r="AL1714" i="1"/>
  <c r="A1715" i="1"/>
  <c r="B1715" i="1"/>
  <c r="C1715" i="1"/>
  <c r="G1715" i="1"/>
  <c r="H1715" i="1"/>
  <c r="I1715" i="1"/>
  <c r="J1715" i="1"/>
  <c r="K1715" i="1"/>
  <c r="M1715" i="1"/>
  <c r="N1715" i="1"/>
  <c r="P1715" i="1"/>
  <c r="Q1715" i="1"/>
  <c r="R1715" i="1"/>
  <c r="S1715" i="1"/>
  <c r="T1715" i="1"/>
  <c r="Z1715" i="1"/>
  <c r="AL1715" i="1"/>
  <c r="A1716" i="1"/>
  <c r="B1716" i="1"/>
  <c r="C1716" i="1"/>
  <c r="G1716" i="1"/>
  <c r="H1716" i="1"/>
  <c r="I1716" i="1"/>
  <c r="J1716" i="1"/>
  <c r="K1716" i="1"/>
  <c r="M1716" i="1"/>
  <c r="N1716" i="1"/>
  <c r="P1716" i="1"/>
  <c r="Q1716" i="1"/>
  <c r="R1716" i="1"/>
  <c r="S1716" i="1"/>
  <c r="T1716" i="1"/>
  <c r="Z1716" i="1"/>
  <c r="AL1716" i="1"/>
  <c r="A1717" i="1"/>
  <c r="B1717" i="1"/>
  <c r="C1717" i="1"/>
  <c r="G1717" i="1"/>
  <c r="H1717" i="1"/>
  <c r="I1717" i="1"/>
  <c r="J1717" i="1"/>
  <c r="K1717" i="1"/>
  <c r="M1717" i="1"/>
  <c r="N1717" i="1"/>
  <c r="P1717" i="1"/>
  <c r="Q1717" i="1"/>
  <c r="R1717" i="1"/>
  <c r="S1717" i="1"/>
  <c r="T1717" i="1"/>
  <c r="Z1717" i="1"/>
  <c r="AL1717" i="1"/>
  <c r="A1718" i="1"/>
  <c r="B1718" i="1"/>
  <c r="C1718" i="1"/>
  <c r="G1718" i="1"/>
  <c r="H1718" i="1"/>
  <c r="I1718" i="1"/>
  <c r="J1718" i="1"/>
  <c r="K1718" i="1"/>
  <c r="M1718" i="1"/>
  <c r="N1718" i="1"/>
  <c r="P1718" i="1"/>
  <c r="Q1718" i="1"/>
  <c r="R1718" i="1"/>
  <c r="S1718" i="1"/>
  <c r="T1718" i="1"/>
  <c r="Z1718" i="1"/>
  <c r="AL1718" i="1"/>
  <c r="A1719" i="1"/>
  <c r="B1719" i="1"/>
  <c r="C1719" i="1"/>
  <c r="G1719" i="1"/>
  <c r="H1719" i="1"/>
  <c r="I1719" i="1"/>
  <c r="J1719" i="1"/>
  <c r="K1719" i="1"/>
  <c r="M1719" i="1"/>
  <c r="N1719" i="1"/>
  <c r="P1719" i="1"/>
  <c r="Q1719" i="1"/>
  <c r="R1719" i="1"/>
  <c r="S1719" i="1"/>
  <c r="T1719" i="1"/>
  <c r="Z1719" i="1"/>
  <c r="AL1719" i="1"/>
  <c r="A1720" i="1"/>
  <c r="B1720" i="1"/>
  <c r="C1720" i="1"/>
  <c r="G1720" i="1"/>
  <c r="H1720" i="1"/>
  <c r="I1720" i="1"/>
  <c r="J1720" i="1"/>
  <c r="K1720" i="1"/>
  <c r="M1720" i="1"/>
  <c r="N1720" i="1"/>
  <c r="P1720" i="1"/>
  <c r="Q1720" i="1"/>
  <c r="R1720" i="1"/>
  <c r="S1720" i="1"/>
  <c r="T1720" i="1"/>
  <c r="Z1720" i="1"/>
  <c r="AL1720" i="1"/>
  <c r="A1721" i="1"/>
  <c r="B1721" i="1"/>
  <c r="C1721" i="1"/>
  <c r="G1721" i="1"/>
  <c r="H1721" i="1"/>
  <c r="I1721" i="1"/>
  <c r="J1721" i="1"/>
  <c r="K1721" i="1"/>
  <c r="M1721" i="1"/>
  <c r="N1721" i="1"/>
  <c r="P1721" i="1"/>
  <c r="Q1721" i="1"/>
  <c r="R1721" i="1"/>
  <c r="S1721" i="1"/>
  <c r="T1721" i="1"/>
  <c r="Z1721" i="1"/>
  <c r="AL1721" i="1"/>
  <c r="A1722" i="1"/>
  <c r="B1722" i="1"/>
  <c r="C1722" i="1"/>
  <c r="G1722" i="1"/>
  <c r="H1722" i="1"/>
  <c r="I1722" i="1"/>
  <c r="J1722" i="1"/>
  <c r="K1722" i="1"/>
  <c r="M1722" i="1"/>
  <c r="N1722" i="1"/>
  <c r="P1722" i="1"/>
  <c r="Q1722" i="1"/>
  <c r="R1722" i="1"/>
  <c r="S1722" i="1"/>
  <c r="T1722" i="1"/>
  <c r="Z1722" i="1"/>
  <c r="AL1722" i="1"/>
  <c r="A1723" i="1"/>
  <c r="B1723" i="1"/>
  <c r="C1723" i="1"/>
  <c r="G1723" i="1"/>
  <c r="H1723" i="1"/>
  <c r="I1723" i="1"/>
  <c r="J1723" i="1"/>
  <c r="K1723" i="1"/>
  <c r="M1723" i="1"/>
  <c r="N1723" i="1"/>
  <c r="P1723" i="1"/>
  <c r="Q1723" i="1"/>
  <c r="R1723" i="1"/>
  <c r="S1723" i="1"/>
  <c r="T1723" i="1"/>
  <c r="Z1723" i="1"/>
  <c r="AL1723" i="1"/>
  <c r="A1724" i="1"/>
  <c r="B1724" i="1"/>
  <c r="C1724" i="1"/>
  <c r="G1724" i="1"/>
  <c r="H1724" i="1"/>
  <c r="I1724" i="1"/>
  <c r="J1724" i="1"/>
  <c r="K1724" i="1"/>
  <c r="M1724" i="1"/>
  <c r="N1724" i="1"/>
  <c r="P1724" i="1"/>
  <c r="Q1724" i="1"/>
  <c r="R1724" i="1"/>
  <c r="S1724" i="1"/>
  <c r="T1724" i="1"/>
  <c r="Z1724" i="1"/>
  <c r="AL1724" i="1"/>
  <c r="A1725" i="1"/>
  <c r="B1725" i="1"/>
  <c r="C1725" i="1"/>
  <c r="G1725" i="1"/>
  <c r="H1725" i="1"/>
  <c r="I1725" i="1"/>
  <c r="J1725" i="1"/>
  <c r="K1725" i="1"/>
  <c r="M1725" i="1"/>
  <c r="N1725" i="1"/>
  <c r="P1725" i="1"/>
  <c r="Q1725" i="1"/>
  <c r="R1725" i="1"/>
  <c r="S1725" i="1"/>
  <c r="T1725" i="1"/>
  <c r="Z1725" i="1"/>
  <c r="AL1725" i="1"/>
  <c r="A1726" i="1"/>
  <c r="B1726" i="1"/>
  <c r="C1726" i="1"/>
  <c r="G1726" i="1"/>
  <c r="H1726" i="1"/>
  <c r="I1726" i="1"/>
  <c r="J1726" i="1"/>
  <c r="K1726" i="1"/>
  <c r="M1726" i="1"/>
  <c r="N1726" i="1"/>
  <c r="P1726" i="1"/>
  <c r="Q1726" i="1"/>
  <c r="R1726" i="1"/>
  <c r="S1726" i="1"/>
  <c r="T1726" i="1"/>
  <c r="Z1726" i="1"/>
  <c r="AL1726" i="1"/>
  <c r="A1727" i="1"/>
  <c r="B1727" i="1"/>
  <c r="C1727" i="1"/>
  <c r="G1727" i="1"/>
  <c r="H1727" i="1"/>
  <c r="I1727" i="1"/>
  <c r="J1727" i="1"/>
  <c r="K1727" i="1"/>
  <c r="M1727" i="1"/>
  <c r="N1727" i="1"/>
  <c r="P1727" i="1"/>
  <c r="Q1727" i="1"/>
  <c r="R1727" i="1"/>
  <c r="S1727" i="1"/>
  <c r="T1727" i="1"/>
  <c r="Z1727" i="1"/>
  <c r="AL1727" i="1"/>
  <c r="A1728" i="1"/>
  <c r="B1728" i="1"/>
  <c r="C1728" i="1"/>
  <c r="G1728" i="1"/>
  <c r="H1728" i="1"/>
  <c r="I1728" i="1"/>
  <c r="J1728" i="1"/>
  <c r="K1728" i="1"/>
  <c r="M1728" i="1"/>
  <c r="N1728" i="1"/>
  <c r="P1728" i="1"/>
  <c r="Q1728" i="1"/>
  <c r="R1728" i="1"/>
  <c r="S1728" i="1"/>
  <c r="T1728" i="1"/>
  <c r="Z1728" i="1"/>
  <c r="AL1728" i="1"/>
  <c r="A1729" i="1"/>
  <c r="B1729" i="1"/>
  <c r="C1729" i="1"/>
  <c r="G1729" i="1"/>
  <c r="H1729" i="1"/>
  <c r="I1729" i="1"/>
  <c r="J1729" i="1"/>
  <c r="K1729" i="1"/>
  <c r="M1729" i="1"/>
  <c r="N1729" i="1"/>
  <c r="P1729" i="1"/>
  <c r="Q1729" i="1"/>
  <c r="R1729" i="1"/>
  <c r="S1729" i="1"/>
  <c r="T1729" i="1"/>
  <c r="Z1729" i="1"/>
  <c r="AL1729" i="1"/>
  <c r="A1730" i="1"/>
  <c r="B1730" i="1"/>
  <c r="C1730" i="1"/>
  <c r="G1730" i="1"/>
  <c r="H1730" i="1"/>
  <c r="I1730" i="1"/>
  <c r="J1730" i="1"/>
  <c r="K1730" i="1"/>
  <c r="M1730" i="1"/>
  <c r="N1730" i="1"/>
  <c r="P1730" i="1"/>
  <c r="Q1730" i="1"/>
  <c r="R1730" i="1"/>
  <c r="S1730" i="1"/>
  <c r="T1730" i="1"/>
  <c r="Z1730" i="1"/>
  <c r="AL1730" i="1"/>
  <c r="A1731" i="1"/>
  <c r="B1731" i="1"/>
  <c r="C1731" i="1"/>
  <c r="G1731" i="1"/>
  <c r="H1731" i="1"/>
  <c r="I1731" i="1"/>
  <c r="J1731" i="1"/>
  <c r="K1731" i="1"/>
  <c r="M1731" i="1"/>
  <c r="N1731" i="1"/>
  <c r="P1731" i="1"/>
  <c r="Q1731" i="1"/>
  <c r="R1731" i="1"/>
  <c r="S1731" i="1"/>
  <c r="T1731" i="1"/>
  <c r="Z1731" i="1"/>
  <c r="AL1731" i="1"/>
  <c r="A1732" i="1"/>
  <c r="B1732" i="1"/>
  <c r="C1732" i="1"/>
  <c r="G1732" i="1"/>
  <c r="H1732" i="1"/>
  <c r="I1732" i="1"/>
  <c r="J1732" i="1"/>
  <c r="K1732" i="1"/>
  <c r="M1732" i="1"/>
  <c r="N1732" i="1"/>
  <c r="P1732" i="1"/>
  <c r="Q1732" i="1"/>
  <c r="R1732" i="1"/>
  <c r="S1732" i="1"/>
  <c r="T1732" i="1"/>
  <c r="Z1732" i="1"/>
  <c r="AL1732" i="1"/>
  <c r="A1733" i="1"/>
  <c r="B1733" i="1"/>
  <c r="C1733" i="1"/>
  <c r="G1733" i="1"/>
  <c r="H1733" i="1"/>
  <c r="I1733" i="1"/>
  <c r="J1733" i="1"/>
  <c r="K1733" i="1"/>
  <c r="P1733" i="1"/>
  <c r="Q1733" i="1"/>
  <c r="R1733" i="1"/>
  <c r="S1733" i="1"/>
  <c r="T1733" i="1"/>
  <c r="Z1733" i="1"/>
  <c r="AL1733" i="1"/>
  <c r="A1734" i="1"/>
  <c r="B1734" i="1"/>
  <c r="C1734" i="1"/>
  <c r="G1734" i="1"/>
  <c r="H1734" i="1"/>
  <c r="I1734" i="1"/>
  <c r="J1734" i="1"/>
  <c r="K1734" i="1"/>
  <c r="M1734" i="1"/>
  <c r="N1734" i="1"/>
  <c r="P1734" i="1"/>
  <c r="Q1734" i="1"/>
  <c r="R1734" i="1"/>
  <c r="S1734" i="1"/>
  <c r="T1734" i="1"/>
  <c r="Z1734" i="1"/>
  <c r="AL1734" i="1"/>
  <c r="A1735" i="1"/>
  <c r="B1735" i="1"/>
  <c r="C1735" i="1"/>
  <c r="G1735" i="1"/>
  <c r="H1735" i="1"/>
  <c r="I1735" i="1"/>
  <c r="J1735" i="1"/>
  <c r="K1735" i="1"/>
  <c r="M1735" i="1"/>
  <c r="N1735" i="1"/>
  <c r="P1735" i="1"/>
  <c r="Q1735" i="1"/>
  <c r="R1735" i="1"/>
  <c r="S1735" i="1"/>
  <c r="T1735" i="1"/>
  <c r="Z1735" i="1"/>
  <c r="AL1735" i="1"/>
  <c r="A1736" i="1"/>
  <c r="B1736" i="1"/>
  <c r="C1736" i="1"/>
  <c r="G1736" i="1"/>
  <c r="H1736" i="1"/>
  <c r="I1736" i="1"/>
  <c r="J1736" i="1"/>
  <c r="K1736" i="1"/>
  <c r="M1736" i="1"/>
  <c r="N1736" i="1"/>
  <c r="P1736" i="1"/>
  <c r="Q1736" i="1"/>
  <c r="R1736" i="1"/>
  <c r="S1736" i="1"/>
  <c r="T1736" i="1"/>
  <c r="Z1736" i="1"/>
  <c r="AL1736" i="1"/>
  <c r="A1737" i="1"/>
  <c r="B1737" i="1"/>
  <c r="C1737" i="1"/>
  <c r="G1737" i="1"/>
  <c r="H1737" i="1"/>
  <c r="I1737" i="1"/>
  <c r="J1737" i="1"/>
  <c r="K1737" i="1"/>
  <c r="M1737" i="1"/>
  <c r="N1737" i="1"/>
  <c r="P1737" i="1"/>
  <c r="Q1737" i="1"/>
  <c r="R1737" i="1"/>
  <c r="S1737" i="1"/>
  <c r="T1737" i="1"/>
  <c r="Z1737" i="1"/>
  <c r="AL1737" i="1"/>
  <c r="A1738" i="1"/>
  <c r="B1738" i="1"/>
  <c r="C1738" i="1"/>
  <c r="G1738" i="1"/>
  <c r="H1738" i="1"/>
  <c r="I1738" i="1"/>
  <c r="J1738" i="1"/>
  <c r="K1738" i="1"/>
  <c r="M1738" i="1"/>
  <c r="N1738" i="1"/>
  <c r="P1738" i="1"/>
  <c r="Q1738" i="1"/>
  <c r="R1738" i="1"/>
  <c r="S1738" i="1"/>
  <c r="T1738" i="1"/>
  <c r="Z1738" i="1"/>
  <c r="AL1738" i="1"/>
  <c r="A1739" i="1"/>
  <c r="B1739" i="1"/>
  <c r="C1739" i="1"/>
  <c r="G1739" i="1"/>
  <c r="H1739" i="1"/>
  <c r="I1739" i="1"/>
  <c r="J1739" i="1"/>
  <c r="K1739" i="1"/>
  <c r="M1739" i="1"/>
  <c r="N1739" i="1"/>
  <c r="P1739" i="1"/>
  <c r="Q1739" i="1"/>
  <c r="R1739" i="1"/>
  <c r="S1739" i="1"/>
  <c r="T1739" i="1"/>
  <c r="Z1739" i="1"/>
  <c r="AL1739" i="1"/>
  <c r="A1740" i="1"/>
  <c r="B1740" i="1"/>
  <c r="C1740" i="1"/>
  <c r="G1740" i="1"/>
  <c r="H1740" i="1"/>
  <c r="I1740" i="1"/>
  <c r="J1740" i="1"/>
  <c r="K1740" i="1"/>
  <c r="M1740" i="1"/>
  <c r="N1740" i="1"/>
  <c r="P1740" i="1"/>
  <c r="Q1740" i="1"/>
  <c r="R1740" i="1"/>
  <c r="S1740" i="1"/>
  <c r="T1740" i="1"/>
  <c r="Z1740" i="1"/>
  <c r="AL1740" i="1"/>
  <c r="A1741" i="1"/>
  <c r="B1741" i="1"/>
  <c r="C1741" i="1"/>
  <c r="G1741" i="1"/>
  <c r="H1741" i="1"/>
  <c r="I1741" i="1"/>
  <c r="J1741" i="1"/>
  <c r="K1741" i="1"/>
  <c r="M1741" i="1"/>
  <c r="N1741" i="1"/>
  <c r="P1741" i="1"/>
  <c r="Q1741" i="1"/>
  <c r="R1741" i="1"/>
  <c r="S1741" i="1"/>
  <c r="T1741" i="1"/>
  <c r="Z1741" i="1"/>
  <c r="AL1741" i="1"/>
  <c r="A1742" i="1"/>
  <c r="B1742" i="1"/>
  <c r="C1742" i="1"/>
  <c r="G1742" i="1"/>
  <c r="H1742" i="1"/>
  <c r="I1742" i="1"/>
  <c r="J1742" i="1"/>
  <c r="K1742" i="1"/>
  <c r="P1742" i="1"/>
  <c r="Q1742" i="1"/>
  <c r="R1742" i="1"/>
  <c r="S1742" i="1"/>
  <c r="T1742" i="1"/>
  <c r="Z1742" i="1"/>
  <c r="AL1742" i="1"/>
  <c r="A1743" i="1"/>
  <c r="B1743" i="1"/>
  <c r="C1743" i="1"/>
  <c r="G1743" i="1"/>
  <c r="H1743" i="1"/>
  <c r="I1743" i="1"/>
  <c r="J1743" i="1"/>
  <c r="K1743" i="1"/>
  <c r="P1743" i="1"/>
  <c r="Q1743" i="1"/>
  <c r="R1743" i="1"/>
  <c r="S1743" i="1"/>
  <c r="T1743" i="1"/>
  <c r="Z1743" i="1"/>
  <c r="AL1743" i="1"/>
  <c r="A1744" i="1"/>
  <c r="B1744" i="1"/>
  <c r="C1744" i="1"/>
  <c r="G1744" i="1"/>
  <c r="H1744" i="1"/>
  <c r="I1744" i="1"/>
  <c r="J1744" i="1"/>
  <c r="K1744" i="1"/>
  <c r="M1744" i="1"/>
  <c r="N1744" i="1"/>
  <c r="P1744" i="1"/>
  <c r="Q1744" i="1"/>
  <c r="R1744" i="1"/>
  <c r="S1744" i="1"/>
  <c r="T1744" i="1"/>
  <c r="Z1744" i="1"/>
  <c r="AL1744" i="1"/>
  <c r="A1745" i="1"/>
  <c r="B1745" i="1"/>
  <c r="C1745" i="1"/>
  <c r="G1745" i="1"/>
  <c r="H1745" i="1"/>
  <c r="I1745" i="1"/>
  <c r="J1745" i="1"/>
  <c r="K1745" i="1"/>
  <c r="M1745" i="1"/>
  <c r="N1745" i="1"/>
  <c r="P1745" i="1"/>
  <c r="Q1745" i="1"/>
  <c r="R1745" i="1"/>
  <c r="S1745" i="1"/>
  <c r="T1745" i="1"/>
  <c r="Z1745" i="1"/>
  <c r="AL1745" i="1"/>
  <c r="A1746" i="1"/>
  <c r="B1746" i="1"/>
  <c r="C1746" i="1"/>
  <c r="G1746" i="1"/>
  <c r="H1746" i="1"/>
  <c r="I1746" i="1"/>
  <c r="J1746" i="1"/>
  <c r="K1746" i="1"/>
  <c r="M1746" i="1"/>
  <c r="N1746" i="1"/>
  <c r="P1746" i="1"/>
  <c r="Q1746" i="1"/>
  <c r="R1746" i="1"/>
  <c r="S1746" i="1"/>
  <c r="T1746" i="1"/>
  <c r="Z1746" i="1"/>
  <c r="AL1746" i="1"/>
  <c r="A1747" i="1"/>
  <c r="B1747" i="1"/>
  <c r="C1747" i="1"/>
  <c r="G1747" i="1"/>
  <c r="H1747" i="1"/>
  <c r="I1747" i="1"/>
  <c r="J1747" i="1"/>
  <c r="K1747" i="1"/>
  <c r="M1747" i="1"/>
  <c r="N1747" i="1"/>
  <c r="P1747" i="1"/>
  <c r="Q1747" i="1"/>
  <c r="R1747" i="1"/>
  <c r="S1747" i="1"/>
  <c r="T1747" i="1"/>
  <c r="Z1747" i="1"/>
  <c r="AL1747" i="1"/>
  <c r="A1748" i="1"/>
  <c r="B1748" i="1"/>
  <c r="C1748" i="1"/>
  <c r="G1748" i="1"/>
  <c r="H1748" i="1"/>
  <c r="I1748" i="1"/>
  <c r="J1748" i="1"/>
  <c r="K1748" i="1"/>
  <c r="M1748" i="1"/>
  <c r="N1748" i="1"/>
  <c r="P1748" i="1"/>
  <c r="Q1748" i="1"/>
  <c r="R1748" i="1"/>
  <c r="S1748" i="1"/>
  <c r="T1748" i="1"/>
  <c r="Z1748" i="1"/>
  <c r="AL1748" i="1"/>
  <c r="A1749" i="1"/>
  <c r="B1749" i="1"/>
  <c r="C1749" i="1"/>
  <c r="G1749" i="1"/>
  <c r="H1749" i="1"/>
  <c r="I1749" i="1"/>
  <c r="J1749" i="1"/>
  <c r="K1749" i="1"/>
  <c r="M1749" i="1"/>
  <c r="N1749" i="1"/>
  <c r="P1749" i="1"/>
  <c r="Q1749" i="1"/>
  <c r="R1749" i="1"/>
  <c r="S1749" i="1"/>
  <c r="T1749" i="1"/>
  <c r="Z1749" i="1"/>
  <c r="AL1749" i="1"/>
  <c r="A1750" i="1"/>
  <c r="B1750" i="1"/>
  <c r="C1750" i="1"/>
  <c r="G1750" i="1"/>
  <c r="H1750" i="1"/>
  <c r="I1750" i="1"/>
  <c r="J1750" i="1"/>
  <c r="K1750" i="1"/>
  <c r="M1750" i="1"/>
  <c r="N1750" i="1"/>
  <c r="P1750" i="1"/>
  <c r="Q1750" i="1"/>
  <c r="R1750" i="1"/>
  <c r="S1750" i="1"/>
  <c r="T1750" i="1"/>
  <c r="Z1750" i="1"/>
  <c r="AL1750" i="1"/>
  <c r="A1751" i="1"/>
  <c r="B1751" i="1"/>
  <c r="C1751" i="1"/>
  <c r="G1751" i="1"/>
  <c r="H1751" i="1"/>
  <c r="I1751" i="1"/>
  <c r="J1751" i="1"/>
  <c r="K1751" i="1"/>
  <c r="M1751" i="1"/>
  <c r="N1751" i="1"/>
  <c r="P1751" i="1"/>
  <c r="Q1751" i="1"/>
  <c r="R1751" i="1"/>
  <c r="S1751" i="1"/>
  <c r="T1751" i="1"/>
  <c r="Z1751" i="1"/>
  <c r="AL1751" i="1"/>
  <c r="A1752" i="1"/>
  <c r="B1752" i="1"/>
  <c r="C1752" i="1"/>
  <c r="G1752" i="1"/>
  <c r="H1752" i="1"/>
  <c r="I1752" i="1"/>
  <c r="J1752" i="1"/>
  <c r="K1752" i="1"/>
  <c r="M1752" i="1"/>
  <c r="N1752" i="1"/>
  <c r="P1752" i="1"/>
  <c r="Q1752" i="1"/>
  <c r="R1752" i="1"/>
  <c r="S1752" i="1"/>
  <c r="T1752" i="1"/>
  <c r="Z1752" i="1"/>
  <c r="AL1752" i="1"/>
  <c r="A1753" i="1"/>
  <c r="B1753" i="1"/>
  <c r="C1753" i="1"/>
  <c r="G1753" i="1"/>
  <c r="H1753" i="1"/>
  <c r="I1753" i="1"/>
  <c r="J1753" i="1"/>
  <c r="K1753" i="1"/>
  <c r="M1753" i="1"/>
  <c r="N1753" i="1"/>
  <c r="P1753" i="1"/>
  <c r="Q1753" i="1"/>
  <c r="R1753" i="1"/>
  <c r="S1753" i="1"/>
  <c r="T1753" i="1"/>
  <c r="Z1753" i="1"/>
  <c r="AL1753" i="1"/>
  <c r="A1754" i="1"/>
  <c r="B1754" i="1"/>
  <c r="C1754" i="1"/>
  <c r="G1754" i="1"/>
  <c r="H1754" i="1"/>
  <c r="I1754" i="1"/>
  <c r="J1754" i="1"/>
  <c r="K1754" i="1"/>
  <c r="M1754" i="1"/>
  <c r="N1754" i="1"/>
  <c r="P1754" i="1"/>
  <c r="Q1754" i="1"/>
  <c r="R1754" i="1"/>
  <c r="S1754" i="1"/>
  <c r="T1754" i="1"/>
  <c r="Z1754" i="1"/>
  <c r="AL1754" i="1"/>
  <c r="A1755" i="1"/>
  <c r="B1755" i="1"/>
  <c r="C1755" i="1"/>
  <c r="G1755" i="1"/>
  <c r="H1755" i="1"/>
  <c r="I1755" i="1"/>
  <c r="J1755" i="1"/>
  <c r="K1755" i="1"/>
  <c r="M1755" i="1"/>
  <c r="N1755" i="1"/>
  <c r="P1755" i="1"/>
  <c r="Q1755" i="1"/>
  <c r="R1755" i="1"/>
  <c r="S1755" i="1"/>
  <c r="T1755" i="1"/>
  <c r="Z1755" i="1"/>
  <c r="AL1755" i="1"/>
  <c r="A1756" i="1"/>
  <c r="B1756" i="1"/>
  <c r="C1756" i="1"/>
  <c r="G1756" i="1"/>
  <c r="H1756" i="1"/>
  <c r="I1756" i="1"/>
  <c r="J1756" i="1"/>
  <c r="K1756" i="1"/>
  <c r="M1756" i="1"/>
  <c r="N1756" i="1"/>
  <c r="P1756" i="1"/>
  <c r="Q1756" i="1"/>
  <c r="R1756" i="1"/>
  <c r="S1756" i="1"/>
  <c r="T1756" i="1"/>
  <c r="Z1756" i="1"/>
  <c r="AL1756" i="1"/>
  <c r="A1757" i="1"/>
  <c r="B1757" i="1"/>
  <c r="C1757" i="1"/>
  <c r="G1757" i="1"/>
  <c r="H1757" i="1"/>
  <c r="I1757" i="1"/>
  <c r="J1757" i="1"/>
  <c r="K1757" i="1"/>
  <c r="M1757" i="1"/>
  <c r="N1757" i="1"/>
  <c r="P1757" i="1"/>
  <c r="Q1757" i="1"/>
  <c r="R1757" i="1"/>
  <c r="S1757" i="1"/>
  <c r="T1757" i="1"/>
  <c r="Z1757" i="1"/>
  <c r="AL1757" i="1"/>
  <c r="A1758" i="1"/>
  <c r="B1758" i="1"/>
  <c r="C1758" i="1"/>
  <c r="G1758" i="1"/>
  <c r="H1758" i="1"/>
  <c r="I1758" i="1"/>
  <c r="J1758" i="1"/>
  <c r="K1758" i="1"/>
  <c r="M1758" i="1"/>
  <c r="N1758" i="1"/>
  <c r="P1758" i="1"/>
  <c r="Q1758" i="1"/>
  <c r="R1758" i="1"/>
  <c r="S1758" i="1"/>
  <c r="T1758" i="1"/>
  <c r="Z1758" i="1"/>
  <c r="AL1758" i="1"/>
  <c r="A1759" i="1"/>
  <c r="B1759" i="1"/>
  <c r="C1759" i="1"/>
  <c r="G1759" i="1"/>
  <c r="H1759" i="1"/>
  <c r="I1759" i="1"/>
  <c r="J1759" i="1"/>
  <c r="K1759" i="1"/>
  <c r="M1759" i="1"/>
  <c r="N1759" i="1"/>
  <c r="P1759" i="1"/>
  <c r="Q1759" i="1"/>
  <c r="R1759" i="1"/>
  <c r="S1759" i="1"/>
  <c r="T1759" i="1"/>
  <c r="Z1759" i="1"/>
  <c r="AL1759" i="1"/>
  <c r="A1760" i="1"/>
  <c r="B1760" i="1"/>
  <c r="C1760" i="1"/>
  <c r="G1760" i="1"/>
  <c r="H1760" i="1"/>
  <c r="I1760" i="1"/>
  <c r="J1760" i="1"/>
  <c r="K1760" i="1"/>
  <c r="M1760" i="1"/>
  <c r="N1760" i="1"/>
  <c r="P1760" i="1"/>
  <c r="Q1760" i="1"/>
  <c r="R1760" i="1"/>
  <c r="S1760" i="1"/>
  <c r="T1760" i="1"/>
  <c r="Z1760" i="1"/>
  <c r="AL1760" i="1"/>
  <c r="A1761" i="1"/>
  <c r="B1761" i="1"/>
  <c r="C1761" i="1"/>
  <c r="G1761" i="1"/>
  <c r="H1761" i="1"/>
  <c r="I1761" i="1"/>
  <c r="J1761" i="1"/>
  <c r="K1761" i="1"/>
  <c r="M1761" i="1"/>
  <c r="N1761" i="1"/>
  <c r="P1761" i="1"/>
  <c r="Q1761" i="1"/>
  <c r="R1761" i="1"/>
  <c r="S1761" i="1"/>
  <c r="T1761" i="1"/>
  <c r="Z1761" i="1"/>
  <c r="AL1761" i="1"/>
  <c r="A1762" i="1"/>
  <c r="B1762" i="1"/>
  <c r="C1762" i="1"/>
  <c r="G1762" i="1"/>
  <c r="H1762" i="1"/>
  <c r="I1762" i="1"/>
  <c r="J1762" i="1"/>
  <c r="K1762" i="1"/>
  <c r="M1762" i="1"/>
  <c r="N1762" i="1"/>
  <c r="P1762" i="1"/>
  <c r="Q1762" i="1"/>
  <c r="R1762" i="1"/>
  <c r="S1762" i="1"/>
  <c r="T1762" i="1"/>
  <c r="Z1762" i="1"/>
  <c r="AL1762" i="1"/>
  <c r="A1763" i="1"/>
  <c r="B1763" i="1"/>
  <c r="C1763" i="1"/>
  <c r="G1763" i="1"/>
  <c r="H1763" i="1"/>
  <c r="I1763" i="1"/>
  <c r="J1763" i="1"/>
  <c r="K1763" i="1"/>
  <c r="M1763" i="1"/>
  <c r="N1763" i="1"/>
  <c r="P1763" i="1"/>
  <c r="Q1763" i="1"/>
  <c r="R1763" i="1"/>
  <c r="S1763" i="1"/>
  <c r="T1763" i="1"/>
  <c r="Z1763" i="1"/>
  <c r="AL1763" i="1"/>
  <c r="A1764" i="1"/>
  <c r="B1764" i="1"/>
  <c r="C1764" i="1"/>
  <c r="G1764" i="1"/>
  <c r="H1764" i="1"/>
  <c r="I1764" i="1"/>
  <c r="J1764" i="1"/>
  <c r="K1764" i="1"/>
  <c r="M1764" i="1"/>
  <c r="N1764" i="1"/>
  <c r="P1764" i="1"/>
  <c r="Q1764" i="1"/>
  <c r="R1764" i="1"/>
  <c r="S1764" i="1"/>
  <c r="T1764" i="1"/>
  <c r="Z1764" i="1"/>
  <c r="AL1764" i="1"/>
  <c r="A1765" i="1"/>
  <c r="B1765" i="1"/>
  <c r="C1765" i="1"/>
  <c r="G1765" i="1"/>
  <c r="H1765" i="1"/>
  <c r="I1765" i="1"/>
  <c r="J1765" i="1"/>
  <c r="K1765" i="1"/>
  <c r="M1765" i="1"/>
  <c r="N1765" i="1"/>
  <c r="P1765" i="1"/>
  <c r="Q1765" i="1"/>
  <c r="R1765" i="1"/>
  <c r="S1765" i="1"/>
  <c r="T1765" i="1"/>
  <c r="Z1765" i="1"/>
  <c r="AL1765" i="1"/>
  <c r="A1766" i="1"/>
  <c r="B1766" i="1"/>
  <c r="C1766" i="1"/>
  <c r="G1766" i="1"/>
  <c r="H1766" i="1"/>
  <c r="I1766" i="1"/>
  <c r="J1766" i="1"/>
  <c r="K1766" i="1"/>
  <c r="M1766" i="1"/>
  <c r="N1766" i="1"/>
  <c r="P1766" i="1"/>
  <c r="Q1766" i="1"/>
  <c r="R1766" i="1"/>
  <c r="S1766" i="1"/>
  <c r="T1766" i="1"/>
  <c r="Z1766" i="1"/>
  <c r="AL1766" i="1"/>
  <c r="A1767" i="1"/>
  <c r="B1767" i="1"/>
  <c r="C1767" i="1"/>
  <c r="G1767" i="1"/>
  <c r="H1767" i="1"/>
  <c r="I1767" i="1"/>
  <c r="J1767" i="1"/>
  <c r="K1767" i="1"/>
  <c r="M1767" i="1"/>
  <c r="N1767" i="1"/>
  <c r="P1767" i="1"/>
  <c r="Q1767" i="1"/>
  <c r="R1767" i="1"/>
  <c r="S1767" i="1"/>
  <c r="T1767" i="1"/>
  <c r="Z1767" i="1"/>
  <c r="AL1767" i="1"/>
  <c r="A1768" i="1"/>
  <c r="B1768" i="1"/>
  <c r="C1768" i="1"/>
  <c r="G1768" i="1"/>
  <c r="H1768" i="1"/>
  <c r="I1768" i="1"/>
  <c r="J1768" i="1"/>
  <c r="K1768" i="1"/>
  <c r="M1768" i="1"/>
  <c r="N1768" i="1"/>
  <c r="P1768" i="1"/>
  <c r="Q1768" i="1"/>
  <c r="R1768" i="1"/>
  <c r="S1768" i="1"/>
  <c r="T1768" i="1"/>
  <c r="Z1768" i="1"/>
  <c r="AL1768" i="1"/>
  <c r="A1769" i="1"/>
  <c r="B1769" i="1"/>
  <c r="C1769" i="1"/>
  <c r="G1769" i="1"/>
  <c r="H1769" i="1"/>
  <c r="I1769" i="1"/>
  <c r="J1769" i="1"/>
  <c r="K1769" i="1"/>
  <c r="M1769" i="1"/>
  <c r="N1769" i="1"/>
  <c r="P1769" i="1"/>
  <c r="Q1769" i="1"/>
  <c r="R1769" i="1"/>
  <c r="S1769" i="1"/>
  <c r="T1769" i="1"/>
  <c r="Z1769" i="1"/>
  <c r="AL1769" i="1"/>
  <c r="A1770" i="1"/>
  <c r="B1770" i="1"/>
  <c r="C1770" i="1"/>
  <c r="G1770" i="1"/>
  <c r="H1770" i="1"/>
  <c r="I1770" i="1"/>
  <c r="J1770" i="1"/>
  <c r="K1770" i="1"/>
  <c r="M1770" i="1"/>
  <c r="N1770" i="1"/>
  <c r="P1770" i="1"/>
  <c r="Q1770" i="1"/>
  <c r="R1770" i="1"/>
  <c r="S1770" i="1"/>
  <c r="T1770" i="1"/>
  <c r="Z1770" i="1"/>
  <c r="AL1770" i="1"/>
  <c r="A1771" i="1"/>
  <c r="B1771" i="1"/>
  <c r="C1771" i="1"/>
  <c r="G1771" i="1"/>
  <c r="H1771" i="1"/>
  <c r="I1771" i="1"/>
  <c r="J1771" i="1"/>
  <c r="K1771" i="1"/>
  <c r="M1771" i="1"/>
  <c r="N1771" i="1"/>
  <c r="P1771" i="1"/>
  <c r="Q1771" i="1"/>
  <c r="R1771" i="1"/>
  <c r="S1771" i="1"/>
  <c r="T1771" i="1"/>
  <c r="Z1771" i="1"/>
  <c r="AL1771" i="1"/>
  <c r="A1772" i="1"/>
  <c r="B1772" i="1"/>
  <c r="C1772" i="1"/>
  <c r="G1772" i="1"/>
  <c r="H1772" i="1"/>
  <c r="I1772" i="1"/>
  <c r="J1772" i="1"/>
  <c r="K1772" i="1"/>
  <c r="M1772" i="1"/>
  <c r="N1772" i="1"/>
  <c r="P1772" i="1"/>
  <c r="Q1772" i="1"/>
  <c r="R1772" i="1"/>
  <c r="S1772" i="1"/>
  <c r="T1772" i="1"/>
  <c r="Z1772" i="1"/>
  <c r="AL1772" i="1"/>
  <c r="A1773" i="1"/>
  <c r="B1773" i="1"/>
  <c r="C1773" i="1"/>
  <c r="G1773" i="1"/>
  <c r="H1773" i="1"/>
  <c r="I1773" i="1"/>
  <c r="J1773" i="1"/>
  <c r="K1773" i="1"/>
  <c r="M1773" i="1"/>
  <c r="N1773" i="1"/>
  <c r="P1773" i="1"/>
  <c r="Q1773" i="1"/>
  <c r="R1773" i="1"/>
  <c r="S1773" i="1"/>
  <c r="T1773" i="1"/>
  <c r="AL1773" i="1"/>
  <c r="A1774" i="1"/>
  <c r="B1774" i="1"/>
  <c r="C1774" i="1"/>
  <c r="G1774" i="1"/>
  <c r="H1774" i="1"/>
  <c r="I1774" i="1"/>
  <c r="J1774" i="1"/>
  <c r="K1774" i="1"/>
  <c r="M1774" i="1"/>
  <c r="N1774" i="1"/>
  <c r="P1774" i="1"/>
  <c r="Q1774" i="1"/>
  <c r="R1774" i="1"/>
  <c r="S1774" i="1"/>
  <c r="T1774" i="1"/>
  <c r="AL1774" i="1"/>
  <c r="A1775" i="1"/>
  <c r="B1775" i="1"/>
  <c r="C1775" i="1"/>
  <c r="G1775" i="1"/>
  <c r="H1775" i="1"/>
  <c r="I1775" i="1"/>
  <c r="J1775" i="1"/>
  <c r="K1775" i="1"/>
  <c r="M1775" i="1"/>
  <c r="N1775" i="1"/>
  <c r="P1775" i="1"/>
  <c r="Q1775" i="1"/>
  <c r="R1775" i="1"/>
  <c r="S1775" i="1"/>
  <c r="T1775" i="1"/>
  <c r="AL1775" i="1"/>
  <c r="A1776" i="1"/>
  <c r="B1776" i="1"/>
  <c r="C1776" i="1"/>
  <c r="G1776" i="1"/>
  <c r="H1776" i="1"/>
  <c r="I1776" i="1"/>
  <c r="J1776" i="1"/>
  <c r="K1776" i="1"/>
  <c r="M1776" i="1"/>
  <c r="N1776" i="1"/>
  <c r="P1776" i="1"/>
  <c r="Q1776" i="1"/>
  <c r="R1776" i="1"/>
  <c r="S1776" i="1"/>
  <c r="T1776" i="1"/>
  <c r="AL1776" i="1"/>
  <c r="A1777" i="1"/>
  <c r="B1777" i="1"/>
  <c r="C1777" i="1"/>
  <c r="G1777" i="1"/>
  <c r="H1777" i="1"/>
  <c r="I1777" i="1"/>
  <c r="J1777" i="1"/>
  <c r="K1777" i="1"/>
  <c r="M1777" i="1"/>
  <c r="N1777" i="1"/>
  <c r="P1777" i="1"/>
  <c r="Q1777" i="1"/>
  <c r="R1777" i="1"/>
  <c r="S1777" i="1"/>
  <c r="T1777" i="1"/>
  <c r="AL1777" i="1"/>
  <c r="A1778" i="1"/>
  <c r="B1778" i="1"/>
  <c r="C1778" i="1"/>
  <c r="G1778" i="1"/>
  <c r="H1778" i="1"/>
  <c r="I1778" i="1"/>
  <c r="J1778" i="1"/>
  <c r="K1778" i="1"/>
  <c r="M1778" i="1"/>
  <c r="N1778" i="1"/>
  <c r="P1778" i="1"/>
  <c r="Q1778" i="1"/>
  <c r="R1778" i="1"/>
  <c r="S1778" i="1"/>
  <c r="T1778" i="1"/>
  <c r="AL1778" i="1"/>
  <c r="A1779" i="1"/>
  <c r="B1779" i="1"/>
  <c r="C1779" i="1"/>
  <c r="G1779" i="1"/>
  <c r="H1779" i="1"/>
  <c r="I1779" i="1"/>
  <c r="J1779" i="1"/>
  <c r="K1779" i="1"/>
  <c r="M1779" i="1"/>
  <c r="N1779" i="1"/>
  <c r="P1779" i="1"/>
  <c r="Q1779" i="1"/>
  <c r="R1779" i="1"/>
  <c r="S1779" i="1"/>
  <c r="T1779" i="1"/>
  <c r="AL1779" i="1"/>
  <c r="A1780" i="1"/>
  <c r="B1780" i="1"/>
  <c r="C1780" i="1"/>
  <c r="G1780" i="1"/>
  <c r="H1780" i="1"/>
  <c r="I1780" i="1"/>
  <c r="J1780" i="1"/>
  <c r="K1780" i="1"/>
  <c r="M1780" i="1"/>
  <c r="N1780" i="1"/>
  <c r="P1780" i="1"/>
  <c r="Q1780" i="1"/>
  <c r="R1780" i="1"/>
  <c r="S1780" i="1"/>
  <c r="T1780" i="1"/>
  <c r="AL1780" i="1"/>
  <c r="A1781" i="1"/>
  <c r="B1781" i="1"/>
  <c r="C1781" i="1"/>
  <c r="G1781" i="1"/>
  <c r="H1781" i="1"/>
  <c r="I1781" i="1"/>
  <c r="J1781" i="1"/>
  <c r="K1781" i="1"/>
  <c r="M1781" i="1"/>
  <c r="N1781" i="1"/>
  <c r="P1781" i="1"/>
  <c r="Q1781" i="1"/>
  <c r="R1781" i="1"/>
  <c r="S1781" i="1"/>
  <c r="T1781" i="1"/>
  <c r="AL1781" i="1"/>
  <c r="A1782" i="1"/>
  <c r="B1782" i="1"/>
  <c r="C1782" i="1"/>
  <c r="G1782" i="1"/>
  <c r="H1782" i="1"/>
  <c r="I1782" i="1"/>
  <c r="J1782" i="1"/>
  <c r="K1782" i="1"/>
  <c r="M1782" i="1"/>
  <c r="N1782" i="1"/>
  <c r="P1782" i="1"/>
  <c r="Q1782" i="1"/>
  <c r="R1782" i="1"/>
  <c r="S1782" i="1"/>
  <c r="T1782" i="1"/>
  <c r="AL1782" i="1"/>
  <c r="A1783" i="1"/>
  <c r="B1783" i="1"/>
  <c r="C1783" i="1"/>
  <c r="G1783" i="1"/>
  <c r="H1783" i="1"/>
  <c r="I1783" i="1"/>
  <c r="J1783" i="1"/>
  <c r="K1783" i="1"/>
  <c r="M1783" i="1"/>
  <c r="N1783" i="1"/>
  <c r="P1783" i="1"/>
  <c r="Q1783" i="1"/>
  <c r="R1783" i="1"/>
  <c r="S1783" i="1"/>
  <c r="T1783" i="1"/>
  <c r="AL1783" i="1"/>
  <c r="A1784" i="1"/>
  <c r="B1784" i="1"/>
  <c r="C1784" i="1"/>
  <c r="G1784" i="1"/>
  <c r="H1784" i="1"/>
  <c r="I1784" i="1"/>
  <c r="J1784" i="1"/>
  <c r="K1784" i="1"/>
  <c r="P1784" i="1"/>
  <c r="Q1784" i="1"/>
  <c r="R1784" i="1"/>
  <c r="S1784" i="1"/>
  <c r="T1784" i="1"/>
  <c r="Z1784" i="1"/>
  <c r="AL1784" i="1"/>
  <c r="A1785" i="1"/>
  <c r="B1785" i="1"/>
  <c r="C1785" i="1"/>
  <c r="G1785" i="1"/>
  <c r="H1785" i="1"/>
  <c r="I1785" i="1"/>
  <c r="J1785" i="1"/>
  <c r="K1785" i="1"/>
  <c r="P1785" i="1"/>
  <c r="Q1785" i="1"/>
  <c r="R1785" i="1"/>
  <c r="S1785" i="1"/>
  <c r="T1785" i="1"/>
  <c r="Z1785" i="1"/>
  <c r="AL1785" i="1"/>
  <c r="A1786" i="1"/>
  <c r="B1786" i="1"/>
  <c r="C1786" i="1"/>
  <c r="G1786" i="1"/>
  <c r="H1786" i="1"/>
  <c r="I1786" i="1"/>
  <c r="J1786" i="1"/>
  <c r="K1786" i="1"/>
  <c r="P1786" i="1"/>
  <c r="Q1786" i="1"/>
  <c r="R1786" i="1"/>
  <c r="S1786" i="1"/>
  <c r="T1786" i="1"/>
  <c r="Z1786" i="1"/>
  <c r="AL1786" i="1"/>
  <c r="A1787" i="1"/>
  <c r="B1787" i="1"/>
  <c r="C1787" i="1"/>
  <c r="G1787" i="1"/>
  <c r="H1787" i="1"/>
  <c r="I1787" i="1"/>
  <c r="J1787" i="1"/>
  <c r="K1787" i="1"/>
  <c r="M1787" i="1"/>
  <c r="N1787" i="1"/>
  <c r="P1787" i="1"/>
  <c r="Q1787" i="1"/>
  <c r="R1787" i="1"/>
  <c r="S1787" i="1"/>
  <c r="T1787" i="1"/>
  <c r="Z1787" i="1"/>
  <c r="AL1787" i="1"/>
  <c r="A1788" i="1"/>
  <c r="B1788" i="1"/>
  <c r="C1788" i="1"/>
  <c r="G1788" i="1"/>
  <c r="H1788" i="1"/>
  <c r="I1788" i="1"/>
  <c r="J1788" i="1"/>
  <c r="K1788" i="1"/>
  <c r="M1788" i="1"/>
  <c r="N1788" i="1"/>
  <c r="P1788" i="1"/>
  <c r="Q1788" i="1"/>
  <c r="R1788" i="1"/>
  <c r="S1788" i="1"/>
  <c r="T1788" i="1"/>
  <c r="Z1788" i="1"/>
  <c r="AL1788" i="1"/>
  <c r="A1789" i="1"/>
  <c r="B1789" i="1"/>
  <c r="C1789" i="1"/>
  <c r="G1789" i="1"/>
  <c r="H1789" i="1"/>
  <c r="I1789" i="1"/>
  <c r="J1789" i="1"/>
  <c r="K1789" i="1"/>
  <c r="P1789" i="1"/>
  <c r="Q1789" i="1"/>
  <c r="R1789" i="1"/>
  <c r="S1789" i="1"/>
  <c r="T1789" i="1"/>
  <c r="Z1789" i="1"/>
  <c r="AL1789" i="1"/>
  <c r="A1790" i="1"/>
  <c r="B1790" i="1"/>
  <c r="C1790" i="1"/>
  <c r="G1790" i="1"/>
  <c r="H1790" i="1"/>
  <c r="I1790" i="1"/>
  <c r="J1790" i="1"/>
  <c r="K1790" i="1"/>
  <c r="P1790" i="1"/>
  <c r="Q1790" i="1"/>
  <c r="R1790" i="1"/>
  <c r="S1790" i="1"/>
  <c r="T1790" i="1"/>
  <c r="Z1790" i="1"/>
  <c r="AL1790" i="1"/>
  <c r="A1791" i="1"/>
  <c r="B1791" i="1"/>
  <c r="C1791" i="1"/>
  <c r="G1791" i="1"/>
  <c r="H1791" i="1"/>
  <c r="I1791" i="1"/>
  <c r="J1791" i="1"/>
  <c r="K1791" i="1"/>
  <c r="P1791" i="1"/>
  <c r="Q1791" i="1"/>
  <c r="R1791" i="1"/>
  <c r="S1791" i="1"/>
  <c r="T1791" i="1"/>
  <c r="Z1791" i="1"/>
  <c r="AL1791" i="1"/>
  <c r="A1792" i="1"/>
  <c r="B1792" i="1"/>
  <c r="C1792" i="1"/>
  <c r="G1792" i="1"/>
  <c r="H1792" i="1"/>
  <c r="I1792" i="1"/>
  <c r="J1792" i="1"/>
  <c r="K1792" i="1"/>
  <c r="P1792" i="1"/>
  <c r="Q1792" i="1"/>
  <c r="R1792" i="1"/>
  <c r="S1792" i="1"/>
  <c r="T1792" i="1"/>
  <c r="Z1792" i="1"/>
  <c r="AL1792" i="1"/>
  <c r="A1793" i="1"/>
  <c r="B1793" i="1"/>
  <c r="C1793" i="1"/>
  <c r="G1793" i="1"/>
  <c r="H1793" i="1"/>
  <c r="I1793" i="1"/>
  <c r="J1793" i="1"/>
  <c r="K1793" i="1"/>
  <c r="P1793" i="1"/>
  <c r="Q1793" i="1"/>
  <c r="R1793" i="1"/>
  <c r="S1793" i="1"/>
  <c r="T1793" i="1"/>
  <c r="Z1793" i="1"/>
  <c r="AL1793" i="1"/>
  <c r="A1794" i="1"/>
  <c r="B1794" i="1"/>
  <c r="C1794" i="1"/>
  <c r="G1794" i="1"/>
  <c r="H1794" i="1"/>
  <c r="I1794" i="1"/>
  <c r="J1794" i="1"/>
  <c r="K1794" i="1"/>
  <c r="P1794" i="1"/>
  <c r="Q1794" i="1"/>
  <c r="R1794" i="1"/>
  <c r="S1794" i="1"/>
  <c r="T1794" i="1"/>
  <c r="Z1794" i="1"/>
  <c r="AL1794" i="1"/>
  <c r="A1795" i="1"/>
  <c r="B1795" i="1"/>
  <c r="C1795" i="1"/>
  <c r="G1795" i="1"/>
  <c r="H1795" i="1"/>
  <c r="I1795" i="1"/>
  <c r="J1795" i="1"/>
  <c r="K1795" i="1"/>
  <c r="P1795" i="1"/>
  <c r="Q1795" i="1"/>
  <c r="R1795" i="1"/>
  <c r="S1795" i="1"/>
  <c r="T1795" i="1"/>
  <c r="Z1795" i="1"/>
  <c r="AL1795" i="1"/>
  <c r="A1796" i="1"/>
  <c r="B1796" i="1"/>
  <c r="C1796" i="1"/>
  <c r="G1796" i="1"/>
  <c r="H1796" i="1"/>
  <c r="I1796" i="1"/>
  <c r="J1796" i="1"/>
  <c r="K1796" i="1"/>
  <c r="P1796" i="1"/>
  <c r="Q1796" i="1"/>
  <c r="R1796" i="1"/>
  <c r="S1796" i="1"/>
  <c r="T1796" i="1"/>
  <c r="Z1796" i="1"/>
  <c r="AL1796" i="1"/>
  <c r="A1797" i="1"/>
  <c r="B1797" i="1"/>
  <c r="C1797" i="1"/>
  <c r="G1797" i="1"/>
  <c r="H1797" i="1"/>
  <c r="I1797" i="1"/>
  <c r="J1797" i="1"/>
  <c r="K1797" i="1"/>
  <c r="P1797" i="1"/>
  <c r="Q1797" i="1"/>
  <c r="R1797" i="1"/>
  <c r="S1797" i="1"/>
  <c r="T1797" i="1"/>
  <c r="Z1797" i="1"/>
  <c r="AL1797" i="1"/>
  <c r="A1798" i="1"/>
  <c r="B1798" i="1"/>
  <c r="C1798" i="1"/>
  <c r="G1798" i="1"/>
  <c r="H1798" i="1"/>
  <c r="I1798" i="1"/>
  <c r="J1798" i="1"/>
  <c r="K1798" i="1"/>
  <c r="P1798" i="1"/>
  <c r="Q1798" i="1"/>
  <c r="R1798" i="1"/>
  <c r="S1798" i="1"/>
  <c r="T1798" i="1"/>
  <c r="Z1798" i="1"/>
  <c r="AL1798" i="1"/>
  <c r="A1799" i="1"/>
  <c r="B1799" i="1"/>
  <c r="C1799" i="1"/>
  <c r="G1799" i="1"/>
  <c r="H1799" i="1"/>
  <c r="I1799" i="1"/>
  <c r="J1799" i="1"/>
  <c r="K1799" i="1"/>
  <c r="P1799" i="1"/>
  <c r="Q1799" i="1"/>
  <c r="R1799" i="1"/>
  <c r="S1799" i="1"/>
  <c r="T1799" i="1"/>
  <c r="Z1799" i="1"/>
  <c r="AL1799" i="1"/>
  <c r="A1800" i="1"/>
  <c r="B1800" i="1"/>
  <c r="C1800" i="1"/>
  <c r="G1800" i="1"/>
  <c r="H1800" i="1"/>
  <c r="I1800" i="1"/>
  <c r="J1800" i="1"/>
  <c r="K1800" i="1"/>
  <c r="M1800" i="1"/>
  <c r="N1800" i="1"/>
  <c r="P1800" i="1"/>
  <c r="Q1800" i="1"/>
  <c r="R1800" i="1"/>
  <c r="S1800" i="1"/>
  <c r="T1800" i="1"/>
  <c r="Z1800" i="1"/>
  <c r="AL1800" i="1"/>
  <c r="A1801" i="1"/>
  <c r="B1801" i="1"/>
  <c r="C1801" i="1"/>
  <c r="G1801" i="1"/>
  <c r="H1801" i="1"/>
  <c r="I1801" i="1"/>
  <c r="J1801" i="1"/>
  <c r="K1801" i="1"/>
  <c r="M1801" i="1"/>
  <c r="N1801" i="1"/>
  <c r="P1801" i="1"/>
  <c r="Q1801" i="1"/>
  <c r="R1801" i="1"/>
  <c r="S1801" i="1"/>
  <c r="T1801" i="1"/>
  <c r="Z1801" i="1"/>
  <c r="AL1801" i="1"/>
  <c r="A1802" i="1"/>
  <c r="B1802" i="1"/>
  <c r="C1802" i="1"/>
  <c r="G1802" i="1"/>
  <c r="H1802" i="1"/>
  <c r="I1802" i="1"/>
  <c r="J1802" i="1"/>
  <c r="K1802" i="1"/>
  <c r="M1802" i="1"/>
  <c r="N1802" i="1"/>
  <c r="P1802" i="1"/>
  <c r="Q1802" i="1"/>
  <c r="R1802" i="1"/>
  <c r="S1802" i="1"/>
  <c r="T1802" i="1"/>
  <c r="Z1802" i="1"/>
  <c r="AL1802" i="1"/>
  <c r="A1803" i="1"/>
  <c r="B1803" i="1"/>
  <c r="C1803" i="1"/>
  <c r="G1803" i="1"/>
  <c r="H1803" i="1"/>
  <c r="I1803" i="1"/>
  <c r="J1803" i="1"/>
  <c r="K1803" i="1"/>
  <c r="M1803" i="1"/>
  <c r="N1803" i="1"/>
  <c r="P1803" i="1"/>
  <c r="Q1803" i="1"/>
  <c r="R1803" i="1"/>
  <c r="S1803" i="1"/>
  <c r="T1803" i="1"/>
  <c r="Z1803" i="1"/>
  <c r="AL1803" i="1"/>
  <c r="A1804" i="1"/>
  <c r="B1804" i="1"/>
  <c r="C1804" i="1"/>
  <c r="G1804" i="1"/>
  <c r="H1804" i="1"/>
  <c r="I1804" i="1"/>
  <c r="J1804" i="1"/>
  <c r="K1804" i="1"/>
  <c r="M1804" i="1"/>
  <c r="N1804" i="1"/>
  <c r="P1804" i="1"/>
  <c r="Q1804" i="1"/>
  <c r="R1804" i="1"/>
  <c r="S1804" i="1"/>
  <c r="T1804" i="1"/>
  <c r="Z1804" i="1"/>
  <c r="AL1804" i="1"/>
  <c r="A1805" i="1"/>
  <c r="B1805" i="1"/>
  <c r="C1805" i="1"/>
  <c r="G1805" i="1"/>
  <c r="H1805" i="1"/>
  <c r="I1805" i="1"/>
  <c r="J1805" i="1"/>
  <c r="K1805" i="1"/>
  <c r="M1805" i="1"/>
  <c r="N1805" i="1"/>
  <c r="P1805" i="1"/>
  <c r="Q1805" i="1"/>
  <c r="R1805" i="1"/>
  <c r="S1805" i="1"/>
  <c r="T1805" i="1"/>
  <c r="Z1805" i="1"/>
  <c r="AL1805" i="1"/>
  <c r="A1806" i="1"/>
  <c r="B1806" i="1"/>
  <c r="C1806" i="1"/>
  <c r="G1806" i="1"/>
  <c r="H1806" i="1"/>
  <c r="I1806" i="1"/>
  <c r="J1806" i="1"/>
  <c r="K1806" i="1"/>
  <c r="M1806" i="1"/>
  <c r="N1806" i="1"/>
  <c r="P1806" i="1"/>
  <c r="Q1806" i="1"/>
  <c r="R1806" i="1"/>
  <c r="S1806" i="1"/>
  <c r="T1806" i="1"/>
  <c r="Z1806" i="1"/>
  <c r="AL1806" i="1"/>
  <c r="A1807" i="1"/>
  <c r="B1807" i="1"/>
  <c r="C1807" i="1"/>
  <c r="G1807" i="1"/>
  <c r="H1807" i="1"/>
  <c r="I1807" i="1"/>
  <c r="J1807" i="1"/>
  <c r="K1807" i="1"/>
  <c r="M1807" i="1"/>
  <c r="N1807" i="1"/>
  <c r="P1807" i="1"/>
  <c r="Q1807" i="1"/>
  <c r="R1807" i="1"/>
  <c r="S1807" i="1"/>
  <c r="T1807" i="1"/>
  <c r="Z1807" i="1"/>
  <c r="AL1807" i="1"/>
  <c r="A1808" i="1"/>
  <c r="B1808" i="1"/>
  <c r="C1808" i="1"/>
  <c r="G1808" i="1"/>
  <c r="H1808" i="1"/>
  <c r="I1808" i="1"/>
  <c r="J1808" i="1"/>
  <c r="K1808" i="1"/>
  <c r="M1808" i="1"/>
  <c r="N1808" i="1"/>
  <c r="P1808" i="1"/>
  <c r="Q1808" i="1"/>
  <c r="R1808" i="1"/>
  <c r="S1808" i="1"/>
  <c r="T1808" i="1"/>
  <c r="Z1808" i="1"/>
  <c r="AL1808" i="1"/>
  <c r="A1809" i="1"/>
  <c r="B1809" i="1"/>
  <c r="C1809" i="1"/>
  <c r="G1809" i="1"/>
  <c r="H1809" i="1"/>
  <c r="I1809" i="1"/>
  <c r="J1809" i="1"/>
  <c r="K1809" i="1"/>
  <c r="M1809" i="1"/>
  <c r="N1809" i="1"/>
  <c r="P1809" i="1"/>
  <c r="Q1809" i="1"/>
  <c r="R1809" i="1"/>
  <c r="S1809" i="1"/>
  <c r="T1809" i="1"/>
  <c r="Z1809" i="1"/>
  <c r="AL1809" i="1"/>
  <c r="A1810" i="1"/>
  <c r="B1810" i="1"/>
  <c r="C1810" i="1"/>
  <c r="G1810" i="1"/>
  <c r="H1810" i="1"/>
  <c r="I1810" i="1"/>
  <c r="J1810" i="1"/>
  <c r="K1810" i="1"/>
  <c r="M1810" i="1"/>
  <c r="N1810" i="1"/>
  <c r="P1810" i="1"/>
  <c r="Q1810" i="1"/>
  <c r="R1810" i="1"/>
  <c r="S1810" i="1"/>
  <c r="T1810" i="1"/>
  <c r="Z1810" i="1"/>
  <c r="AL1810" i="1"/>
  <c r="A1811" i="1"/>
  <c r="B1811" i="1"/>
  <c r="C1811" i="1"/>
  <c r="G1811" i="1"/>
  <c r="H1811" i="1"/>
  <c r="I1811" i="1"/>
  <c r="J1811" i="1"/>
  <c r="K1811" i="1"/>
  <c r="M1811" i="1"/>
  <c r="N1811" i="1"/>
  <c r="P1811" i="1"/>
  <c r="Q1811" i="1"/>
  <c r="R1811" i="1"/>
  <c r="S1811" i="1"/>
  <c r="T1811" i="1"/>
  <c r="Z1811" i="1"/>
  <c r="AL1811" i="1"/>
  <c r="A1812" i="1"/>
  <c r="B1812" i="1"/>
  <c r="C1812" i="1"/>
  <c r="G1812" i="1"/>
  <c r="H1812" i="1"/>
  <c r="I1812" i="1"/>
  <c r="J1812" i="1"/>
  <c r="K1812" i="1"/>
  <c r="M1812" i="1"/>
  <c r="N1812" i="1"/>
  <c r="P1812" i="1"/>
  <c r="Q1812" i="1"/>
  <c r="R1812" i="1"/>
  <c r="S1812" i="1"/>
  <c r="T1812" i="1"/>
  <c r="Z1812" i="1"/>
  <c r="AL1812" i="1"/>
  <c r="A1813" i="1"/>
  <c r="B1813" i="1"/>
  <c r="C1813" i="1"/>
  <c r="G1813" i="1"/>
  <c r="H1813" i="1"/>
  <c r="I1813" i="1"/>
  <c r="J1813" i="1"/>
  <c r="K1813" i="1"/>
  <c r="M1813" i="1"/>
  <c r="N1813" i="1"/>
  <c r="P1813" i="1"/>
  <c r="Q1813" i="1"/>
  <c r="R1813" i="1"/>
  <c r="S1813" i="1"/>
  <c r="T1813" i="1"/>
  <c r="Z1813" i="1"/>
  <c r="AL1813" i="1"/>
  <c r="A1814" i="1"/>
  <c r="B1814" i="1"/>
  <c r="C1814" i="1"/>
  <c r="G1814" i="1"/>
  <c r="H1814" i="1"/>
  <c r="I1814" i="1"/>
  <c r="J1814" i="1"/>
  <c r="K1814" i="1"/>
  <c r="M1814" i="1"/>
  <c r="N1814" i="1"/>
  <c r="P1814" i="1"/>
  <c r="Q1814" i="1"/>
  <c r="R1814" i="1"/>
  <c r="S1814" i="1"/>
  <c r="T1814" i="1"/>
  <c r="Z1814" i="1"/>
  <c r="AL1814" i="1"/>
  <c r="A1815" i="1"/>
  <c r="B1815" i="1"/>
  <c r="C1815" i="1"/>
  <c r="G1815" i="1"/>
  <c r="H1815" i="1"/>
  <c r="I1815" i="1"/>
  <c r="J1815" i="1"/>
  <c r="K1815" i="1"/>
  <c r="M1815" i="1"/>
  <c r="N1815" i="1"/>
  <c r="P1815" i="1"/>
  <c r="Q1815" i="1"/>
  <c r="R1815" i="1"/>
  <c r="S1815" i="1"/>
  <c r="T1815" i="1"/>
  <c r="Z1815" i="1"/>
  <c r="AL1815" i="1"/>
  <c r="A1816" i="1"/>
  <c r="B1816" i="1"/>
  <c r="C1816" i="1"/>
  <c r="G1816" i="1"/>
  <c r="H1816" i="1"/>
  <c r="I1816" i="1"/>
  <c r="J1816" i="1"/>
  <c r="K1816" i="1"/>
  <c r="M1816" i="1"/>
  <c r="N1816" i="1"/>
  <c r="P1816" i="1"/>
  <c r="Q1816" i="1"/>
  <c r="R1816" i="1"/>
  <c r="S1816" i="1"/>
  <c r="T1816" i="1"/>
  <c r="Z1816" i="1"/>
  <c r="AL1816" i="1"/>
  <c r="A1817" i="1"/>
  <c r="B1817" i="1"/>
  <c r="C1817" i="1"/>
  <c r="G1817" i="1"/>
  <c r="H1817" i="1"/>
  <c r="I1817" i="1"/>
  <c r="J1817" i="1"/>
  <c r="K1817" i="1"/>
  <c r="M1817" i="1"/>
  <c r="N1817" i="1"/>
  <c r="P1817" i="1"/>
  <c r="Q1817" i="1"/>
  <c r="R1817" i="1"/>
  <c r="S1817" i="1"/>
  <c r="T1817" i="1"/>
  <c r="Z1817" i="1"/>
  <c r="AL1817" i="1"/>
  <c r="A1818" i="1"/>
  <c r="B1818" i="1"/>
  <c r="C1818" i="1"/>
  <c r="G1818" i="1"/>
  <c r="H1818" i="1"/>
  <c r="I1818" i="1"/>
  <c r="J1818" i="1"/>
  <c r="K1818" i="1"/>
  <c r="M1818" i="1"/>
  <c r="N1818" i="1"/>
  <c r="P1818" i="1"/>
  <c r="Q1818" i="1"/>
  <c r="R1818" i="1"/>
  <c r="S1818" i="1"/>
  <c r="T1818" i="1"/>
  <c r="Z1818" i="1"/>
  <c r="AL1818" i="1"/>
  <c r="A1819" i="1"/>
  <c r="B1819" i="1"/>
  <c r="C1819" i="1"/>
  <c r="G1819" i="1"/>
  <c r="H1819" i="1"/>
  <c r="I1819" i="1"/>
  <c r="J1819" i="1"/>
  <c r="K1819" i="1"/>
  <c r="M1819" i="1"/>
  <c r="N1819" i="1"/>
  <c r="P1819" i="1"/>
  <c r="Q1819" i="1"/>
  <c r="R1819" i="1"/>
  <c r="S1819" i="1"/>
  <c r="T1819" i="1"/>
  <c r="Z1819" i="1"/>
  <c r="AL1819" i="1"/>
  <c r="A1820" i="1"/>
  <c r="B1820" i="1"/>
  <c r="C1820" i="1"/>
  <c r="G1820" i="1"/>
  <c r="H1820" i="1"/>
  <c r="I1820" i="1"/>
  <c r="J1820" i="1"/>
  <c r="K1820" i="1"/>
  <c r="M1820" i="1"/>
  <c r="N1820" i="1"/>
  <c r="P1820" i="1"/>
  <c r="Q1820" i="1"/>
  <c r="R1820" i="1"/>
  <c r="S1820" i="1"/>
  <c r="T1820" i="1"/>
  <c r="Z1820" i="1"/>
  <c r="AL1820" i="1"/>
  <c r="A1821" i="1"/>
  <c r="B1821" i="1"/>
  <c r="C1821" i="1"/>
  <c r="G1821" i="1"/>
  <c r="H1821" i="1"/>
  <c r="I1821" i="1"/>
  <c r="J1821" i="1"/>
  <c r="K1821" i="1"/>
  <c r="M1821" i="1"/>
  <c r="N1821" i="1"/>
  <c r="P1821" i="1"/>
  <c r="Q1821" i="1"/>
  <c r="R1821" i="1"/>
  <c r="S1821" i="1"/>
  <c r="T1821" i="1"/>
  <c r="Z1821" i="1"/>
  <c r="AL1821" i="1"/>
  <c r="A1822" i="1"/>
  <c r="B1822" i="1"/>
  <c r="C1822" i="1"/>
  <c r="G1822" i="1"/>
  <c r="H1822" i="1"/>
  <c r="I1822" i="1"/>
  <c r="J1822" i="1"/>
  <c r="K1822" i="1"/>
  <c r="M1822" i="1"/>
  <c r="N1822" i="1"/>
  <c r="P1822" i="1"/>
  <c r="Q1822" i="1"/>
  <c r="R1822" i="1"/>
  <c r="S1822" i="1"/>
  <c r="T1822" i="1"/>
  <c r="Z1822" i="1"/>
  <c r="AL1822" i="1"/>
  <c r="A1823" i="1"/>
  <c r="B1823" i="1"/>
  <c r="C1823" i="1"/>
  <c r="G1823" i="1"/>
  <c r="H1823" i="1"/>
  <c r="I1823" i="1"/>
  <c r="J1823" i="1"/>
  <c r="K1823" i="1"/>
  <c r="M1823" i="1"/>
  <c r="N1823" i="1"/>
  <c r="P1823" i="1"/>
  <c r="Q1823" i="1"/>
  <c r="R1823" i="1"/>
  <c r="S1823" i="1"/>
  <c r="T1823" i="1"/>
  <c r="Z1823" i="1"/>
  <c r="AL1823" i="1"/>
  <c r="A1824" i="1"/>
  <c r="B1824" i="1"/>
  <c r="C1824" i="1"/>
  <c r="G1824" i="1"/>
  <c r="H1824" i="1"/>
  <c r="I1824" i="1"/>
  <c r="J1824" i="1"/>
  <c r="K1824" i="1"/>
  <c r="M1824" i="1"/>
  <c r="N1824" i="1"/>
  <c r="P1824" i="1"/>
  <c r="Q1824" i="1"/>
  <c r="R1824" i="1"/>
  <c r="S1824" i="1"/>
  <c r="T1824" i="1"/>
  <c r="Z1824" i="1"/>
  <c r="AL1824" i="1"/>
  <c r="A1825" i="1"/>
  <c r="B1825" i="1"/>
  <c r="C1825" i="1"/>
  <c r="G1825" i="1"/>
  <c r="H1825" i="1"/>
  <c r="I1825" i="1"/>
  <c r="J1825" i="1"/>
  <c r="K1825" i="1"/>
  <c r="M1825" i="1"/>
  <c r="N1825" i="1"/>
  <c r="P1825" i="1"/>
  <c r="Q1825" i="1"/>
  <c r="R1825" i="1"/>
  <c r="S1825" i="1"/>
  <c r="T1825" i="1"/>
  <c r="Z1825" i="1"/>
  <c r="AL1825" i="1"/>
  <c r="A1826" i="1"/>
  <c r="B1826" i="1"/>
  <c r="C1826" i="1"/>
  <c r="G1826" i="1"/>
  <c r="H1826" i="1"/>
  <c r="I1826" i="1"/>
  <c r="J1826" i="1"/>
  <c r="K1826" i="1"/>
  <c r="M1826" i="1"/>
  <c r="N1826" i="1"/>
  <c r="P1826" i="1"/>
  <c r="Q1826" i="1"/>
  <c r="R1826" i="1"/>
  <c r="S1826" i="1"/>
  <c r="T1826" i="1"/>
  <c r="Z1826" i="1"/>
  <c r="AL1826" i="1"/>
  <c r="A1827" i="1"/>
  <c r="B1827" i="1"/>
  <c r="C1827" i="1"/>
  <c r="G1827" i="1"/>
  <c r="H1827" i="1"/>
  <c r="I1827" i="1"/>
  <c r="J1827" i="1"/>
  <c r="K1827" i="1"/>
  <c r="M1827" i="1"/>
  <c r="N1827" i="1"/>
  <c r="P1827" i="1"/>
  <c r="Q1827" i="1"/>
  <c r="R1827" i="1"/>
  <c r="S1827" i="1"/>
  <c r="T1827" i="1"/>
  <c r="Z1827" i="1"/>
  <c r="AL1827" i="1"/>
  <c r="A1828" i="1"/>
  <c r="B1828" i="1"/>
  <c r="C1828" i="1"/>
  <c r="G1828" i="1"/>
  <c r="H1828" i="1"/>
  <c r="I1828" i="1"/>
  <c r="J1828" i="1"/>
  <c r="K1828" i="1"/>
  <c r="M1828" i="1"/>
  <c r="N1828" i="1"/>
  <c r="P1828" i="1"/>
  <c r="Q1828" i="1"/>
  <c r="R1828" i="1"/>
  <c r="S1828" i="1"/>
  <c r="T1828" i="1"/>
  <c r="Z1828" i="1"/>
  <c r="AL1828" i="1"/>
  <c r="A1829" i="1"/>
  <c r="B1829" i="1"/>
  <c r="C1829" i="1"/>
  <c r="G1829" i="1"/>
  <c r="H1829" i="1"/>
  <c r="I1829" i="1"/>
  <c r="J1829" i="1"/>
  <c r="K1829" i="1"/>
  <c r="M1829" i="1"/>
  <c r="N1829" i="1"/>
  <c r="P1829" i="1"/>
  <c r="Q1829" i="1"/>
  <c r="R1829" i="1"/>
  <c r="S1829" i="1"/>
  <c r="T1829" i="1"/>
  <c r="Z1829" i="1"/>
  <c r="AL1829" i="1"/>
  <c r="A1830" i="1"/>
  <c r="B1830" i="1"/>
  <c r="C1830" i="1"/>
  <c r="G1830" i="1"/>
  <c r="H1830" i="1"/>
  <c r="I1830" i="1"/>
  <c r="J1830" i="1"/>
  <c r="K1830" i="1"/>
  <c r="M1830" i="1"/>
  <c r="N1830" i="1"/>
  <c r="P1830" i="1"/>
  <c r="Q1830" i="1"/>
  <c r="R1830" i="1"/>
  <c r="S1830" i="1"/>
  <c r="T1830" i="1"/>
  <c r="Z1830" i="1"/>
  <c r="AL1830" i="1"/>
  <c r="A1831" i="1"/>
  <c r="B1831" i="1"/>
  <c r="C1831" i="1"/>
  <c r="G1831" i="1"/>
  <c r="H1831" i="1"/>
  <c r="J1831" i="1"/>
  <c r="K1831" i="1"/>
  <c r="M1831" i="1"/>
  <c r="N1831" i="1"/>
  <c r="P1831" i="1"/>
  <c r="Q1831" i="1"/>
  <c r="R1831" i="1"/>
  <c r="T1831" i="1"/>
  <c r="Z1831" i="1"/>
  <c r="AL1831" i="1"/>
  <c r="A1832" i="1"/>
  <c r="B1832" i="1"/>
  <c r="C1832" i="1"/>
  <c r="G1832" i="1"/>
  <c r="H1832" i="1"/>
  <c r="I1832" i="1"/>
  <c r="J1832" i="1"/>
  <c r="K1832" i="1"/>
  <c r="M1832" i="1"/>
  <c r="N1832" i="1"/>
  <c r="P1832" i="1"/>
  <c r="Q1832" i="1"/>
  <c r="R1832" i="1"/>
  <c r="S1832" i="1"/>
  <c r="T1832" i="1"/>
  <c r="Z1832" i="1"/>
  <c r="AL1832" i="1"/>
  <c r="A1833" i="1"/>
  <c r="B1833" i="1"/>
  <c r="C1833" i="1"/>
  <c r="G1833" i="1"/>
  <c r="H1833" i="1"/>
  <c r="I1833" i="1"/>
  <c r="J1833" i="1"/>
  <c r="K1833" i="1"/>
  <c r="M1833" i="1"/>
  <c r="N1833" i="1"/>
  <c r="P1833" i="1"/>
  <c r="Q1833" i="1"/>
  <c r="R1833" i="1"/>
  <c r="S1833" i="1"/>
  <c r="T1833" i="1"/>
  <c r="Z1833" i="1"/>
  <c r="AL1833" i="1"/>
  <c r="A1834" i="1"/>
  <c r="B1834" i="1"/>
  <c r="C1834" i="1"/>
  <c r="G1834" i="1"/>
  <c r="H1834" i="1"/>
  <c r="I1834" i="1"/>
  <c r="J1834" i="1"/>
  <c r="K1834" i="1"/>
  <c r="M1834" i="1"/>
  <c r="N1834" i="1"/>
  <c r="P1834" i="1"/>
  <c r="Q1834" i="1"/>
  <c r="R1834" i="1"/>
  <c r="S1834" i="1"/>
  <c r="T1834" i="1"/>
  <c r="Z1834" i="1"/>
  <c r="AL1834" i="1"/>
  <c r="A1835" i="1"/>
  <c r="B1835" i="1"/>
  <c r="C1835" i="1"/>
  <c r="G1835" i="1"/>
  <c r="H1835" i="1"/>
  <c r="I1835" i="1"/>
  <c r="J1835" i="1"/>
  <c r="K1835" i="1"/>
  <c r="M1835" i="1"/>
  <c r="N1835" i="1"/>
  <c r="P1835" i="1"/>
  <c r="Q1835" i="1"/>
  <c r="R1835" i="1"/>
  <c r="S1835" i="1"/>
  <c r="T1835" i="1"/>
  <c r="Z1835" i="1"/>
  <c r="AL1835" i="1"/>
  <c r="A1836" i="1"/>
  <c r="B1836" i="1"/>
  <c r="C1836" i="1"/>
  <c r="G1836" i="1"/>
  <c r="H1836" i="1"/>
  <c r="I1836" i="1"/>
  <c r="J1836" i="1"/>
  <c r="K1836" i="1"/>
  <c r="M1836" i="1"/>
  <c r="N1836" i="1"/>
  <c r="P1836" i="1"/>
  <c r="Q1836" i="1"/>
  <c r="R1836" i="1"/>
  <c r="S1836" i="1"/>
  <c r="T1836" i="1"/>
  <c r="Z1836" i="1"/>
  <c r="AL1836" i="1"/>
  <c r="A1837" i="1"/>
  <c r="B1837" i="1"/>
  <c r="C1837" i="1"/>
  <c r="G1837" i="1"/>
  <c r="H1837" i="1"/>
  <c r="I1837" i="1"/>
  <c r="J1837" i="1"/>
  <c r="K1837" i="1"/>
  <c r="M1837" i="1"/>
  <c r="N1837" i="1"/>
  <c r="P1837" i="1"/>
  <c r="Q1837" i="1"/>
  <c r="R1837" i="1"/>
  <c r="S1837" i="1"/>
  <c r="T1837" i="1"/>
  <c r="Z1837" i="1"/>
  <c r="AL1837" i="1"/>
  <c r="A1838" i="1"/>
  <c r="B1838" i="1"/>
  <c r="C1838" i="1"/>
  <c r="G1838" i="1"/>
  <c r="H1838" i="1"/>
  <c r="I1838" i="1"/>
  <c r="J1838" i="1"/>
  <c r="K1838" i="1"/>
  <c r="M1838" i="1"/>
  <c r="N1838" i="1"/>
  <c r="P1838" i="1"/>
  <c r="Q1838" i="1"/>
  <c r="R1838" i="1"/>
  <c r="S1838" i="1"/>
  <c r="T1838" i="1"/>
  <c r="Z1838" i="1"/>
  <c r="AL1838" i="1"/>
  <c r="A1839" i="1"/>
  <c r="B1839" i="1"/>
  <c r="C1839" i="1"/>
  <c r="G1839" i="1"/>
  <c r="H1839" i="1"/>
  <c r="I1839" i="1"/>
  <c r="J1839" i="1"/>
  <c r="K1839" i="1"/>
  <c r="M1839" i="1"/>
  <c r="N1839" i="1"/>
  <c r="P1839" i="1"/>
  <c r="Q1839" i="1"/>
  <c r="R1839" i="1"/>
  <c r="S1839" i="1"/>
  <c r="T1839" i="1"/>
  <c r="Z1839" i="1"/>
  <c r="AL1839" i="1"/>
  <c r="A1840" i="1"/>
  <c r="B1840" i="1"/>
  <c r="C1840" i="1"/>
  <c r="G1840" i="1"/>
  <c r="H1840" i="1"/>
  <c r="I1840" i="1"/>
  <c r="J1840" i="1"/>
  <c r="K1840" i="1"/>
  <c r="M1840" i="1"/>
  <c r="N1840" i="1"/>
  <c r="P1840" i="1"/>
  <c r="Q1840" i="1"/>
  <c r="R1840" i="1"/>
  <c r="S1840" i="1"/>
  <c r="T1840" i="1"/>
  <c r="Z1840" i="1"/>
  <c r="AL1840" i="1"/>
  <c r="A1841" i="1"/>
  <c r="B1841" i="1"/>
  <c r="C1841" i="1"/>
  <c r="G1841" i="1"/>
  <c r="H1841" i="1"/>
  <c r="I1841" i="1"/>
  <c r="J1841" i="1"/>
  <c r="K1841" i="1"/>
  <c r="M1841" i="1"/>
  <c r="N1841" i="1"/>
  <c r="P1841" i="1"/>
  <c r="Q1841" i="1"/>
  <c r="R1841" i="1"/>
  <c r="S1841" i="1"/>
  <c r="T1841" i="1"/>
  <c r="Z1841" i="1"/>
  <c r="AL1841" i="1"/>
  <c r="A1842" i="1"/>
  <c r="B1842" i="1"/>
  <c r="C1842" i="1"/>
  <c r="G1842" i="1"/>
  <c r="H1842" i="1"/>
  <c r="I1842" i="1"/>
  <c r="J1842" i="1"/>
  <c r="K1842" i="1"/>
  <c r="M1842" i="1"/>
  <c r="N1842" i="1"/>
  <c r="P1842" i="1"/>
  <c r="Q1842" i="1"/>
  <c r="R1842" i="1"/>
  <c r="S1842" i="1"/>
  <c r="T1842" i="1"/>
  <c r="Z1842" i="1"/>
  <c r="AL1842" i="1"/>
  <c r="A1843" i="1"/>
  <c r="B1843" i="1"/>
  <c r="C1843" i="1"/>
  <c r="G1843" i="1"/>
  <c r="H1843" i="1"/>
  <c r="I1843" i="1"/>
  <c r="J1843" i="1"/>
  <c r="K1843" i="1"/>
  <c r="M1843" i="1"/>
  <c r="N1843" i="1"/>
  <c r="P1843" i="1"/>
  <c r="Q1843" i="1"/>
  <c r="R1843" i="1"/>
  <c r="S1843" i="1"/>
  <c r="T1843" i="1"/>
  <c r="Z1843" i="1"/>
  <c r="AL1843" i="1"/>
  <c r="A1844" i="1"/>
  <c r="B1844" i="1"/>
  <c r="C1844" i="1"/>
  <c r="G1844" i="1"/>
  <c r="H1844" i="1"/>
  <c r="I1844" i="1"/>
  <c r="J1844" i="1"/>
  <c r="K1844" i="1"/>
  <c r="P1844" i="1"/>
  <c r="Q1844" i="1"/>
  <c r="R1844" i="1"/>
  <c r="S1844" i="1"/>
  <c r="T1844" i="1"/>
  <c r="Z1844" i="1"/>
  <c r="AL1844" i="1"/>
  <c r="A1845" i="1"/>
  <c r="B1845" i="1"/>
  <c r="C1845" i="1"/>
  <c r="G1845" i="1"/>
  <c r="H1845" i="1"/>
  <c r="I1845" i="1"/>
  <c r="J1845" i="1"/>
  <c r="K1845" i="1"/>
  <c r="M1845" i="1"/>
  <c r="N1845" i="1"/>
  <c r="P1845" i="1"/>
  <c r="Q1845" i="1"/>
  <c r="R1845" i="1"/>
  <c r="S1845" i="1"/>
  <c r="T1845" i="1"/>
  <c r="Z1845" i="1"/>
  <c r="AL1845" i="1"/>
  <c r="A1846" i="1"/>
  <c r="B1846" i="1"/>
  <c r="C1846" i="1"/>
  <c r="G1846" i="1"/>
  <c r="H1846" i="1"/>
  <c r="I1846" i="1"/>
  <c r="J1846" i="1"/>
  <c r="K1846" i="1"/>
  <c r="M1846" i="1"/>
  <c r="N1846" i="1"/>
  <c r="P1846" i="1"/>
  <c r="Q1846" i="1"/>
  <c r="R1846" i="1"/>
  <c r="S1846" i="1"/>
  <c r="T1846" i="1"/>
  <c r="Z1846" i="1"/>
  <c r="AL1846" i="1"/>
  <c r="A1847" i="1"/>
  <c r="C1847" i="1"/>
  <c r="G1847" i="1"/>
  <c r="H1847" i="1"/>
  <c r="I1847" i="1"/>
  <c r="J1847" i="1"/>
  <c r="K1847" i="1"/>
  <c r="M1847" i="1"/>
  <c r="N1847" i="1"/>
  <c r="P1847" i="1"/>
  <c r="Q1847" i="1"/>
  <c r="R1847" i="1"/>
  <c r="S1847" i="1"/>
  <c r="T1847" i="1"/>
  <c r="Z1847" i="1"/>
  <c r="AL1847" i="1"/>
  <c r="A1848" i="1"/>
  <c r="B1848" i="1"/>
  <c r="C1848" i="1"/>
  <c r="G1848" i="1"/>
  <c r="H1848" i="1"/>
  <c r="I1848" i="1"/>
  <c r="J1848" i="1"/>
  <c r="K1848" i="1"/>
  <c r="P1848" i="1"/>
  <c r="Q1848" i="1"/>
  <c r="R1848" i="1"/>
  <c r="S1848" i="1"/>
  <c r="T1848" i="1"/>
  <c r="Z1848" i="1"/>
  <c r="AL1848" i="1"/>
  <c r="A1849" i="1"/>
  <c r="B1849" i="1"/>
  <c r="C1849" i="1"/>
  <c r="G1849" i="1"/>
  <c r="H1849" i="1"/>
  <c r="I1849" i="1"/>
  <c r="J1849" i="1"/>
  <c r="K1849" i="1"/>
  <c r="M1849" i="1"/>
  <c r="N1849" i="1"/>
  <c r="P1849" i="1"/>
  <c r="Q1849" i="1"/>
  <c r="R1849" i="1"/>
  <c r="S1849" i="1"/>
  <c r="T1849" i="1"/>
  <c r="AL1849" i="1"/>
  <c r="A1850" i="1"/>
  <c r="B1850" i="1"/>
  <c r="C1850" i="1"/>
  <c r="G1850" i="1"/>
  <c r="H1850" i="1"/>
  <c r="I1850" i="1"/>
  <c r="J1850" i="1"/>
  <c r="K1850" i="1"/>
  <c r="M1850" i="1"/>
  <c r="N1850" i="1"/>
  <c r="P1850" i="1"/>
  <c r="Q1850" i="1"/>
  <c r="R1850" i="1"/>
  <c r="S1850" i="1"/>
  <c r="T1850" i="1"/>
  <c r="Z1850" i="1"/>
  <c r="AL1850" i="1"/>
  <c r="A1851" i="1"/>
  <c r="B1851" i="1"/>
  <c r="C1851" i="1"/>
  <c r="G1851" i="1"/>
  <c r="H1851" i="1"/>
  <c r="I1851" i="1"/>
  <c r="J1851" i="1"/>
  <c r="K1851" i="1"/>
  <c r="M1851" i="1"/>
  <c r="N1851" i="1"/>
  <c r="P1851" i="1"/>
  <c r="Q1851" i="1"/>
  <c r="R1851" i="1"/>
  <c r="S1851" i="1"/>
  <c r="T1851" i="1"/>
  <c r="Z1851" i="1"/>
  <c r="AL1851" i="1"/>
  <c r="A1852" i="1"/>
  <c r="B1852" i="1"/>
  <c r="C1852" i="1"/>
  <c r="G1852" i="1"/>
  <c r="H1852" i="1"/>
  <c r="I1852" i="1"/>
  <c r="J1852" i="1"/>
  <c r="K1852" i="1"/>
  <c r="M1852" i="1"/>
  <c r="N1852" i="1"/>
  <c r="P1852" i="1"/>
  <c r="Q1852" i="1"/>
  <c r="R1852" i="1"/>
  <c r="S1852" i="1"/>
  <c r="T1852" i="1"/>
  <c r="Z1852" i="1"/>
  <c r="AL1852" i="1"/>
  <c r="A1853" i="1"/>
  <c r="B1853" i="1"/>
  <c r="C1853" i="1"/>
  <c r="G1853" i="1"/>
  <c r="H1853" i="1"/>
  <c r="I1853" i="1"/>
  <c r="J1853" i="1"/>
  <c r="K1853" i="1"/>
  <c r="M1853" i="1"/>
  <c r="N1853" i="1"/>
  <c r="P1853" i="1"/>
  <c r="Q1853" i="1"/>
  <c r="R1853" i="1"/>
  <c r="S1853" i="1"/>
  <c r="T1853" i="1"/>
  <c r="Z1853" i="1"/>
  <c r="AL1853" i="1"/>
  <c r="A1854" i="1"/>
  <c r="B1854" i="1"/>
  <c r="C1854" i="1"/>
  <c r="G1854" i="1"/>
  <c r="H1854" i="1"/>
  <c r="I1854" i="1"/>
  <c r="J1854" i="1"/>
  <c r="K1854" i="1"/>
  <c r="M1854" i="1"/>
  <c r="N1854" i="1"/>
  <c r="P1854" i="1"/>
  <c r="Q1854" i="1"/>
  <c r="R1854" i="1"/>
  <c r="S1854" i="1"/>
  <c r="T1854" i="1"/>
  <c r="Z1854" i="1"/>
  <c r="AL1854" i="1"/>
  <c r="A1855" i="1"/>
  <c r="B1855" i="1"/>
  <c r="C1855" i="1"/>
  <c r="G1855" i="1"/>
  <c r="H1855" i="1"/>
  <c r="I1855" i="1"/>
  <c r="J1855" i="1"/>
  <c r="K1855" i="1"/>
  <c r="M1855" i="1"/>
  <c r="N1855" i="1"/>
  <c r="P1855" i="1"/>
  <c r="Q1855" i="1"/>
  <c r="R1855" i="1"/>
  <c r="S1855" i="1"/>
  <c r="T1855" i="1"/>
  <c r="Z1855" i="1"/>
  <c r="AL1855" i="1"/>
  <c r="A1856" i="1"/>
  <c r="B1856" i="1"/>
  <c r="C1856" i="1"/>
  <c r="G1856" i="1"/>
  <c r="H1856" i="1"/>
  <c r="I1856" i="1"/>
  <c r="J1856" i="1"/>
  <c r="K1856" i="1"/>
  <c r="M1856" i="1"/>
  <c r="N1856" i="1"/>
  <c r="P1856" i="1"/>
  <c r="Q1856" i="1"/>
  <c r="R1856" i="1"/>
  <c r="S1856" i="1"/>
  <c r="T1856" i="1"/>
  <c r="Z1856" i="1"/>
  <c r="AL1856" i="1"/>
  <c r="A1857" i="1"/>
  <c r="B1857" i="1"/>
  <c r="C1857" i="1"/>
  <c r="G1857" i="1"/>
  <c r="H1857" i="1"/>
  <c r="I1857" i="1"/>
  <c r="J1857" i="1"/>
  <c r="K1857" i="1"/>
  <c r="M1857" i="1"/>
  <c r="N1857" i="1"/>
  <c r="P1857" i="1"/>
  <c r="Q1857" i="1"/>
  <c r="R1857" i="1"/>
  <c r="S1857" i="1"/>
  <c r="T1857" i="1"/>
  <c r="Z1857" i="1"/>
  <c r="AL1857" i="1"/>
  <c r="A1858" i="1"/>
  <c r="B1858" i="1"/>
  <c r="C1858" i="1"/>
  <c r="G1858" i="1"/>
  <c r="H1858" i="1"/>
  <c r="I1858" i="1"/>
  <c r="J1858" i="1"/>
  <c r="K1858" i="1"/>
  <c r="M1858" i="1"/>
  <c r="N1858" i="1"/>
  <c r="P1858" i="1"/>
  <c r="Q1858" i="1"/>
  <c r="R1858" i="1"/>
  <c r="S1858" i="1"/>
  <c r="T1858" i="1"/>
  <c r="Z1858" i="1"/>
  <c r="AL1858" i="1"/>
  <c r="A1859" i="1"/>
  <c r="B1859" i="1"/>
  <c r="C1859" i="1"/>
  <c r="G1859" i="1"/>
  <c r="H1859" i="1"/>
  <c r="I1859" i="1"/>
  <c r="J1859" i="1"/>
  <c r="K1859" i="1"/>
  <c r="M1859" i="1"/>
  <c r="N1859" i="1"/>
  <c r="P1859" i="1"/>
  <c r="Q1859" i="1"/>
  <c r="R1859" i="1"/>
  <c r="S1859" i="1"/>
  <c r="T1859" i="1"/>
  <c r="Z1859" i="1"/>
  <c r="AL1859" i="1"/>
  <c r="A1860" i="1"/>
  <c r="B1860" i="1"/>
  <c r="C1860" i="1"/>
  <c r="G1860" i="1"/>
  <c r="H1860" i="1"/>
  <c r="I1860" i="1"/>
  <c r="J1860" i="1"/>
  <c r="K1860" i="1"/>
  <c r="M1860" i="1"/>
  <c r="N1860" i="1"/>
  <c r="P1860" i="1"/>
  <c r="Q1860" i="1"/>
  <c r="R1860" i="1"/>
  <c r="S1860" i="1"/>
  <c r="T1860" i="1"/>
  <c r="Z1860" i="1"/>
  <c r="AL1860" i="1"/>
  <c r="A1861" i="1"/>
  <c r="B1861" i="1"/>
  <c r="C1861" i="1"/>
  <c r="G1861" i="1"/>
  <c r="H1861" i="1"/>
  <c r="I1861" i="1"/>
  <c r="J1861" i="1"/>
  <c r="K1861" i="1"/>
  <c r="M1861" i="1"/>
  <c r="N1861" i="1"/>
  <c r="P1861" i="1"/>
  <c r="Q1861" i="1"/>
  <c r="R1861" i="1"/>
  <c r="S1861" i="1"/>
  <c r="T1861" i="1"/>
  <c r="Z1861" i="1"/>
  <c r="AL1861" i="1"/>
  <c r="A1862" i="1"/>
  <c r="B1862" i="1"/>
  <c r="C1862" i="1"/>
  <c r="G1862" i="1"/>
  <c r="H1862" i="1"/>
  <c r="I1862" i="1"/>
  <c r="J1862" i="1"/>
  <c r="K1862" i="1"/>
  <c r="M1862" i="1"/>
  <c r="N1862" i="1"/>
  <c r="P1862" i="1"/>
  <c r="Q1862" i="1"/>
  <c r="R1862" i="1"/>
  <c r="S1862" i="1"/>
  <c r="T1862" i="1"/>
  <c r="Z1862" i="1"/>
  <c r="AL1862" i="1"/>
  <c r="A1863" i="1"/>
  <c r="B1863" i="1"/>
  <c r="C1863" i="1"/>
  <c r="G1863" i="1"/>
  <c r="H1863" i="1"/>
  <c r="I1863" i="1"/>
  <c r="J1863" i="1"/>
  <c r="K1863" i="1"/>
  <c r="M1863" i="1"/>
  <c r="N1863" i="1"/>
  <c r="P1863" i="1"/>
  <c r="Q1863" i="1"/>
  <c r="R1863" i="1"/>
  <c r="S1863" i="1"/>
  <c r="T1863" i="1"/>
  <c r="Z1863" i="1"/>
  <c r="AL1863" i="1"/>
  <c r="A1864" i="1"/>
  <c r="B1864" i="1"/>
  <c r="C1864" i="1"/>
  <c r="G1864" i="1"/>
  <c r="H1864" i="1"/>
  <c r="I1864" i="1"/>
  <c r="J1864" i="1"/>
  <c r="K1864" i="1"/>
  <c r="M1864" i="1"/>
  <c r="N1864" i="1"/>
  <c r="P1864" i="1"/>
  <c r="Q1864" i="1"/>
  <c r="R1864" i="1"/>
  <c r="S1864" i="1"/>
  <c r="T1864" i="1"/>
  <c r="Z1864" i="1"/>
  <c r="AL1864" i="1"/>
  <c r="A1865" i="1"/>
  <c r="B1865" i="1"/>
  <c r="C1865" i="1"/>
  <c r="G1865" i="1"/>
  <c r="H1865" i="1"/>
  <c r="I1865" i="1"/>
  <c r="J1865" i="1"/>
  <c r="K1865" i="1"/>
  <c r="M1865" i="1"/>
  <c r="N1865" i="1"/>
  <c r="P1865" i="1"/>
  <c r="Q1865" i="1"/>
  <c r="R1865" i="1"/>
  <c r="S1865" i="1"/>
  <c r="T1865" i="1"/>
  <c r="Z1865" i="1"/>
  <c r="AL1865" i="1"/>
  <c r="A1866" i="1"/>
  <c r="B1866" i="1"/>
  <c r="C1866" i="1"/>
  <c r="G1866" i="1"/>
  <c r="H1866" i="1"/>
  <c r="I1866" i="1"/>
  <c r="J1866" i="1"/>
  <c r="K1866" i="1"/>
  <c r="M1866" i="1"/>
  <c r="N1866" i="1"/>
  <c r="P1866" i="1"/>
  <c r="Q1866" i="1"/>
  <c r="R1866" i="1"/>
  <c r="S1866" i="1"/>
  <c r="T1866" i="1"/>
  <c r="Z1866" i="1"/>
  <c r="AL1866" i="1"/>
  <c r="A1867" i="1"/>
  <c r="B1867" i="1"/>
  <c r="C1867" i="1"/>
  <c r="G1867" i="1"/>
  <c r="H1867" i="1"/>
  <c r="I1867" i="1"/>
  <c r="J1867" i="1"/>
  <c r="K1867" i="1"/>
  <c r="M1867" i="1"/>
  <c r="N1867" i="1"/>
  <c r="P1867" i="1"/>
  <c r="Q1867" i="1"/>
  <c r="R1867" i="1"/>
  <c r="S1867" i="1"/>
  <c r="T1867" i="1"/>
  <c r="Z1867" i="1"/>
  <c r="AL1867" i="1"/>
  <c r="A1868" i="1"/>
  <c r="B1868" i="1"/>
  <c r="C1868" i="1"/>
  <c r="G1868" i="1"/>
  <c r="H1868" i="1"/>
  <c r="I1868" i="1"/>
  <c r="J1868" i="1"/>
  <c r="K1868" i="1"/>
  <c r="M1868" i="1"/>
  <c r="N1868" i="1"/>
  <c r="P1868" i="1"/>
  <c r="Q1868" i="1"/>
  <c r="R1868" i="1"/>
  <c r="S1868" i="1"/>
  <c r="T1868" i="1"/>
  <c r="Z1868" i="1"/>
  <c r="AL1868" i="1"/>
  <c r="A1869" i="1"/>
  <c r="B1869" i="1"/>
  <c r="C1869" i="1"/>
  <c r="G1869" i="1"/>
  <c r="H1869" i="1"/>
  <c r="I1869" i="1"/>
  <c r="J1869" i="1"/>
  <c r="K1869" i="1"/>
  <c r="M1869" i="1"/>
  <c r="N1869" i="1"/>
  <c r="P1869" i="1"/>
  <c r="Q1869" i="1"/>
  <c r="R1869" i="1"/>
  <c r="S1869" i="1"/>
  <c r="T1869" i="1"/>
  <c r="Z1869" i="1"/>
  <c r="AL1869" i="1"/>
  <c r="A1870" i="1"/>
  <c r="B1870" i="1"/>
  <c r="C1870" i="1"/>
  <c r="G1870" i="1"/>
  <c r="H1870" i="1"/>
  <c r="I1870" i="1"/>
  <c r="J1870" i="1"/>
  <c r="K1870" i="1"/>
  <c r="M1870" i="1"/>
  <c r="N1870" i="1"/>
  <c r="P1870" i="1"/>
  <c r="Q1870" i="1"/>
  <c r="R1870" i="1"/>
  <c r="S1870" i="1"/>
  <c r="T1870" i="1"/>
  <c r="Z1870" i="1"/>
  <c r="AL1870" i="1"/>
  <c r="A1871" i="1"/>
  <c r="B1871" i="1"/>
  <c r="C1871" i="1"/>
  <c r="G1871" i="1"/>
  <c r="H1871" i="1"/>
  <c r="I1871" i="1"/>
  <c r="J1871" i="1"/>
  <c r="K1871" i="1"/>
  <c r="M1871" i="1"/>
  <c r="N1871" i="1"/>
  <c r="P1871" i="1"/>
  <c r="Q1871" i="1"/>
  <c r="R1871" i="1"/>
  <c r="S1871" i="1"/>
  <c r="T1871" i="1"/>
  <c r="Z1871" i="1"/>
  <c r="AL1871" i="1"/>
  <c r="A1872" i="1"/>
  <c r="B1872" i="1"/>
  <c r="C1872" i="1"/>
  <c r="G1872" i="1"/>
  <c r="H1872" i="1"/>
  <c r="I1872" i="1"/>
  <c r="J1872" i="1"/>
  <c r="K1872" i="1"/>
  <c r="M1872" i="1"/>
  <c r="N1872" i="1"/>
  <c r="P1872" i="1"/>
  <c r="Q1872" i="1"/>
  <c r="R1872" i="1"/>
  <c r="S1872" i="1"/>
  <c r="T1872" i="1"/>
  <c r="Z1872" i="1"/>
  <c r="AL1872" i="1"/>
  <c r="A1873" i="1"/>
  <c r="B1873" i="1"/>
  <c r="C1873" i="1"/>
  <c r="G1873" i="1"/>
  <c r="H1873" i="1"/>
  <c r="I1873" i="1"/>
  <c r="J1873" i="1"/>
  <c r="K1873" i="1"/>
  <c r="M1873" i="1"/>
  <c r="N1873" i="1"/>
  <c r="P1873" i="1"/>
  <c r="Q1873" i="1"/>
  <c r="R1873" i="1"/>
  <c r="S1873" i="1"/>
  <c r="T1873" i="1"/>
  <c r="Z1873" i="1"/>
  <c r="AL1873" i="1"/>
  <c r="A1874" i="1"/>
  <c r="B1874" i="1"/>
  <c r="C1874" i="1"/>
  <c r="G1874" i="1"/>
  <c r="H1874" i="1"/>
  <c r="I1874" i="1"/>
  <c r="J1874" i="1"/>
  <c r="K1874" i="1"/>
  <c r="M1874" i="1"/>
  <c r="N1874" i="1"/>
  <c r="P1874" i="1"/>
  <c r="Q1874" i="1"/>
  <c r="R1874" i="1"/>
  <c r="S1874" i="1"/>
  <c r="T1874" i="1"/>
  <c r="Z1874" i="1"/>
  <c r="AL1874" i="1"/>
  <c r="A1875" i="1"/>
  <c r="B1875" i="1"/>
  <c r="C1875" i="1"/>
  <c r="G1875" i="1"/>
  <c r="H1875" i="1"/>
  <c r="I1875" i="1"/>
  <c r="J1875" i="1"/>
  <c r="K1875" i="1"/>
  <c r="M1875" i="1"/>
  <c r="N1875" i="1"/>
  <c r="P1875" i="1"/>
  <c r="Q1875" i="1"/>
  <c r="R1875" i="1"/>
  <c r="S1875" i="1"/>
  <c r="T1875" i="1"/>
  <c r="Z1875" i="1"/>
  <c r="AL1875" i="1"/>
  <c r="A1876" i="1"/>
  <c r="B1876" i="1"/>
  <c r="C1876" i="1"/>
  <c r="G1876" i="1"/>
  <c r="H1876" i="1"/>
  <c r="I1876" i="1"/>
  <c r="J1876" i="1"/>
  <c r="K1876" i="1"/>
  <c r="M1876" i="1"/>
  <c r="N1876" i="1"/>
  <c r="P1876" i="1"/>
  <c r="Q1876" i="1"/>
  <c r="R1876" i="1"/>
  <c r="S1876" i="1"/>
  <c r="T1876" i="1"/>
  <c r="Z1876" i="1"/>
  <c r="AL1876" i="1"/>
  <c r="A1877" i="1"/>
  <c r="B1877" i="1"/>
  <c r="C1877" i="1"/>
  <c r="G1877" i="1"/>
  <c r="H1877" i="1"/>
  <c r="I1877" i="1"/>
  <c r="J1877" i="1"/>
  <c r="K1877" i="1"/>
  <c r="M1877" i="1"/>
  <c r="N1877" i="1"/>
  <c r="P1877" i="1"/>
  <c r="Q1877" i="1"/>
  <c r="R1877" i="1"/>
  <c r="S1877" i="1"/>
  <c r="T1877" i="1"/>
  <c r="Z1877" i="1"/>
  <c r="AL1877" i="1"/>
  <c r="A1878" i="1"/>
  <c r="B1878" i="1"/>
  <c r="C1878" i="1"/>
  <c r="G1878" i="1"/>
  <c r="H1878" i="1"/>
  <c r="I1878" i="1"/>
  <c r="J1878" i="1"/>
  <c r="K1878" i="1"/>
  <c r="M1878" i="1"/>
  <c r="N1878" i="1"/>
  <c r="P1878" i="1"/>
  <c r="Q1878" i="1"/>
  <c r="R1878" i="1"/>
  <c r="S1878" i="1"/>
  <c r="T1878" i="1"/>
  <c r="Z1878" i="1"/>
  <c r="AL1878" i="1"/>
  <c r="A1879" i="1"/>
  <c r="B1879" i="1"/>
  <c r="C1879" i="1"/>
  <c r="G1879" i="1"/>
  <c r="H1879" i="1"/>
  <c r="I1879" i="1"/>
  <c r="J1879" i="1"/>
  <c r="K1879" i="1"/>
  <c r="M1879" i="1"/>
  <c r="N1879" i="1"/>
  <c r="P1879" i="1"/>
  <c r="Q1879" i="1"/>
  <c r="R1879" i="1"/>
  <c r="S1879" i="1"/>
  <c r="T1879" i="1"/>
  <c r="Z1879" i="1"/>
  <c r="AL1879" i="1"/>
  <c r="A1880" i="1"/>
  <c r="B1880" i="1"/>
  <c r="C1880" i="1"/>
  <c r="G1880" i="1"/>
  <c r="H1880" i="1"/>
  <c r="I1880" i="1"/>
  <c r="J1880" i="1"/>
  <c r="K1880" i="1"/>
  <c r="M1880" i="1"/>
  <c r="N1880" i="1"/>
  <c r="P1880" i="1"/>
  <c r="Q1880" i="1"/>
  <c r="R1880" i="1"/>
  <c r="S1880" i="1"/>
  <c r="T1880" i="1"/>
  <c r="Z1880" i="1"/>
  <c r="AL1880" i="1"/>
  <c r="A1881" i="1"/>
  <c r="B1881" i="1"/>
  <c r="C1881" i="1"/>
  <c r="G1881" i="1"/>
  <c r="H1881" i="1"/>
  <c r="I1881" i="1"/>
  <c r="J1881" i="1"/>
  <c r="K1881" i="1"/>
  <c r="M1881" i="1"/>
  <c r="N1881" i="1"/>
  <c r="P1881" i="1"/>
  <c r="Q1881" i="1"/>
  <c r="R1881" i="1"/>
  <c r="S1881" i="1"/>
  <c r="T1881" i="1"/>
  <c r="Z1881" i="1"/>
  <c r="AL1881" i="1"/>
  <c r="A1882" i="1"/>
  <c r="B1882" i="1"/>
  <c r="C1882" i="1"/>
  <c r="G1882" i="1"/>
  <c r="H1882" i="1"/>
  <c r="I1882" i="1"/>
  <c r="J1882" i="1"/>
  <c r="K1882" i="1"/>
  <c r="M1882" i="1"/>
  <c r="N1882" i="1"/>
  <c r="P1882" i="1"/>
  <c r="Q1882" i="1"/>
  <c r="R1882" i="1"/>
  <c r="S1882" i="1"/>
  <c r="T1882" i="1"/>
  <c r="Z1882" i="1"/>
  <c r="AL1882" i="1"/>
  <c r="A1883" i="1"/>
  <c r="B1883" i="1"/>
  <c r="C1883" i="1"/>
  <c r="G1883" i="1"/>
  <c r="H1883" i="1"/>
  <c r="I1883" i="1"/>
  <c r="J1883" i="1"/>
  <c r="K1883" i="1"/>
  <c r="M1883" i="1"/>
  <c r="N1883" i="1"/>
  <c r="P1883" i="1"/>
  <c r="Q1883" i="1"/>
  <c r="R1883" i="1"/>
  <c r="S1883" i="1"/>
  <c r="T1883" i="1"/>
  <c r="Z1883" i="1"/>
  <c r="AL1883" i="1"/>
  <c r="A1884" i="1"/>
  <c r="B1884" i="1"/>
  <c r="C1884" i="1"/>
  <c r="G1884" i="1"/>
  <c r="H1884" i="1"/>
  <c r="I1884" i="1"/>
  <c r="J1884" i="1"/>
  <c r="K1884" i="1"/>
  <c r="M1884" i="1"/>
  <c r="N1884" i="1"/>
  <c r="P1884" i="1"/>
  <c r="Q1884" i="1"/>
  <c r="R1884" i="1"/>
  <c r="S1884" i="1"/>
  <c r="T1884" i="1"/>
  <c r="Z1884" i="1"/>
  <c r="AL1884" i="1"/>
  <c r="A1885" i="1"/>
  <c r="B1885" i="1"/>
  <c r="C1885" i="1"/>
  <c r="G1885" i="1"/>
  <c r="H1885" i="1"/>
  <c r="I1885" i="1"/>
  <c r="J1885" i="1"/>
  <c r="K1885" i="1"/>
  <c r="M1885" i="1"/>
  <c r="N1885" i="1"/>
  <c r="P1885" i="1"/>
  <c r="Q1885" i="1"/>
  <c r="R1885" i="1"/>
  <c r="S1885" i="1"/>
  <c r="T1885" i="1"/>
  <c r="Z1885" i="1"/>
  <c r="AL1885" i="1"/>
  <c r="A1886" i="1"/>
  <c r="B1886" i="1"/>
  <c r="C1886" i="1"/>
  <c r="G1886" i="1"/>
  <c r="H1886" i="1"/>
  <c r="I1886" i="1"/>
  <c r="J1886" i="1"/>
  <c r="K1886" i="1"/>
  <c r="M1886" i="1"/>
  <c r="N1886" i="1"/>
  <c r="P1886" i="1"/>
  <c r="Q1886" i="1"/>
  <c r="R1886" i="1"/>
  <c r="S1886" i="1"/>
  <c r="T1886" i="1"/>
  <c r="Z1886" i="1"/>
  <c r="AL1886" i="1"/>
  <c r="A1887" i="1"/>
  <c r="B1887" i="1"/>
  <c r="C1887" i="1"/>
  <c r="G1887" i="1"/>
  <c r="H1887" i="1"/>
  <c r="I1887" i="1"/>
  <c r="J1887" i="1"/>
  <c r="K1887" i="1"/>
  <c r="M1887" i="1"/>
  <c r="N1887" i="1"/>
  <c r="P1887" i="1"/>
  <c r="Q1887" i="1"/>
  <c r="R1887" i="1"/>
  <c r="S1887" i="1"/>
  <c r="T1887" i="1"/>
  <c r="AL1887" i="1"/>
  <c r="A1888" i="1"/>
  <c r="B1888" i="1"/>
  <c r="C1888" i="1"/>
  <c r="G1888" i="1"/>
  <c r="H1888" i="1"/>
  <c r="I1888" i="1"/>
  <c r="J1888" i="1"/>
  <c r="K1888" i="1"/>
  <c r="M1888" i="1"/>
  <c r="N1888" i="1"/>
  <c r="P1888" i="1"/>
  <c r="Q1888" i="1"/>
  <c r="R1888" i="1"/>
  <c r="S1888" i="1"/>
  <c r="T1888" i="1"/>
  <c r="AL1888" i="1"/>
  <c r="A1889" i="1"/>
  <c r="B1889" i="1"/>
  <c r="C1889" i="1"/>
  <c r="G1889" i="1"/>
  <c r="H1889" i="1"/>
  <c r="I1889" i="1"/>
  <c r="J1889" i="1"/>
  <c r="K1889" i="1"/>
  <c r="M1889" i="1"/>
  <c r="N1889" i="1"/>
  <c r="P1889" i="1"/>
  <c r="Q1889" i="1"/>
  <c r="R1889" i="1"/>
  <c r="S1889" i="1"/>
  <c r="T1889" i="1"/>
  <c r="Z1889" i="1"/>
  <c r="AL1889" i="1"/>
  <c r="A1890" i="1"/>
  <c r="B1890" i="1"/>
  <c r="C1890" i="1"/>
  <c r="G1890" i="1"/>
  <c r="H1890" i="1"/>
  <c r="I1890" i="1"/>
  <c r="J1890" i="1"/>
  <c r="K1890" i="1"/>
  <c r="M1890" i="1"/>
  <c r="N1890" i="1"/>
  <c r="P1890" i="1"/>
  <c r="Q1890" i="1"/>
  <c r="R1890" i="1"/>
  <c r="S1890" i="1"/>
  <c r="T1890" i="1"/>
  <c r="Z1890" i="1"/>
  <c r="AL1890" i="1"/>
  <c r="A1891" i="1"/>
  <c r="B1891" i="1"/>
  <c r="C1891" i="1"/>
  <c r="G1891" i="1"/>
  <c r="H1891" i="1"/>
  <c r="I1891" i="1"/>
  <c r="J1891" i="1"/>
  <c r="K1891" i="1"/>
  <c r="P1891" i="1"/>
  <c r="Q1891" i="1"/>
  <c r="R1891" i="1"/>
  <c r="S1891" i="1"/>
  <c r="T1891" i="1"/>
  <c r="Z1891" i="1"/>
  <c r="AL1891" i="1"/>
  <c r="A1892" i="1"/>
  <c r="B1892" i="1"/>
  <c r="C1892" i="1"/>
  <c r="G1892" i="1"/>
  <c r="H1892" i="1"/>
  <c r="I1892" i="1"/>
  <c r="J1892" i="1"/>
  <c r="K1892" i="1"/>
  <c r="M1892" i="1"/>
  <c r="N1892" i="1"/>
  <c r="P1892" i="1"/>
  <c r="Q1892" i="1"/>
  <c r="R1892" i="1"/>
  <c r="S1892" i="1"/>
  <c r="T1892" i="1"/>
  <c r="Z1892" i="1"/>
  <c r="AL1892" i="1"/>
  <c r="A1893" i="1"/>
  <c r="B1893" i="1"/>
  <c r="C1893" i="1"/>
  <c r="G1893" i="1"/>
  <c r="H1893" i="1"/>
  <c r="I1893" i="1"/>
  <c r="J1893" i="1"/>
  <c r="K1893" i="1"/>
  <c r="P1893" i="1"/>
  <c r="Q1893" i="1"/>
  <c r="R1893" i="1"/>
  <c r="S1893" i="1"/>
  <c r="T1893" i="1"/>
  <c r="Z1893" i="1"/>
  <c r="AL1893" i="1"/>
  <c r="A1894" i="1"/>
  <c r="B1894" i="1"/>
  <c r="C1894" i="1"/>
  <c r="G1894" i="1"/>
  <c r="H1894" i="1"/>
  <c r="I1894" i="1"/>
  <c r="J1894" i="1"/>
  <c r="K1894" i="1"/>
  <c r="M1894" i="1"/>
  <c r="N1894" i="1"/>
  <c r="P1894" i="1"/>
  <c r="Q1894" i="1"/>
  <c r="R1894" i="1"/>
  <c r="S1894" i="1"/>
  <c r="T1894" i="1"/>
  <c r="Z1894" i="1"/>
  <c r="AL1894" i="1"/>
  <c r="A1895" i="1"/>
  <c r="B1895" i="1"/>
  <c r="C1895" i="1"/>
  <c r="G1895" i="1"/>
  <c r="H1895" i="1"/>
  <c r="I1895" i="1"/>
  <c r="J1895" i="1"/>
  <c r="K1895" i="1"/>
  <c r="M1895" i="1"/>
  <c r="N1895" i="1"/>
  <c r="P1895" i="1"/>
  <c r="Q1895" i="1"/>
  <c r="R1895" i="1"/>
  <c r="S1895" i="1"/>
  <c r="T1895" i="1"/>
  <c r="Z1895" i="1"/>
  <c r="AL1895" i="1"/>
  <c r="A1896" i="1"/>
  <c r="B1896" i="1"/>
  <c r="C1896" i="1"/>
  <c r="G1896" i="1"/>
  <c r="H1896" i="1"/>
  <c r="I1896" i="1"/>
  <c r="J1896" i="1"/>
  <c r="K1896" i="1"/>
  <c r="P1896" i="1"/>
  <c r="Q1896" i="1"/>
  <c r="R1896" i="1"/>
  <c r="S1896" i="1"/>
  <c r="T1896" i="1"/>
  <c r="Z1896" i="1"/>
  <c r="AL1896" i="1"/>
  <c r="A1897" i="1"/>
  <c r="B1897" i="1"/>
  <c r="C1897" i="1"/>
  <c r="G1897" i="1"/>
  <c r="H1897" i="1"/>
  <c r="I1897" i="1"/>
  <c r="J1897" i="1"/>
  <c r="K1897" i="1"/>
  <c r="P1897" i="1"/>
  <c r="Q1897" i="1"/>
  <c r="R1897" i="1"/>
  <c r="S1897" i="1"/>
  <c r="T1897" i="1"/>
  <c r="Z1897" i="1"/>
  <c r="AL1897" i="1"/>
  <c r="A1898" i="1"/>
  <c r="B1898" i="1"/>
  <c r="C1898" i="1"/>
  <c r="G1898" i="1"/>
  <c r="H1898" i="1"/>
  <c r="I1898" i="1"/>
  <c r="J1898" i="1"/>
  <c r="K1898" i="1"/>
  <c r="P1898" i="1"/>
  <c r="Q1898" i="1"/>
  <c r="R1898" i="1"/>
  <c r="S1898" i="1"/>
  <c r="T1898" i="1"/>
  <c r="Z1898" i="1"/>
  <c r="AL1898" i="1"/>
  <c r="A1899" i="1"/>
  <c r="B1899" i="1"/>
  <c r="C1899" i="1"/>
  <c r="G1899" i="1"/>
  <c r="H1899" i="1"/>
  <c r="I1899" i="1"/>
  <c r="J1899" i="1"/>
  <c r="K1899" i="1"/>
  <c r="P1899" i="1"/>
  <c r="Q1899" i="1"/>
  <c r="R1899" i="1"/>
  <c r="S1899" i="1"/>
  <c r="T1899" i="1"/>
  <c r="Z1899" i="1"/>
  <c r="AL1899" i="1"/>
  <c r="A1900" i="1"/>
  <c r="B1900" i="1"/>
  <c r="C1900" i="1"/>
  <c r="G1900" i="1"/>
  <c r="H1900" i="1"/>
  <c r="I1900" i="1"/>
  <c r="J1900" i="1"/>
  <c r="K1900" i="1"/>
  <c r="P1900" i="1"/>
  <c r="Q1900" i="1"/>
  <c r="R1900" i="1"/>
  <c r="S1900" i="1"/>
  <c r="T1900" i="1"/>
  <c r="Z1900" i="1"/>
  <c r="AL1900" i="1"/>
  <c r="A1901" i="1"/>
  <c r="B1901" i="1"/>
  <c r="C1901" i="1"/>
  <c r="G1901" i="1"/>
  <c r="H1901" i="1"/>
  <c r="I1901" i="1"/>
  <c r="J1901" i="1"/>
  <c r="K1901" i="1"/>
  <c r="P1901" i="1"/>
  <c r="Q1901" i="1"/>
  <c r="R1901" i="1"/>
  <c r="S1901" i="1"/>
  <c r="T1901" i="1"/>
  <c r="Z1901" i="1"/>
  <c r="AL1901" i="1"/>
  <c r="A1902" i="1"/>
  <c r="B1902" i="1"/>
  <c r="C1902" i="1"/>
  <c r="G1902" i="1"/>
  <c r="H1902" i="1"/>
  <c r="I1902" i="1"/>
  <c r="J1902" i="1"/>
  <c r="K1902" i="1"/>
  <c r="P1902" i="1"/>
  <c r="Q1902" i="1"/>
  <c r="R1902" i="1"/>
  <c r="S1902" i="1"/>
  <c r="T1902" i="1"/>
  <c r="Z1902" i="1"/>
  <c r="AL1902" i="1"/>
  <c r="A1903" i="1"/>
  <c r="B1903" i="1"/>
  <c r="C1903" i="1"/>
  <c r="G1903" i="1"/>
  <c r="H1903" i="1"/>
  <c r="I1903" i="1"/>
  <c r="J1903" i="1"/>
  <c r="K1903" i="1"/>
  <c r="P1903" i="1"/>
  <c r="Q1903" i="1"/>
  <c r="R1903" i="1"/>
  <c r="S1903" i="1"/>
  <c r="T1903" i="1"/>
  <c r="Z1903" i="1"/>
  <c r="AL1903" i="1"/>
  <c r="A1904" i="1"/>
  <c r="B1904" i="1"/>
  <c r="C1904" i="1"/>
  <c r="G1904" i="1"/>
  <c r="H1904" i="1"/>
  <c r="I1904" i="1"/>
  <c r="J1904" i="1"/>
  <c r="K1904" i="1"/>
  <c r="P1904" i="1"/>
  <c r="Q1904" i="1"/>
  <c r="R1904" i="1"/>
  <c r="S1904" i="1"/>
  <c r="T1904" i="1"/>
  <c r="Z1904" i="1"/>
  <c r="AL1904" i="1"/>
  <c r="A1905" i="1"/>
  <c r="B1905" i="1"/>
  <c r="C1905" i="1"/>
  <c r="G1905" i="1"/>
  <c r="H1905" i="1"/>
  <c r="I1905" i="1"/>
  <c r="J1905" i="1"/>
  <c r="K1905" i="1"/>
  <c r="P1905" i="1"/>
  <c r="Q1905" i="1"/>
  <c r="R1905" i="1"/>
  <c r="S1905" i="1"/>
  <c r="T1905" i="1"/>
  <c r="Z1905" i="1"/>
  <c r="AL1905" i="1"/>
  <c r="A1906" i="1"/>
  <c r="B1906" i="1"/>
  <c r="C1906" i="1"/>
  <c r="G1906" i="1"/>
  <c r="H1906" i="1"/>
  <c r="I1906" i="1"/>
  <c r="J1906" i="1"/>
  <c r="K1906" i="1"/>
  <c r="P1906" i="1"/>
  <c r="Q1906" i="1"/>
  <c r="R1906" i="1"/>
  <c r="S1906" i="1"/>
  <c r="T1906" i="1"/>
  <c r="Z1906" i="1"/>
  <c r="AL1906" i="1"/>
  <c r="A1907" i="1"/>
  <c r="B1907" i="1"/>
  <c r="C1907" i="1"/>
  <c r="G1907" i="1"/>
  <c r="H1907" i="1"/>
  <c r="I1907" i="1"/>
  <c r="J1907" i="1"/>
  <c r="K1907" i="1"/>
  <c r="P1907" i="1"/>
  <c r="Q1907" i="1"/>
  <c r="R1907" i="1"/>
  <c r="S1907" i="1"/>
  <c r="T1907" i="1"/>
  <c r="Z1907" i="1"/>
  <c r="AL1907" i="1"/>
  <c r="A1908" i="1"/>
  <c r="B1908" i="1"/>
  <c r="C1908" i="1"/>
  <c r="G1908" i="1"/>
  <c r="H1908" i="1"/>
  <c r="I1908" i="1"/>
  <c r="J1908" i="1"/>
  <c r="K1908" i="1"/>
  <c r="M1908" i="1"/>
  <c r="N1908" i="1"/>
  <c r="P1908" i="1"/>
  <c r="Q1908" i="1"/>
  <c r="R1908" i="1"/>
  <c r="S1908" i="1"/>
  <c r="T1908" i="1"/>
  <c r="Z1908" i="1"/>
  <c r="AL1908" i="1"/>
  <c r="A1909" i="1"/>
  <c r="B1909" i="1"/>
  <c r="C1909" i="1"/>
  <c r="G1909" i="1"/>
  <c r="H1909" i="1"/>
  <c r="I1909" i="1"/>
  <c r="J1909" i="1"/>
  <c r="K1909" i="1"/>
  <c r="M1909" i="1"/>
  <c r="N1909" i="1"/>
  <c r="P1909" i="1"/>
  <c r="Q1909" i="1"/>
  <c r="R1909" i="1"/>
  <c r="S1909" i="1"/>
  <c r="T1909" i="1"/>
  <c r="Z1909" i="1"/>
  <c r="AL1909" i="1"/>
  <c r="A1910" i="1"/>
  <c r="B1910" i="1"/>
  <c r="C1910" i="1"/>
  <c r="G1910" i="1"/>
  <c r="H1910" i="1"/>
  <c r="I1910" i="1"/>
  <c r="J1910" i="1"/>
  <c r="K1910" i="1"/>
  <c r="M1910" i="1"/>
  <c r="N1910" i="1"/>
  <c r="P1910" i="1"/>
  <c r="Q1910" i="1"/>
  <c r="R1910" i="1"/>
  <c r="S1910" i="1"/>
  <c r="T1910" i="1"/>
  <c r="Z1910" i="1"/>
  <c r="AL1910" i="1"/>
  <c r="A1911" i="1"/>
  <c r="B1911" i="1"/>
  <c r="C1911" i="1"/>
  <c r="G1911" i="1"/>
  <c r="H1911" i="1"/>
  <c r="I1911" i="1"/>
  <c r="J1911" i="1"/>
  <c r="K1911" i="1"/>
  <c r="M1911" i="1"/>
  <c r="N1911" i="1"/>
  <c r="P1911" i="1"/>
  <c r="Q1911" i="1"/>
  <c r="R1911" i="1"/>
  <c r="S1911" i="1"/>
  <c r="T1911" i="1"/>
  <c r="Z1911" i="1"/>
  <c r="AL1911" i="1"/>
  <c r="A1912" i="1"/>
  <c r="B1912" i="1"/>
  <c r="C1912" i="1"/>
  <c r="G1912" i="1"/>
  <c r="H1912" i="1"/>
  <c r="I1912" i="1"/>
  <c r="J1912" i="1"/>
  <c r="K1912" i="1"/>
  <c r="P1912" i="1"/>
  <c r="Q1912" i="1"/>
  <c r="R1912" i="1"/>
  <c r="S1912" i="1"/>
  <c r="T1912" i="1"/>
  <c r="Z1912" i="1"/>
  <c r="AL1912" i="1"/>
  <c r="A1913" i="1"/>
  <c r="B1913" i="1"/>
  <c r="C1913" i="1"/>
  <c r="G1913" i="1"/>
  <c r="H1913" i="1"/>
  <c r="I1913" i="1"/>
  <c r="J1913" i="1"/>
  <c r="K1913" i="1"/>
  <c r="M1913" i="1"/>
  <c r="N1913" i="1"/>
  <c r="P1913" i="1"/>
  <c r="Q1913" i="1"/>
  <c r="R1913" i="1"/>
  <c r="S1913" i="1"/>
  <c r="T1913" i="1"/>
  <c r="Z1913" i="1"/>
  <c r="AL1913" i="1"/>
  <c r="A1914" i="1"/>
  <c r="B1914" i="1"/>
  <c r="C1914" i="1"/>
  <c r="G1914" i="1"/>
  <c r="H1914" i="1"/>
  <c r="I1914" i="1"/>
  <c r="J1914" i="1"/>
  <c r="K1914" i="1"/>
  <c r="M1914" i="1"/>
  <c r="N1914" i="1"/>
  <c r="P1914" i="1"/>
  <c r="Q1914" i="1"/>
  <c r="R1914" i="1"/>
  <c r="S1914" i="1"/>
  <c r="T1914" i="1"/>
  <c r="Z1914" i="1"/>
  <c r="AL1914" i="1"/>
  <c r="A1915" i="1"/>
  <c r="B1915" i="1"/>
  <c r="C1915" i="1"/>
  <c r="G1915" i="1"/>
  <c r="H1915" i="1"/>
  <c r="I1915" i="1"/>
  <c r="J1915" i="1"/>
  <c r="K1915" i="1"/>
  <c r="M1915" i="1"/>
  <c r="N1915" i="1"/>
  <c r="P1915" i="1"/>
  <c r="Q1915" i="1"/>
  <c r="R1915" i="1"/>
  <c r="S1915" i="1"/>
  <c r="T1915" i="1"/>
  <c r="Z1915" i="1"/>
  <c r="AL1915" i="1"/>
  <c r="A1916" i="1"/>
  <c r="B1916" i="1"/>
  <c r="C1916" i="1"/>
  <c r="G1916" i="1"/>
  <c r="H1916" i="1"/>
  <c r="I1916" i="1"/>
  <c r="J1916" i="1"/>
  <c r="K1916" i="1"/>
  <c r="M1916" i="1"/>
  <c r="N1916" i="1"/>
  <c r="P1916" i="1"/>
  <c r="Q1916" i="1"/>
  <c r="R1916" i="1"/>
  <c r="S1916" i="1"/>
  <c r="T1916" i="1"/>
  <c r="Z1916" i="1"/>
  <c r="AL1916" i="1"/>
  <c r="A1917" i="1"/>
  <c r="B1917" i="1"/>
  <c r="C1917" i="1"/>
  <c r="G1917" i="1"/>
  <c r="H1917" i="1"/>
  <c r="I1917" i="1"/>
  <c r="J1917" i="1"/>
  <c r="K1917" i="1"/>
  <c r="M1917" i="1"/>
  <c r="N1917" i="1"/>
  <c r="P1917" i="1"/>
  <c r="Q1917" i="1"/>
  <c r="R1917" i="1"/>
  <c r="S1917" i="1"/>
  <c r="T1917" i="1"/>
  <c r="Z1917" i="1"/>
  <c r="AL1917" i="1"/>
  <c r="A1918" i="1"/>
  <c r="B1918" i="1"/>
  <c r="C1918" i="1"/>
  <c r="G1918" i="1"/>
  <c r="H1918" i="1"/>
  <c r="I1918" i="1"/>
  <c r="J1918" i="1"/>
  <c r="K1918" i="1"/>
  <c r="M1918" i="1"/>
  <c r="N1918" i="1"/>
  <c r="P1918" i="1"/>
  <c r="Q1918" i="1"/>
  <c r="R1918" i="1"/>
  <c r="S1918" i="1"/>
  <c r="T1918" i="1"/>
  <c r="Z1918" i="1"/>
  <c r="AL1918" i="1"/>
  <c r="A1919" i="1"/>
  <c r="B1919" i="1"/>
  <c r="C1919" i="1"/>
  <c r="G1919" i="1"/>
  <c r="H1919" i="1"/>
  <c r="I1919" i="1"/>
  <c r="J1919" i="1"/>
  <c r="K1919" i="1"/>
  <c r="M1919" i="1"/>
  <c r="N1919" i="1"/>
  <c r="P1919" i="1"/>
  <c r="Q1919" i="1"/>
  <c r="R1919" i="1"/>
  <c r="S1919" i="1"/>
  <c r="T1919" i="1"/>
  <c r="Z1919" i="1"/>
  <c r="AL1919" i="1"/>
  <c r="A1920" i="1"/>
  <c r="B1920" i="1"/>
  <c r="C1920" i="1"/>
  <c r="G1920" i="1"/>
  <c r="H1920" i="1"/>
  <c r="I1920" i="1"/>
  <c r="J1920" i="1"/>
  <c r="K1920" i="1"/>
  <c r="M1920" i="1"/>
  <c r="N1920" i="1"/>
  <c r="P1920" i="1"/>
  <c r="Q1920" i="1"/>
  <c r="R1920" i="1"/>
  <c r="S1920" i="1"/>
  <c r="T1920" i="1"/>
  <c r="AL1920" i="1"/>
  <c r="A1921" i="1"/>
  <c r="B1921" i="1"/>
  <c r="C1921" i="1"/>
  <c r="G1921" i="1"/>
  <c r="H1921" i="1"/>
  <c r="I1921" i="1"/>
  <c r="J1921" i="1"/>
  <c r="K1921" i="1"/>
  <c r="M1921" i="1"/>
  <c r="N1921" i="1"/>
  <c r="P1921" i="1"/>
  <c r="Q1921" i="1"/>
  <c r="R1921" i="1"/>
  <c r="S1921" i="1"/>
  <c r="T1921" i="1"/>
  <c r="Z1921" i="1"/>
  <c r="AL1921" i="1"/>
  <c r="A1922" i="1"/>
  <c r="B1922" i="1"/>
  <c r="C1922" i="1"/>
  <c r="G1922" i="1"/>
  <c r="H1922" i="1"/>
  <c r="I1922" i="1"/>
  <c r="J1922" i="1"/>
  <c r="K1922" i="1"/>
  <c r="M1922" i="1"/>
  <c r="N1922" i="1"/>
  <c r="P1922" i="1"/>
  <c r="Q1922" i="1"/>
  <c r="R1922" i="1"/>
  <c r="S1922" i="1"/>
  <c r="T1922" i="1"/>
  <c r="Z1922" i="1"/>
  <c r="AL1922" i="1"/>
  <c r="A1923" i="1"/>
  <c r="B1923" i="1"/>
  <c r="C1923" i="1"/>
  <c r="G1923" i="1"/>
  <c r="H1923" i="1"/>
  <c r="I1923" i="1"/>
  <c r="J1923" i="1"/>
  <c r="K1923" i="1"/>
  <c r="M1923" i="1"/>
  <c r="N1923" i="1"/>
  <c r="P1923" i="1"/>
  <c r="Q1923" i="1"/>
  <c r="R1923" i="1"/>
  <c r="S1923" i="1"/>
  <c r="T1923" i="1"/>
  <c r="AL1923" i="1"/>
  <c r="A1924" i="1"/>
  <c r="B1924" i="1"/>
  <c r="C1924" i="1"/>
  <c r="G1924" i="1"/>
  <c r="H1924" i="1"/>
  <c r="I1924" i="1"/>
  <c r="J1924" i="1"/>
  <c r="K1924" i="1"/>
  <c r="M1924" i="1"/>
  <c r="N1924" i="1"/>
  <c r="P1924" i="1"/>
  <c r="Q1924" i="1"/>
  <c r="R1924" i="1"/>
  <c r="S1924" i="1"/>
  <c r="T1924" i="1"/>
  <c r="Z1924" i="1"/>
  <c r="AL1924" i="1"/>
  <c r="A1925" i="1"/>
  <c r="B1925" i="1"/>
  <c r="C1925" i="1"/>
  <c r="G1925" i="1"/>
  <c r="H1925" i="1"/>
  <c r="I1925" i="1"/>
  <c r="J1925" i="1"/>
  <c r="K1925" i="1"/>
  <c r="M1925" i="1"/>
  <c r="N1925" i="1"/>
  <c r="P1925" i="1"/>
  <c r="Q1925" i="1"/>
  <c r="R1925" i="1"/>
  <c r="S1925" i="1"/>
  <c r="T1925" i="1"/>
  <c r="Z1925" i="1"/>
  <c r="AL1925" i="1"/>
  <c r="A1926" i="1"/>
  <c r="B1926" i="1"/>
  <c r="C1926" i="1"/>
  <c r="G1926" i="1"/>
  <c r="H1926" i="1"/>
  <c r="I1926" i="1"/>
  <c r="J1926" i="1"/>
  <c r="K1926" i="1"/>
  <c r="M1926" i="1"/>
  <c r="N1926" i="1"/>
  <c r="P1926" i="1"/>
  <c r="Q1926" i="1"/>
  <c r="R1926" i="1"/>
  <c r="S1926" i="1"/>
  <c r="T1926" i="1"/>
  <c r="Z1926" i="1"/>
  <c r="AL1926" i="1"/>
  <c r="A1927" i="1"/>
  <c r="B1927" i="1"/>
  <c r="C1927" i="1"/>
  <c r="G1927" i="1"/>
  <c r="H1927" i="1"/>
  <c r="I1927" i="1"/>
  <c r="J1927" i="1"/>
  <c r="K1927" i="1"/>
  <c r="M1927" i="1"/>
  <c r="N1927" i="1"/>
  <c r="P1927" i="1"/>
  <c r="Q1927" i="1"/>
  <c r="R1927" i="1"/>
  <c r="S1927" i="1"/>
  <c r="T1927" i="1"/>
  <c r="Z1927" i="1"/>
  <c r="AL1927" i="1"/>
  <c r="A1928" i="1"/>
  <c r="B1928" i="1"/>
  <c r="C1928" i="1"/>
  <c r="G1928" i="1"/>
  <c r="H1928" i="1"/>
  <c r="I1928" i="1"/>
  <c r="J1928" i="1"/>
  <c r="K1928" i="1"/>
  <c r="M1928" i="1"/>
  <c r="N1928" i="1"/>
  <c r="P1928" i="1"/>
  <c r="Q1928" i="1"/>
  <c r="R1928" i="1"/>
  <c r="S1928" i="1"/>
  <c r="T1928" i="1"/>
  <c r="Z1928" i="1"/>
  <c r="AL1928" i="1"/>
  <c r="A1929" i="1"/>
  <c r="B1929" i="1"/>
  <c r="C1929" i="1"/>
  <c r="G1929" i="1"/>
  <c r="H1929" i="1"/>
  <c r="I1929" i="1"/>
  <c r="J1929" i="1"/>
  <c r="K1929" i="1"/>
  <c r="M1929" i="1"/>
  <c r="N1929" i="1"/>
  <c r="P1929" i="1"/>
  <c r="Q1929" i="1"/>
  <c r="R1929" i="1"/>
  <c r="S1929" i="1"/>
  <c r="T1929" i="1"/>
  <c r="Z1929" i="1"/>
  <c r="AL1929" i="1"/>
  <c r="A1930" i="1"/>
  <c r="B1930" i="1"/>
  <c r="C1930" i="1"/>
  <c r="G1930" i="1"/>
  <c r="H1930" i="1"/>
  <c r="I1930" i="1"/>
  <c r="J1930" i="1"/>
  <c r="K1930" i="1"/>
  <c r="M1930" i="1"/>
  <c r="N1930" i="1"/>
  <c r="P1930" i="1"/>
  <c r="Q1930" i="1"/>
  <c r="R1930" i="1"/>
  <c r="S1930" i="1"/>
  <c r="T1930" i="1"/>
  <c r="Z1930" i="1"/>
  <c r="AL1930" i="1"/>
  <c r="A1931" i="1"/>
  <c r="B1931" i="1"/>
  <c r="C1931" i="1"/>
  <c r="G1931" i="1"/>
  <c r="H1931" i="1"/>
  <c r="I1931" i="1"/>
  <c r="J1931" i="1"/>
  <c r="K1931" i="1"/>
  <c r="M1931" i="1"/>
  <c r="N1931" i="1"/>
  <c r="P1931" i="1"/>
  <c r="Q1931" i="1"/>
  <c r="R1931" i="1"/>
  <c r="S1931" i="1"/>
  <c r="T1931" i="1"/>
  <c r="Z1931" i="1"/>
  <c r="AL1931" i="1"/>
  <c r="A1932" i="1"/>
  <c r="B1932" i="1"/>
  <c r="C1932" i="1"/>
  <c r="G1932" i="1"/>
  <c r="H1932" i="1"/>
  <c r="I1932" i="1"/>
  <c r="J1932" i="1"/>
  <c r="K1932" i="1"/>
  <c r="M1932" i="1"/>
  <c r="N1932" i="1"/>
  <c r="P1932" i="1"/>
  <c r="Q1932" i="1"/>
  <c r="R1932" i="1"/>
  <c r="S1932" i="1"/>
  <c r="T1932" i="1"/>
  <c r="Z1932" i="1"/>
  <c r="AL1932" i="1"/>
  <c r="A1933" i="1"/>
  <c r="B1933" i="1"/>
  <c r="C1933" i="1"/>
  <c r="G1933" i="1"/>
  <c r="H1933" i="1"/>
  <c r="I1933" i="1"/>
  <c r="J1933" i="1"/>
  <c r="K1933" i="1"/>
  <c r="P1933" i="1"/>
  <c r="Q1933" i="1"/>
  <c r="R1933" i="1"/>
  <c r="S1933" i="1"/>
  <c r="T1933" i="1"/>
  <c r="Z1933" i="1"/>
  <c r="AL1933" i="1"/>
  <c r="A1934" i="1"/>
  <c r="B1934" i="1"/>
  <c r="C1934" i="1"/>
  <c r="G1934" i="1"/>
  <c r="H1934" i="1"/>
  <c r="I1934" i="1"/>
  <c r="J1934" i="1"/>
  <c r="K1934" i="1"/>
  <c r="M1934" i="1"/>
  <c r="N1934" i="1"/>
  <c r="P1934" i="1"/>
  <c r="Q1934" i="1"/>
  <c r="R1934" i="1"/>
  <c r="S1934" i="1"/>
  <c r="T1934" i="1"/>
  <c r="Z1934" i="1"/>
  <c r="AL1934" i="1"/>
  <c r="A1935" i="1"/>
  <c r="B1935" i="1"/>
  <c r="C1935" i="1"/>
  <c r="G1935" i="1"/>
  <c r="H1935" i="1"/>
  <c r="I1935" i="1"/>
  <c r="J1935" i="1"/>
  <c r="K1935" i="1"/>
  <c r="M1935" i="1"/>
  <c r="N1935" i="1"/>
  <c r="P1935" i="1"/>
  <c r="Q1935" i="1"/>
  <c r="R1935" i="1"/>
  <c r="S1935" i="1"/>
  <c r="T1935" i="1"/>
  <c r="Z1935" i="1"/>
  <c r="AL1935" i="1"/>
  <c r="A1936" i="1"/>
  <c r="B1936" i="1"/>
  <c r="C1936" i="1"/>
  <c r="G1936" i="1"/>
  <c r="H1936" i="1"/>
  <c r="I1936" i="1"/>
  <c r="J1936" i="1"/>
  <c r="K1936" i="1"/>
  <c r="M1936" i="1"/>
  <c r="N1936" i="1"/>
  <c r="P1936" i="1"/>
  <c r="Q1936" i="1"/>
  <c r="R1936" i="1"/>
  <c r="S1936" i="1"/>
  <c r="T1936" i="1"/>
  <c r="Z1936" i="1"/>
  <c r="AL1936" i="1"/>
  <c r="A1937" i="1"/>
  <c r="B1937" i="1"/>
  <c r="C1937" i="1"/>
  <c r="G1937" i="1"/>
  <c r="H1937" i="1"/>
  <c r="I1937" i="1"/>
  <c r="J1937" i="1"/>
  <c r="K1937" i="1"/>
  <c r="M1937" i="1"/>
  <c r="N1937" i="1"/>
  <c r="P1937" i="1"/>
  <c r="Q1937" i="1"/>
  <c r="R1937" i="1"/>
  <c r="S1937" i="1"/>
  <c r="T1937" i="1"/>
  <c r="Z1937" i="1"/>
  <c r="AL1937" i="1"/>
  <c r="A1938" i="1"/>
  <c r="B1938" i="1"/>
  <c r="C1938" i="1"/>
  <c r="G1938" i="1"/>
  <c r="H1938" i="1"/>
  <c r="I1938" i="1"/>
  <c r="J1938" i="1"/>
  <c r="K1938" i="1"/>
  <c r="M1938" i="1"/>
  <c r="N1938" i="1"/>
  <c r="P1938" i="1"/>
  <c r="Q1938" i="1"/>
  <c r="R1938" i="1"/>
  <c r="S1938" i="1"/>
  <c r="T1938" i="1"/>
  <c r="Z1938" i="1"/>
  <c r="AL1938" i="1"/>
  <c r="A1939" i="1"/>
  <c r="B1939" i="1"/>
  <c r="C1939" i="1"/>
  <c r="G1939" i="1"/>
  <c r="H1939" i="1"/>
  <c r="I1939" i="1"/>
  <c r="J1939" i="1"/>
  <c r="K1939" i="1"/>
  <c r="M1939" i="1"/>
  <c r="N1939" i="1"/>
  <c r="P1939" i="1"/>
  <c r="Q1939" i="1"/>
  <c r="R1939" i="1"/>
  <c r="S1939" i="1"/>
  <c r="T1939" i="1"/>
  <c r="Z1939" i="1"/>
  <c r="AL1939" i="1"/>
  <c r="A1940" i="1"/>
  <c r="B1940" i="1"/>
  <c r="C1940" i="1"/>
  <c r="G1940" i="1"/>
  <c r="H1940" i="1"/>
  <c r="I1940" i="1"/>
  <c r="J1940" i="1"/>
  <c r="K1940" i="1"/>
  <c r="M1940" i="1"/>
  <c r="N1940" i="1"/>
  <c r="P1940" i="1"/>
  <c r="Q1940" i="1"/>
  <c r="R1940" i="1"/>
  <c r="S1940" i="1"/>
  <c r="T1940" i="1"/>
  <c r="Z1940" i="1"/>
  <c r="AL1940" i="1"/>
  <c r="A1941" i="1"/>
  <c r="B1941" i="1"/>
  <c r="C1941" i="1"/>
  <c r="G1941" i="1"/>
  <c r="H1941" i="1"/>
  <c r="I1941" i="1"/>
  <c r="J1941" i="1"/>
  <c r="K1941" i="1"/>
  <c r="M1941" i="1"/>
  <c r="N1941" i="1"/>
  <c r="P1941" i="1"/>
  <c r="Q1941" i="1"/>
  <c r="R1941" i="1"/>
  <c r="S1941" i="1"/>
  <c r="T1941" i="1"/>
  <c r="Z1941" i="1"/>
  <c r="AL1941" i="1"/>
  <c r="A1942" i="1"/>
  <c r="B1942" i="1"/>
  <c r="C1942" i="1"/>
  <c r="G1942" i="1"/>
  <c r="H1942" i="1"/>
  <c r="I1942" i="1"/>
  <c r="J1942" i="1"/>
  <c r="K1942" i="1"/>
  <c r="M1942" i="1"/>
  <c r="N1942" i="1"/>
  <c r="P1942" i="1"/>
  <c r="Q1942" i="1"/>
  <c r="R1942" i="1"/>
  <c r="S1942" i="1"/>
  <c r="T1942" i="1"/>
  <c r="Z1942" i="1"/>
  <c r="AL1942" i="1"/>
  <c r="A1943" i="1"/>
  <c r="B1943" i="1"/>
  <c r="C1943" i="1"/>
  <c r="G1943" i="1"/>
  <c r="H1943" i="1"/>
  <c r="I1943" i="1"/>
  <c r="J1943" i="1"/>
  <c r="K1943" i="1"/>
  <c r="M1943" i="1"/>
  <c r="N1943" i="1"/>
  <c r="P1943" i="1"/>
  <c r="Q1943" i="1"/>
  <c r="R1943" i="1"/>
  <c r="S1943" i="1"/>
  <c r="T1943" i="1"/>
  <c r="Z1943" i="1"/>
  <c r="AL1943" i="1"/>
  <c r="A1944" i="1"/>
  <c r="B1944" i="1"/>
  <c r="C1944" i="1"/>
  <c r="G1944" i="1"/>
  <c r="H1944" i="1"/>
  <c r="I1944" i="1"/>
  <c r="J1944" i="1"/>
  <c r="K1944" i="1"/>
  <c r="M1944" i="1"/>
  <c r="N1944" i="1"/>
  <c r="P1944" i="1"/>
  <c r="Q1944" i="1"/>
  <c r="R1944" i="1"/>
  <c r="S1944" i="1"/>
  <c r="T1944" i="1"/>
  <c r="Z1944" i="1"/>
  <c r="AL1944" i="1"/>
  <c r="A1945" i="1"/>
  <c r="B1945" i="1"/>
  <c r="C1945" i="1"/>
  <c r="G1945" i="1"/>
  <c r="H1945" i="1"/>
  <c r="I1945" i="1"/>
  <c r="J1945" i="1"/>
  <c r="K1945" i="1"/>
  <c r="M1945" i="1"/>
  <c r="N1945" i="1"/>
  <c r="P1945" i="1"/>
  <c r="Q1945" i="1"/>
  <c r="R1945" i="1"/>
  <c r="S1945" i="1"/>
  <c r="T1945" i="1"/>
  <c r="Z1945" i="1"/>
  <c r="AL1945" i="1"/>
  <c r="A1946" i="1"/>
  <c r="B1946" i="1"/>
  <c r="C1946" i="1"/>
  <c r="G1946" i="1"/>
  <c r="H1946" i="1"/>
  <c r="I1946" i="1"/>
  <c r="J1946" i="1"/>
  <c r="K1946" i="1"/>
  <c r="M1946" i="1"/>
  <c r="N1946" i="1"/>
  <c r="P1946" i="1"/>
  <c r="Q1946" i="1"/>
  <c r="R1946" i="1"/>
  <c r="S1946" i="1"/>
  <c r="T1946" i="1"/>
  <c r="Z1946" i="1"/>
  <c r="AL1946" i="1"/>
  <c r="A1947" i="1"/>
  <c r="B1947" i="1"/>
  <c r="C1947" i="1"/>
  <c r="G1947" i="1"/>
  <c r="H1947" i="1"/>
  <c r="I1947" i="1"/>
  <c r="J1947" i="1"/>
  <c r="K1947" i="1"/>
  <c r="M1947" i="1"/>
  <c r="N1947" i="1"/>
  <c r="P1947" i="1"/>
  <c r="Q1947" i="1"/>
  <c r="R1947" i="1"/>
  <c r="S1947" i="1"/>
  <c r="T1947" i="1"/>
  <c r="Z1947" i="1"/>
  <c r="AL1947" i="1"/>
  <c r="A1948" i="1"/>
  <c r="B1948" i="1"/>
  <c r="C1948" i="1"/>
  <c r="G1948" i="1"/>
  <c r="H1948" i="1"/>
  <c r="I1948" i="1"/>
  <c r="J1948" i="1"/>
  <c r="K1948" i="1"/>
  <c r="M1948" i="1"/>
  <c r="N1948" i="1"/>
  <c r="P1948" i="1"/>
  <c r="Q1948" i="1"/>
  <c r="R1948" i="1"/>
  <c r="S1948" i="1"/>
  <c r="T1948" i="1"/>
  <c r="Z1948" i="1"/>
  <c r="AL1948" i="1"/>
  <c r="A1949" i="1"/>
  <c r="B1949" i="1"/>
  <c r="C1949" i="1"/>
  <c r="G1949" i="1"/>
  <c r="H1949" i="1"/>
  <c r="I1949" i="1"/>
  <c r="J1949" i="1"/>
  <c r="K1949" i="1"/>
  <c r="M1949" i="1"/>
  <c r="N1949" i="1"/>
  <c r="P1949" i="1"/>
  <c r="Q1949" i="1"/>
  <c r="R1949" i="1"/>
  <c r="S1949" i="1"/>
  <c r="T1949" i="1"/>
  <c r="Z1949" i="1"/>
  <c r="AL1949" i="1"/>
  <c r="A1950" i="1"/>
  <c r="B1950" i="1"/>
  <c r="C1950" i="1"/>
  <c r="G1950" i="1"/>
  <c r="H1950" i="1"/>
  <c r="I1950" i="1"/>
  <c r="J1950" i="1"/>
  <c r="K1950" i="1"/>
  <c r="M1950" i="1"/>
  <c r="N1950" i="1"/>
  <c r="P1950" i="1"/>
  <c r="Q1950" i="1"/>
  <c r="R1950" i="1"/>
  <c r="S1950" i="1"/>
  <c r="T1950" i="1"/>
  <c r="Z1950" i="1"/>
  <c r="AL1950" i="1"/>
  <c r="A1951" i="1"/>
  <c r="B1951" i="1"/>
  <c r="C1951" i="1"/>
  <c r="G1951" i="1"/>
  <c r="H1951" i="1"/>
  <c r="I1951" i="1"/>
  <c r="J1951" i="1"/>
  <c r="K1951" i="1"/>
  <c r="M1951" i="1"/>
  <c r="N1951" i="1"/>
  <c r="P1951" i="1"/>
  <c r="Q1951" i="1"/>
  <c r="R1951" i="1"/>
  <c r="S1951" i="1"/>
  <c r="T1951" i="1"/>
  <c r="Z1951" i="1"/>
  <c r="AL1951" i="1"/>
  <c r="A1952" i="1"/>
  <c r="B1952" i="1"/>
  <c r="C1952" i="1"/>
  <c r="G1952" i="1"/>
  <c r="H1952" i="1"/>
  <c r="I1952" i="1"/>
  <c r="J1952" i="1"/>
  <c r="K1952" i="1"/>
  <c r="M1952" i="1"/>
  <c r="N1952" i="1"/>
  <c r="P1952" i="1"/>
  <c r="Q1952" i="1"/>
  <c r="R1952" i="1"/>
  <c r="S1952" i="1"/>
  <c r="T1952" i="1"/>
  <c r="Z1952" i="1"/>
  <c r="AL1952" i="1"/>
  <c r="A1953" i="1"/>
  <c r="B1953" i="1"/>
  <c r="C1953" i="1"/>
  <c r="G1953" i="1"/>
  <c r="H1953" i="1"/>
  <c r="I1953" i="1"/>
  <c r="J1953" i="1"/>
  <c r="K1953" i="1"/>
  <c r="M1953" i="1"/>
  <c r="N1953" i="1"/>
  <c r="P1953" i="1"/>
  <c r="Q1953" i="1"/>
  <c r="R1953" i="1"/>
  <c r="S1953" i="1"/>
  <c r="T1953" i="1"/>
  <c r="Z1953" i="1"/>
  <c r="AL1953" i="1"/>
  <c r="A1954" i="1"/>
  <c r="B1954" i="1"/>
  <c r="C1954" i="1"/>
  <c r="G1954" i="1"/>
  <c r="H1954" i="1"/>
  <c r="I1954" i="1"/>
  <c r="J1954" i="1"/>
  <c r="K1954" i="1"/>
  <c r="M1954" i="1"/>
  <c r="N1954" i="1"/>
  <c r="P1954" i="1"/>
  <c r="Q1954" i="1"/>
  <c r="R1954" i="1"/>
  <c r="S1954" i="1"/>
  <c r="T1954" i="1"/>
  <c r="Z1954" i="1"/>
  <c r="AL1954" i="1"/>
  <c r="A1955" i="1"/>
  <c r="B1955" i="1"/>
  <c r="C1955" i="1"/>
  <c r="G1955" i="1"/>
  <c r="H1955" i="1"/>
  <c r="I1955" i="1"/>
  <c r="J1955" i="1"/>
  <c r="K1955" i="1"/>
  <c r="M1955" i="1"/>
  <c r="N1955" i="1"/>
  <c r="P1955" i="1"/>
  <c r="Q1955" i="1"/>
  <c r="R1955" i="1"/>
  <c r="S1955" i="1"/>
  <c r="T1955" i="1"/>
  <c r="Z1955" i="1"/>
  <c r="AL1955" i="1"/>
  <c r="A1956" i="1"/>
  <c r="B1956" i="1"/>
  <c r="C1956" i="1"/>
  <c r="G1956" i="1"/>
  <c r="H1956" i="1"/>
  <c r="I1956" i="1"/>
  <c r="J1956" i="1"/>
  <c r="K1956" i="1"/>
  <c r="M1956" i="1"/>
  <c r="N1956" i="1"/>
  <c r="P1956" i="1"/>
  <c r="Q1956" i="1"/>
  <c r="R1956" i="1"/>
  <c r="S1956" i="1"/>
  <c r="T1956" i="1"/>
  <c r="Z1956" i="1"/>
  <c r="AL1956" i="1"/>
  <c r="A1957" i="1"/>
  <c r="B1957" i="1"/>
  <c r="C1957" i="1"/>
  <c r="G1957" i="1"/>
  <c r="H1957" i="1"/>
  <c r="I1957" i="1"/>
  <c r="J1957" i="1"/>
  <c r="K1957" i="1"/>
  <c r="M1957" i="1"/>
  <c r="N1957" i="1"/>
  <c r="P1957" i="1"/>
  <c r="Q1957" i="1"/>
  <c r="R1957" i="1"/>
  <c r="S1957" i="1"/>
  <c r="T1957" i="1"/>
  <c r="Z1957" i="1"/>
  <c r="AL1957" i="1"/>
  <c r="A1958" i="1"/>
  <c r="B1958" i="1"/>
  <c r="C1958" i="1"/>
  <c r="G1958" i="1"/>
  <c r="H1958" i="1"/>
  <c r="I1958" i="1"/>
  <c r="J1958" i="1"/>
  <c r="K1958" i="1"/>
  <c r="M1958" i="1"/>
  <c r="N1958" i="1"/>
  <c r="P1958" i="1"/>
  <c r="Q1958" i="1"/>
  <c r="R1958" i="1"/>
  <c r="S1958" i="1"/>
  <c r="T1958" i="1"/>
  <c r="Z1958" i="1"/>
  <c r="AL1958" i="1"/>
  <c r="A1959" i="1"/>
  <c r="B1959" i="1"/>
  <c r="C1959" i="1"/>
  <c r="G1959" i="1"/>
  <c r="H1959" i="1"/>
  <c r="I1959" i="1"/>
  <c r="J1959" i="1"/>
  <c r="K1959" i="1"/>
  <c r="M1959" i="1"/>
  <c r="N1959" i="1"/>
  <c r="P1959" i="1"/>
  <c r="Q1959" i="1"/>
  <c r="R1959" i="1"/>
  <c r="S1959" i="1"/>
  <c r="T1959" i="1"/>
  <c r="Z1959" i="1"/>
  <c r="AL1959" i="1"/>
  <c r="A1960" i="1"/>
  <c r="B1960" i="1"/>
  <c r="C1960" i="1"/>
  <c r="G1960" i="1"/>
  <c r="H1960" i="1"/>
  <c r="I1960" i="1"/>
  <c r="J1960" i="1"/>
  <c r="K1960" i="1"/>
  <c r="M1960" i="1"/>
  <c r="N1960" i="1"/>
  <c r="P1960" i="1"/>
  <c r="Q1960" i="1"/>
  <c r="R1960" i="1"/>
  <c r="S1960" i="1"/>
  <c r="T1960" i="1"/>
  <c r="Z1960" i="1"/>
  <c r="AL1960" i="1"/>
  <c r="A1961" i="1"/>
  <c r="B1961" i="1"/>
  <c r="C1961" i="1"/>
  <c r="G1961" i="1"/>
  <c r="H1961" i="1"/>
  <c r="I1961" i="1"/>
  <c r="J1961" i="1"/>
  <c r="K1961" i="1"/>
  <c r="M1961" i="1"/>
  <c r="N1961" i="1"/>
  <c r="P1961" i="1"/>
  <c r="Q1961" i="1"/>
  <c r="R1961" i="1"/>
  <c r="S1961" i="1"/>
  <c r="T1961" i="1"/>
  <c r="Z1961" i="1"/>
  <c r="AL1961" i="1"/>
  <c r="A1962" i="1"/>
  <c r="B1962" i="1"/>
  <c r="C1962" i="1"/>
  <c r="G1962" i="1"/>
  <c r="H1962" i="1"/>
  <c r="I1962" i="1"/>
  <c r="J1962" i="1"/>
  <c r="K1962" i="1"/>
  <c r="M1962" i="1"/>
  <c r="N1962" i="1"/>
  <c r="P1962" i="1"/>
  <c r="Q1962" i="1"/>
  <c r="R1962" i="1"/>
  <c r="S1962" i="1"/>
  <c r="T1962" i="1"/>
  <c r="Z1962" i="1"/>
  <c r="AL1962" i="1"/>
  <c r="A1963" i="1"/>
  <c r="B1963" i="1"/>
  <c r="C1963" i="1"/>
  <c r="G1963" i="1"/>
  <c r="H1963" i="1"/>
  <c r="I1963" i="1"/>
  <c r="J1963" i="1"/>
  <c r="K1963" i="1"/>
  <c r="M1963" i="1"/>
  <c r="N1963" i="1"/>
  <c r="P1963" i="1"/>
  <c r="Q1963" i="1"/>
  <c r="R1963" i="1"/>
  <c r="S1963" i="1"/>
  <c r="T1963" i="1"/>
  <c r="Z1963" i="1"/>
  <c r="AL1963" i="1"/>
  <c r="A1964" i="1"/>
  <c r="B1964" i="1"/>
  <c r="C1964" i="1"/>
  <c r="G1964" i="1"/>
  <c r="H1964" i="1"/>
  <c r="I1964" i="1"/>
  <c r="J1964" i="1"/>
  <c r="K1964" i="1"/>
  <c r="M1964" i="1"/>
  <c r="N1964" i="1"/>
  <c r="P1964" i="1"/>
  <c r="Q1964" i="1"/>
  <c r="R1964" i="1"/>
  <c r="S1964" i="1"/>
  <c r="T1964" i="1"/>
  <c r="Z1964" i="1"/>
  <c r="AL1964" i="1"/>
  <c r="A1965" i="1"/>
  <c r="B1965" i="1"/>
  <c r="C1965" i="1"/>
  <c r="G1965" i="1"/>
  <c r="H1965" i="1"/>
  <c r="I1965" i="1"/>
  <c r="J1965" i="1"/>
  <c r="K1965" i="1"/>
  <c r="M1965" i="1"/>
  <c r="N1965" i="1"/>
  <c r="P1965" i="1"/>
  <c r="Q1965" i="1"/>
  <c r="R1965" i="1"/>
  <c r="S1965" i="1"/>
  <c r="T1965" i="1"/>
  <c r="Z1965" i="1"/>
  <c r="AL1965" i="1"/>
  <c r="A1966" i="1"/>
  <c r="B1966" i="1"/>
  <c r="C1966" i="1"/>
  <c r="G1966" i="1"/>
  <c r="H1966" i="1"/>
  <c r="I1966" i="1"/>
  <c r="J1966" i="1"/>
  <c r="K1966" i="1"/>
  <c r="M1966" i="1"/>
  <c r="N1966" i="1"/>
  <c r="P1966" i="1"/>
  <c r="Q1966" i="1"/>
  <c r="R1966" i="1"/>
  <c r="S1966" i="1"/>
  <c r="T1966" i="1"/>
  <c r="Z1966" i="1"/>
  <c r="AL1966" i="1"/>
  <c r="A1967" i="1"/>
  <c r="B1967" i="1"/>
  <c r="C1967" i="1"/>
  <c r="G1967" i="1"/>
  <c r="H1967" i="1"/>
  <c r="I1967" i="1"/>
  <c r="J1967" i="1"/>
  <c r="K1967" i="1"/>
  <c r="M1967" i="1"/>
  <c r="N1967" i="1"/>
  <c r="P1967" i="1"/>
  <c r="Q1967" i="1"/>
  <c r="R1967" i="1"/>
  <c r="S1967" i="1"/>
  <c r="T1967" i="1"/>
  <c r="Z1967" i="1"/>
  <c r="AL1967" i="1"/>
  <c r="A1968" i="1"/>
  <c r="B1968" i="1"/>
  <c r="C1968" i="1"/>
  <c r="G1968" i="1"/>
  <c r="H1968" i="1"/>
  <c r="I1968" i="1"/>
  <c r="J1968" i="1"/>
  <c r="K1968" i="1"/>
  <c r="M1968" i="1"/>
  <c r="N1968" i="1"/>
  <c r="P1968" i="1"/>
  <c r="Q1968" i="1"/>
  <c r="R1968" i="1"/>
  <c r="S1968" i="1"/>
  <c r="T1968" i="1"/>
  <c r="Z1968" i="1"/>
  <c r="AL1968" i="1"/>
  <c r="A1969" i="1"/>
  <c r="B1969" i="1"/>
  <c r="C1969" i="1"/>
  <c r="G1969" i="1"/>
  <c r="H1969" i="1"/>
  <c r="I1969" i="1"/>
  <c r="J1969" i="1"/>
  <c r="K1969" i="1"/>
  <c r="M1969" i="1"/>
  <c r="N1969" i="1"/>
  <c r="P1969" i="1"/>
  <c r="Q1969" i="1"/>
  <c r="R1969" i="1"/>
  <c r="S1969" i="1"/>
  <c r="T1969" i="1"/>
  <c r="Z1969" i="1"/>
  <c r="AL1969" i="1"/>
  <c r="A1970" i="1"/>
  <c r="B1970" i="1"/>
  <c r="C1970" i="1"/>
  <c r="G1970" i="1"/>
  <c r="H1970" i="1"/>
  <c r="I1970" i="1"/>
  <c r="J1970" i="1"/>
  <c r="K1970" i="1"/>
  <c r="M1970" i="1"/>
  <c r="N1970" i="1"/>
  <c r="P1970" i="1"/>
  <c r="Q1970" i="1"/>
  <c r="R1970" i="1"/>
  <c r="S1970" i="1"/>
  <c r="T1970" i="1"/>
  <c r="Z1970" i="1"/>
  <c r="AL1970" i="1"/>
  <c r="A1971" i="1"/>
  <c r="B1971" i="1"/>
  <c r="C1971" i="1"/>
  <c r="G1971" i="1"/>
  <c r="H1971" i="1"/>
  <c r="I1971" i="1"/>
  <c r="J1971" i="1"/>
  <c r="K1971" i="1"/>
  <c r="M1971" i="1"/>
  <c r="N1971" i="1"/>
  <c r="P1971" i="1"/>
  <c r="Q1971" i="1"/>
  <c r="R1971" i="1"/>
  <c r="S1971" i="1"/>
  <c r="T1971" i="1"/>
  <c r="Z1971" i="1"/>
  <c r="AL1971" i="1"/>
  <c r="A1972" i="1"/>
  <c r="B1972" i="1"/>
  <c r="C1972" i="1"/>
  <c r="G1972" i="1"/>
  <c r="H1972" i="1"/>
  <c r="I1972" i="1"/>
  <c r="J1972" i="1"/>
  <c r="K1972" i="1"/>
  <c r="M1972" i="1"/>
  <c r="N1972" i="1"/>
  <c r="P1972" i="1"/>
  <c r="Q1972" i="1"/>
  <c r="R1972" i="1"/>
  <c r="S1972" i="1"/>
  <c r="T1972" i="1"/>
  <c r="Z1972" i="1"/>
  <c r="AL1972" i="1"/>
  <c r="A1973" i="1"/>
  <c r="B1973" i="1"/>
  <c r="C1973" i="1"/>
  <c r="G1973" i="1"/>
  <c r="H1973" i="1"/>
  <c r="I1973" i="1"/>
  <c r="J1973" i="1"/>
  <c r="K1973" i="1"/>
  <c r="M1973" i="1"/>
  <c r="N1973" i="1"/>
  <c r="P1973" i="1"/>
  <c r="Q1973" i="1"/>
  <c r="R1973" i="1"/>
  <c r="S1973" i="1"/>
  <c r="T1973" i="1"/>
  <c r="Z1973" i="1"/>
  <c r="AL1973" i="1"/>
  <c r="A1974" i="1"/>
  <c r="B1974" i="1"/>
  <c r="C1974" i="1"/>
  <c r="G1974" i="1"/>
  <c r="H1974" i="1"/>
  <c r="I1974" i="1"/>
  <c r="J1974" i="1"/>
  <c r="K1974" i="1"/>
  <c r="M1974" i="1"/>
  <c r="N1974" i="1"/>
  <c r="P1974" i="1"/>
  <c r="Q1974" i="1"/>
  <c r="R1974" i="1"/>
  <c r="S1974" i="1"/>
  <c r="T1974" i="1"/>
  <c r="Z1974" i="1"/>
  <c r="AL1974" i="1"/>
  <c r="A1975" i="1"/>
  <c r="B1975" i="1"/>
  <c r="C1975" i="1"/>
  <c r="G1975" i="1"/>
  <c r="H1975" i="1"/>
  <c r="I1975" i="1"/>
  <c r="J1975" i="1"/>
  <c r="K1975" i="1"/>
  <c r="M1975" i="1"/>
  <c r="N1975" i="1"/>
  <c r="P1975" i="1"/>
  <c r="Q1975" i="1"/>
  <c r="R1975" i="1"/>
  <c r="S1975" i="1"/>
  <c r="T1975" i="1"/>
  <c r="Z1975" i="1"/>
  <c r="AL1975" i="1"/>
  <c r="A1976" i="1"/>
  <c r="B1976" i="1"/>
  <c r="C1976" i="1"/>
  <c r="G1976" i="1"/>
  <c r="H1976" i="1"/>
  <c r="I1976" i="1"/>
  <c r="J1976" i="1"/>
  <c r="K1976" i="1"/>
  <c r="M1976" i="1"/>
  <c r="N1976" i="1"/>
  <c r="P1976" i="1"/>
  <c r="Q1976" i="1"/>
  <c r="R1976" i="1"/>
  <c r="S1976" i="1"/>
  <c r="T1976" i="1"/>
  <c r="Z1976" i="1"/>
  <c r="AL1976" i="1"/>
  <c r="A1977" i="1"/>
  <c r="B1977" i="1"/>
  <c r="C1977" i="1"/>
  <c r="G1977" i="1"/>
  <c r="H1977" i="1"/>
  <c r="I1977" i="1"/>
  <c r="J1977" i="1"/>
  <c r="K1977" i="1"/>
  <c r="M1977" i="1"/>
  <c r="N1977" i="1"/>
  <c r="P1977" i="1"/>
  <c r="Q1977" i="1"/>
  <c r="R1977" i="1"/>
  <c r="S1977" i="1"/>
  <c r="T1977" i="1"/>
  <c r="Z1977" i="1"/>
  <c r="AL1977" i="1"/>
  <c r="A1978" i="1"/>
  <c r="B1978" i="1"/>
  <c r="C1978" i="1"/>
  <c r="G1978" i="1"/>
  <c r="H1978" i="1"/>
  <c r="I1978" i="1"/>
  <c r="J1978" i="1"/>
  <c r="K1978" i="1"/>
  <c r="M1978" i="1"/>
  <c r="N1978" i="1"/>
  <c r="P1978" i="1"/>
  <c r="Q1978" i="1"/>
  <c r="R1978" i="1"/>
  <c r="S1978" i="1"/>
  <c r="T1978" i="1"/>
  <c r="Z1978" i="1"/>
  <c r="AL1978" i="1"/>
  <c r="A1979" i="1"/>
  <c r="B1979" i="1"/>
  <c r="C1979" i="1"/>
  <c r="G1979" i="1"/>
  <c r="H1979" i="1"/>
  <c r="I1979" i="1"/>
  <c r="J1979" i="1"/>
  <c r="K1979" i="1"/>
  <c r="M1979" i="1"/>
  <c r="N1979" i="1"/>
  <c r="P1979" i="1"/>
  <c r="Q1979" i="1"/>
  <c r="R1979" i="1"/>
  <c r="S1979" i="1"/>
  <c r="T1979" i="1"/>
  <c r="Z1979" i="1"/>
  <c r="AL1979" i="1"/>
  <c r="A1980" i="1"/>
  <c r="B1980" i="1"/>
  <c r="C1980" i="1"/>
  <c r="G1980" i="1"/>
  <c r="H1980" i="1"/>
  <c r="I1980" i="1"/>
  <c r="J1980" i="1"/>
  <c r="K1980" i="1"/>
  <c r="M1980" i="1"/>
  <c r="N1980" i="1"/>
  <c r="P1980" i="1"/>
  <c r="Q1980" i="1"/>
  <c r="R1980" i="1"/>
  <c r="S1980" i="1"/>
  <c r="T1980" i="1"/>
  <c r="Z1980" i="1"/>
  <c r="AL1980" i="1"/>
  <c r="A1981" i="1"/>
  <c r="B1981" i="1"/>
  <c r="C1981" i="1"/>
  <c r="G1981" i="1"/>
  <c r="H1981" i="1"/>
  <c r="I1981" i="1"/>
  <c r="J1981" i="1"/>
  <c r="K1981" i="1"/>
  <c r="M1981" i="1"/>
  <c r="N1981" i="1"/>
  <c r="P1981" i="1"/>
  <c r="Q1981" i="1"/>
  <c r="R1981" i="1"/>
  <c r="S1981" i="1"/>
  <c r="T1981" i="1"/>
  <c r="Z1981" i="1"/>
  <c r="AL1981" i="1"/>
  <c r="A1982" i="1"/>
  <c r="B1982" i="1"/>
  <c r="C1982" i="1"/>
  <c r="G1982" i="1"/>
  <c r="H1982" i="1"/>
  <c r="I1982" i="1"/>
  <c r="J1982" i="1"/>
  <c r="K1982" i="1"/>
  <c r="M1982" i="1"/>
  <c r="N1982" i="1"/>
  <c r="P1982" i="1"/>
  <c r="Q1982" i="1"/>
  <c r="R1982" i="1"/>
  <c r="S1982" i="1"/>
  <c r="T1982" i="1"/>
  <c r="Z1982" i="1"/>
  <c r="AL1982" i="1"/>
  <c r="A1983" i="1"/>
  <c r="B1983" i="1"/>
  <c r="C1983" i="1"/>
  <c r="G1983" i="1"/>
  <c r="H1983" i="1"/>
  <c r="I1983" i="1"/>
  <c r="J1983" i="1"/>
  <c r="K1983" i="1"/>
  <c r="M1983" i="1"/>
  <c r="N1983" i="1"/>
  <c r="P1983" i="1"/>
  <c r="Q1983" i="1"/>
  <c r="R1983" i="1"/>
  <c r="S1983" i="1"/>
  <c r="T1983" i="1"/>
  <c r="Z1983" i="1"/>
  <c r="AL1983" i="1"/>
  <c r="A1984" i="1"/>
  <c r="B1984" i="1"/>
  <c r="C1984" i="1"/>
  <c r="G1984" i="1"/>
  <c r="H1984" i="1"/>
  <c r="I1984" i="1"/>
  <c r="J1984" i="1"/>
  <c r="K1984" i="1"/>
  <c r="M1984" i="1"/>
  <c r="N1984" i="1"/>
  <c r="P1984" i="1"/>
  <c r="Q1984" i="1"/>
  <c r="R1984" i="1"/>
  <c r="S1984" i="1"/>
  <c r="T1984" i="1"/>
  <c r="Z1984" i="1"/>
  <c r="AL1984" i="1"/>
  <c r="A1985" i="1"/>
  <c r="B1985" i="1"/>
  <c r="C1985" i="1"/>
  <c r="G1985" i="1"/>
  <c r="H1985" i="1"/>
  <c r="I1985" i="1"/>
  <c r="J1985" i="1"/>
  <c r="K1985" i="1"/>
  <c r="M1985" i="1"/>
  <c r="N1985" i="1"/>
  <c r="P1985" i="1"/>
  <c r="Q1985" i="1"/>
  <c r="R1985" i="1"/>
  <c r="S1985" i="1"/>
  <c r="T1985" i="1"/>
  <c r="Z1985" i="1"/>
  <c r="AL1985" i="1"/>
  <c r="A1986" i="1"/>
  <c r="B1986" i="1"/>
  <c r="C1986" i="1"/>
  <c r="G1986" i="1"/>
  <c r="H1986" i="1"/>
  <c r="I1986" i="1"/>
  <c r="J1986" i="1"/>
  <c r="K1986" i="1"/>
  <c r="M1986" i="1"/>
  <c r="N1986" i="1"/>
  <c r="P1986" i="1"/>
  <c r="Q1986" i="1"/>
  <c r="R1986" i="1"/>
  <c r="S1986" i="1"/>
  <c r="T1986" i="1"/>
  <c r="Z1986" i="1"/>
  <c r="AL1986" i="1"/>
  <c r="A1987" i="1"/>
  <c r="B1987" i="1"/>
  <c r="C1987" i="1"/>
  <c r="G1987" i="1"/>
  <c r="H1987" i="1"/>
  <c r="I1987" i="1"/>
  <c r="J1987" i="1"/>
  <c r="K1987" i="1"/>
  <c r="M1987" i="1"/>
  <c r="N1987" i="1"/>
  <c r="P1987" i="1"/>
  <c r="Q1987" i="1"/>
  <c r="R1987" i="1"/>
  <c r="S1987" i="1"/>
  <c r="T1987" i="1"/>
  <c r="Z1987" i="1"/>
  <c r="AL1987" i="1"/>
  <c r="A1988" i="1"/>
  <c r="B1988" i="1"/>
  <c r="C1988" i="1"/>
  <c r="G1988" i="1"/>
  <c r="H1988" i="1"/>
  <c r="I1988" i="1"/>
  <c r="J1988" i="1"/>
  <c r="K1988" i="1"/>
  <c r="M1988" i="1"/>
  <c r="N1988" i="1"/>
  <c r="P1988" i="1"/>
  <c r="Q1988" i="1"/>
  <c r="R1988" i="1"/>
  <c r="S1988" i="1"/>
  <c r="T1988" i="1"/>
  <c r="Z1988" i="1"/>
  <c r="AL1988" i="1"/>
  <c r="A1989" i="1"/>
  <c r="B1989" i="1"/>
  <c r="C1989" i="1"/>
  <c r="G1989" i="1"/>
  <c r="H1989" i="1"/>
  <c r="I1989" i="1"/>
  <c r="J1989" i="1"/>
  <c r="K1989" i="1"/>
  <c r="M1989" i="1"/>
  <c r="N1989" i="1"/>
  <c r="P1989" i="1"/>
  <c r="Q1989" i="1"/>
  <c r="R1989" i="1"/>
  <c r="S1989" i="1"/>
  <c r="T1989" i="1"/>
  <c r="Z1989" i="1"/>
  <c r="AL1989" i="1"/>
  <c r="A1990" i="1"/>
  <c r="B1990" i="1"/>
  <c r="C1990" i="1"/>
  <c r="G1990" i="1"/>
  <c r="H1990" i="1"/>
  <c r="I1990" i="1"/>
  <c r="J1990" i="1"/>
  <c r="K1990" i="1"/>
  <c r="M1990" i="1"/>
  <c r="N1990" i="1"/>
  <c r="P1990" i="1"/>
  <c r="Q1990" i="1"/>
  <c r="R1990" i="1"/>
  <c r="S1990" i="1"/>
  <c r="T1990" i="1"/>
  <c r="AL1990" i="1"/>
  <c r="A1991" i="1"/>
  <c r="B1991" i="1"/>
  <c r="C1991" i="1"/>
  <c r="G1991" i="1"/>
  <c r="H1991" i="1"/>
  <c r="I1991" i="1"/>
  <c r="J1991" i="1"/>
  <c r="K1991" i="1"/>
  <c r="M1991" i="1"/>
  <c r="N1991" i="1"/>
  <c r="P1991" i="1"/>
  <c r="Q1991" i="1"/>
  <c r="R1991" i="1"/>
  <c r="S1991" i="1"/>
  <c r="T1991" i="1"/>
  <c r="Z1991" i="1"/>
  <c r="AL1991" i="1"/>
  <c r="A1992" i="1"/>
  <c r="B1992" i="1"/>
  <c r="C1992" i="1"/>
  <c r="G1992" i="1"/>
  <c r="H1992" i="1"/>
  <c r="I1992" i="1"/>
  <c r="J1992" i="1"/>
  <c r="K1992" i="1"/>
  <c r="M1992" i="1"/>
  <c r="N1992" i="1"/>
  <c r="P1992" i="1"/>
  <c r="Q1992" i="1"/>
  <c r="R1992" i="1"/>
  <c r="S1992" i="1"/>
  <c r="T1992" i="1"/>
  <c r="Z1992" i="1"/>
  <c r="AL1992" i="1"/>
  <c r="A1993" i="1"/>
  <c r="B1993" i="1"/>
  <c r="C1993" i="1"/>
  <c r="G1993" i="1"/>
  <c r="H1993" i="1"/>
  <c r="I1993" i="1"/>
  <c r="J1993" i="1"/>
  <c r="K1993" i="1"/>
  <c r="M1993" i="1"/>
  <c r="N1993" i="1"/>
  <c r="P1993" i="1"/>
  <c r="Q1993" i="1"/>
  <c r="R1993" i="1"/>
  <c r="S1993" i="1"/>
  <c r="T1993" i="1"/>
  <c r="Z1993" i="1"/>
  <c r="AL1993" i="1"/>
  <c r="A1994" i="1"/>
  <c r="B1994" i="1"/>
  <c r="C1994" i="1"/>
  <c r="G1994" i="1"/>
  <c r="H1994" i="1"/>
  <c r="I1994" i="1"/>
  <c r="J1994" i="1"/>
  <c r="K1994" i="1"/>
  <c r="M1994" i="1"/>
  <c r="N1994" i="1"/>
  <c r="P1994" i="1"/>
  <c r="Q1994" i="1"/>
  <c r="R1994" i="1"/>
  <c r="S1994" i="1"/>
  <c r="T1994" i="1"/>
  <c r="Z1994" i="1"/>
  <c r="AL1994" i="1"/>
  <c r="A1995" i="1"/>
  <c r="B1995" i="1"/>
  <c r="C1995" i="1"/>
  <c r="G1995" i="1"/>
  <c r="H1995" i="1"/>
  <c r="I1995" i="1"/>
  <c r="J1995" i="1"/>
  <c r="K1995" i="1"/>
  <c r="M1995" i="1"/>
  <c r="N1995" i="1"/>
  <c r="P1995" i="1"/>
  <c r="Q1995" i="1"/>
  <c r="R1995" i="1"/>
  <c r="S1995" i="1"/>
  <c r="T1995" i="1"/>
  <c r="Z1995" i="1"/>
  <c r="AL1995" i="1"/>
  <c r="A1996" i="1"/>
  <c r="B1996" i="1"/>
  <c r="C1996" i="1"/>
  <c r="G1996" i="1"/>
  <c r="H1996" i="1"/>
  <c r="I1996" i="1"/>
  <c r="J1996" i="1"/>
  <c r="K1996" i="1"/>
  <c r="M1996" i="1"/>
  <c r="N1996" i="1"/>
  <c r="P1996" i="1"/>
  <c r="Q1996" i="1"/>
  <c r="R1996" i="1"/>
  <c r="S1996" i="1"/>
  <c r="T1996" i="1"/>
  <c r="Z1996" i="1"/>
  <c r="AL1996" i="1"/>
  <c r="A1997" i="1"/>
  <c r="B1997" i="1"/>
  <c r="C1997" i="1"/>
  <c r="G1997" i="1"/>
  <c r="H1997" i="1"/>
  <c r="I1997" i="1"/>
  <c r="J1997" i="1"/>
  <c r="K1997" i="1"/>
  <c r="M1997" i="1"/>
  <c r="N1997" i="1"/>
  <c r="P1997" i="1"/>
  <c r="Q1997" i="1"/>
  <c r="R1997" i="1"/>
  <c r="S1997" i="1"/>
  <c r="T1997" i="1"/>
  <c r="Z1997" i="1"/>
  <c r="AL1997" i="1"/>
  <c r="A1998" i="1"/>
  <c r="B1998" i="1"/>
  <c r="C1998" i="1"/>
  <c r="G1998" i="1"/>
  <c r="H1998" i="1"/>
  <c r="I1998" i="1"/>
  <c r="J1998" i="1"/>
  <c r="K1998" i="1"/>
  <c r="M1998" i="1"/>
  <c r="N1998" i="1"/>
  <c r="P1998" i="1"/>
  <c r="Q1998" i="1"/>
  <c r="R1998" i="1"/>
  <c r="S1998" i="1"/>
  <c r="T1998" i="1"/>
  <c r="Z1998" i="1"/>
  <c r="AL1998" i="1"/>
  <c r="A1999" i="1"/>
  <c r="B1999" i="1"/>
  <c r="C1999" i="1"/>
  <c r="G1999" i="1"/>
  <c r="H1999" i="1"/>
  <c r="I1999" i="1"/>
  <c r="J1999" i="1"/>
  <c r="K1999" i="1"/>
  <c r="M1999" i="1"/>
  <c r="N1999" i="1"/>
  <c r="P1999" i="1"/>
  <c r="Q1999" i="1"/>
  <c r="R1999" i="1"/>
  <c r="S1999" i="1"/>
  <c r="T1999" i="1"/>
  <c r="Z1999" i="1"/>
  <c r="AL1999" i="1"/>
  <c r="A2000" i="1"/>
  <c r="B2000" i="1"/>
  <c r="C2000" i="1"/>
  <c r="G2000" i="1"/>
  <c r="H2000" i="1"/>
  <c r="I2000" i="1"/>
  <c r="J2000" i="1"/>
  <c r="K2000" i="1"/>
  <c r="M2000" i="1"/>
  <c r="N2000" i="1"/>
  <c r="P2000" i="1"/>
  <c r="Q2000" i="1"/>
  <c r="R2000" i="1"/>
  <c r="S2000" i="1"/>
  <c r="T2000" i="1"/>
  <c r="Z2000" i="1"/>
  <c r="AL2000" i="1"/>
  <c r="A2001" i="1"/>
  <c r="B2001" i="1"/>
  <c r="C2001" i="1"/>
  <c r="G2001" i="1"/>
  <c r="H2001" i="1"/>
  <c r="I2001" i="1"/>
  <c r="J2001" i="1"/>
  <c r="K2001" i="1"/>
  <c r="M2001" i="1"/>
  <c r="N2001" i="1"/>
  <c r="P2001" i="1"/>
  <c r="Q2001" i="1"/>
  <c r="R2001" i="1"/>
  <c r="S2001" i="1"/>
  <c r="T2001" i="1"/>
  <c r="Z2001" i="1"/>
  <c r="AL2001" i="1"/>
  <c r="A2002" i="1"/>
  <c r="B2002" i="1"/>
  <c r="C2002" i="1"/>
  <c r="G2002" i="1"/>
  <c r="H2002" i="1"/>
  <c r="I2002" i="1"/>
  <c r="J2002" i="1"/>
  <c r="K2002" i="1"/>
  <c r="M2002" i="1"/>
  <c r="N2002" i="1"/>
  <c r="P2002" i="1"/>
  <c r="Q2002" i="1"/>
  <c r="R2002" i="1"/>
  <c r="S2002" i="1"/>
  <c r="T2002" i="1"/>
  <c r="Z2002" i="1"/>
  <c r="AL2002" i="1"/>
  <c r="A2003" i="1"/>
  <c r="B2003" i="1"/>
  <c r="C2003" i="1"/>
  <c r="G2003" i="1"/>
  <c r="H2003" i="1"/>
  <c r="I2003" i="1"/>
  <c r="J2003" i="1"/>
  <c r="K2003" i="1"/>
  <c r="M2003" i="1"/>
  <c r="N2003" i="1"/>
  <c r="P2003" i="1"/>
  <c r="Q2003" i="1"/>
  <c r="R2003" i="1"/>
  <c r="S2003" i="1"/>
  <c r="T2003" i="1"/>
  <c r="Z2003" i="1"/>
  <c r="AL2003" i="1"/>
  <c r="A2004" i="1"/>
  <c r="B2004" i="1"/>
  <c r="C2004" i="1"/>
  <c r="G2004" i="1"/>
  <c r="H2004" i="1"/>
  <c r="I2004" i="1"/>
  <c r="J2004" i="1"/>
  <c r="K2004" i="1"/>
  <c r="M2004" i="1"/>
  <c r="N2004" i="1"/>
  <c r="P2004" i="1"/>
  <c r="Q2004" i="1"/>
  <c r="R2004" i="1"/>
  <c r="S2004" i="1"/>
  <c r="T2004" i="1"/>
  <c r="Z2004" i="1"/>
  <c r="AL2004" i="1"/>
  <c r="A2005" i="1"/>
  <c r="B2005" i="1"/>
  <c r="C2005" i="1"/>
  <c r="G2005" i="1"/>
  <c r="H2005" i="1"/>
  <c r="I2005" i="1"/>
  <c r="J2005" i="1"/>
  <c r="K2005" i="1"/>
  <c r="M2005" i="1"/>
  <c r="N2005" i="1"/>
  <c r="P2005" i="1"/>
  <c r="Q2005" i="1"/>
  <c r="R2005" i="1"/>
  <c r="S2005" i="1"/>
  <c r="T2005" i="1"/>
  <c r="Z2005" i="1"/>
  <c r="AL2005" i="1"/>
  <c r="A2006" i="1"/>
  <c r="B2006" i="1"/>
  <c r="C2006" i="1"/>
  <c r="G2006" i="1"/>
  <c r="H2006" i="1"/>
  <c r="I2006" i="1"/>
  <c r="J2006" i="1"/>
  <c r="K2006" i="1"/>
  <c r="M2006" i="1"/>
  <c r="N2006" i="1"/>
  <c r="P2006" i="1"/>
  <c r="Q2006" i="1"/>
  <c r="R2006" i="1"/>
  <c r="S2006" i="1"/>
  <c r="T2006" i="1"/>
  <c r="Z2006" i="1"/>
  <c r="AL2006" i="1"/>
  <c r="A2007" i="1"/>
  <c r="B2007" i="1"/>
  <c r="C2007" i="1"/>
  <c r="G2007" i="1"/>
  <c r="H2007" i="1"/>
  <c r="I2007" i="1"/>
  <c r="J2007" i="1"/>
  <c r="K2007" i="1"/>
  <c r="P2007" i="1"/>
  <c r="Q2007" i="1"/>
  <c r="R2007" i="1"/>
  <c r="S2007" i="1"/>
  <c r="T2007" i="1"/>
  <c r="AL2007" i="1"/>
  <c r="A2008" i="1"/>
  <c r="B2008" i="1"/>
  <c r="C2008" i="1"/>
  <c r="G2008" i="1"/>
  <c r="H2008" i="1"/>
  <c r="I2008" i="1"/>
  <c r="J2008" i="1"/>
  <c r="K2008" i="1"/>
  <c r="M2008" i="1"/>
  <c r="N2008" i="1"/>
  <c r="P2008" i="1"/>
  <c r="Q2008" i="1"/>
  <c r="R2008" i="1"/>
  <c r="S2008" i="1"/>
  <c r="T2008" i="1"/>
  <c r="Z2008" i="1"/>
  <c r="AL2008" i="1"/>
  <c r="A2009" i="1"/>
  <c r="B2009" i="1"/>
  <c r="C2009" i="1"/>
  <c r="G2009" i="1"/>
  <c r="H2009" i="1"/>
  <c r="I2009" i="1"/>
  <c r="J2009" i="1"/>
  <c r="K2009" i="1"/>
  <c r="P2009" i="1"/>
  <c r="Q2009" i="1"/>
  <c r="R2009" i="1"/>
  <c r="S2009" i="1"/>
  <c r="T2009" i="1"/>
  <c r="Z2009" i="1"/>
  <c r="AL2009" i="1"/>
  <c r="A2010" i="1"/>
  <c r="B2010" i="1"/>
  <c r="C2010" i="1"/>
  <c r="G2010" i="1"/>
  <c r="H2010" i="1"/>
  <c r="I2010" i="1"/>
  <c r="J2010" i="1"/>
  <c r="K2010" i="1"/>
  <c r="M2010" i="1"/>
  <c r="N2010" i="1"/>
  <c r="P2010" i="1"/>
  <c r="Q2010" i="1"/>
  <c r="R2010" i="1"/>
  <c r="S2010" i="1"/>
  <c r="T2010" i="1"/>
  <c r="Z2010" i="1"/>
  <c r="AL2010" i="1"/>
  <c r="A2011" i="1"/>
  <c r="B2011" i="1"/>
  <c r="C2011" i="1"/>
  <c r="G2011" i="1"/>
  <c r="H2011" i="1"/>
  <c r="I2011" i="1"/>
  <c r="J2011" i="1"/>
  <c r="K2011" i="1"/>
  <c r="M2011" i="1"/>
  <c r="N2011" i="1"/>
  <c r="P2011" i="1"/>
  <c r="Q2011" i="1"/>
  <c r="R2011" i="1"/>
  <c r="S2011" i="1"/>
  <c r="T2011" i="1"/>
  <c r="Z2011" i="1"/>
  <c r="AL2011" i="1"/>
  <c r="A2012" i="1"/>
  <c r="B2012" i="1"/>
  <c r="C2012" i="1"/>
  <c r="G2012" i="1"/>
  <c r="H2012" i="1"/>
  <c r="I2012" i="1"/>
  <c r="J2012" i="1"/>
  <c r="K2012" i="1"/>
  <c r="M2012" i="1"/>
  <c r="N2012" i="1"/>
  <c r="P2012" i="1"/>
  <c r="Q2012" i="1"/>
  <c r="R2012" i="1"/>
  <c r="S2012" i="1"/>
  <c r="T2012" i="1"/>
  <c r="Z2012" i="1"/>
  <c r="AL2012" i="1"/>
  <c r="A2013" i="1"/>
  <c r="B2013" i="1"/>
  <c r="C2013" i="1"/>
  <c r="G2013" i="1"/>
  <c r="H2013" i="1"/>
  <c r="I2013" i="1"/>
  <c r="J2013" i="1"/>
  <c r="K2013" i="1"/>
  <c r="M2013" i="1"/>
  <c r="N2013" i="1"/>
  <c r="P2013" i="1"/>
  <c r="Q2013" i="1"/>
  <c r="R2013" i="1"/>
  <c r="S2013" i="1"/>
  <c r="T2013" i="1"/>
  <c r="Z2013" i="1"/>
  <c r="AL2013" i="1"/>
  <c r="A2014" i="1"/>
  <c r="B2014" i="1"/>
  <c r="C2014" i="1"/>
  <c r="G2014" i="1"/>
  <c r="H2014" i="1"/>
  <c r="I2014" i="1"/>
  <c r="J2014" i="1"/>
  <c r="K2014" i="1"/>
  <c r="M2014" i="1"/>
  <c r="N2014" i="1"/>
  <c r="P2014" i="1"/>
  <c r="Q2014" i="1"/>
  <c r="R2014" i="1"/>
  <c r="S2014" i="1"/>
  <c r="T2014" i="1"/>
  <c r="Z2014" i="1"/>
  <c r="AL2014" i="1"/>
  <c r="A2015" i="1"/>
  <c r="B2015" i="1"/>
  <c r="C2015" i="1"/>
  <c r="G2015" i="1"/>
  <c r="H2015" i="1"/>
  <c r="I2015" i="1"/>
  <c r="J2015" i="1"/>
  <c r="K2015" i="1"/>
  <c r="M2015" i="1"/>
  <c r="N2015" i="1"/>
  <c r="P2015" i="1"/>
  <c r="Q2015" i="1"/>
  <c r="R2015" i="1"/>
  <c r="S2015" i="1"/>
  <c r="T2015" i="1"/>
  <c r="Z2015" i="1"/>
  <c r="AL2015" i="1"/>
  <c r="A2016" i="1"/>
  <c r="B2016" i="1"/>
  <c r="C2016" i="1"/>
  <c r="G2016" i="1"/>
  <c r="H2016" i="1"/>
  <c r="I2016" i="1"/>
  <c r="J2016" i="1"/>
  <c r="K2016" i="1"/>
  <c r="M2016" i="1"/>
  <c r="N2016" i="1"/>
  <c r="P2016" i="1"/>
  <c r="Q2016" i="1"/>
  <c r="R2016" i="1"/>
  <c r="S2016" i="1"/>
  <c r="T2016" i="1"/>
  <c r="Z2016" i="1"/>
  <c r="AL2016" i="1"/>
  <c r="A2017" i="1"/>
  <c r="B2017" i="1"/>
  <c r="C2017" i="1"/>
  <c r="G2017" i="1"/>
  <c r="H2017" i="1"/>
  <c r="I2017" i="1"/>
  <c r="J2017" i="1"/>
  <c r="K2017" i="1"/>
  <c r="M2017" i="1"/>
  <c r="N2017" i="1"/>
  <c r="P2017" i="1"/>
  <c r="Q2017" i="1"/>
  <c r="R2017" i="1"/>
  <c r="S2017" i="1"/>
  <c r="T2017" i="1"/>
  <c r="Z2017" i="1"/>
  <c r="AL2017" i="1"/>
  <c r="A2018" i="1"/>
  <c r="B2018" i="1"/>
  <c r="C2018" i="1"/>
  <c r="G2018" i="1"/>
  <c r="H2018" i="1"/>
  <c r="I2018" i="1"/>
  <c r="J2018" i="1"/>
  <c r="K2018" i="1"/>
  <c r="M2018" i="1"/>
  <c r="N2018" i="1"/>
  <c r="P2018" i="1"/>
  <c r="Q2018" i="1"/>
  <c r="R2018" i="1"/>
  <c r="S2018" i="1"/>
  <c r="T2018" i="1"/>
  <c r="Z2018" i="1"/>
  <c r="AL2018" i="1"/>
  <c r="A2019" i="1"/>
  <c r="B2019" i="1"/>
  <c r="C2019" i="1"/>
  <c r="G2019" i="1"/>
  <c r="H2019" i="1"/>
  <c r="I2019" i="1"/>
  <c r="J2019" i="1"/>
  <c r="K2019" i="1"/>
  <c r="M2019" i="1"/>
  <c r="N2019" i="1"/>
  <c r="P2019" i="1"/>
  <c r="Q2019" i="1"/>
  <c r="R2019" i="1"/>
  <c r="S2019" i="1"/>
  <c r="T2019" i="1"/>
  <c r="Z2019" i="1"/>
  <c r="AL2019" i="1"/>
  <c r="A2020" i="1"/>
  <c r="B2020" i="1"/>
  <c r="C2020" i="1"/>
  <c r="G2020" i="1"/>
  <c r="H2020" i="1"/>
  <c r="I2020" i="1"/>
  <c r="J2020" i="1"/>
  <c r="K2020" i="1"/>
  <c r="M2020" i="1"/>
  <c r="N2020" i="1"/>
  <c r="P2020" i="1"/>
  <c r="Q2020" i="1"/>
  <c r="R2020" i="1"/>
  <c r="S2020" i="1"/>
  <c r="T2020" i="1"/>
  <c r="Z2020" i="1"/>
  <c r="AL2020" i="1"/>
  <c r="A2021" i="1"/>
  <c r="B2021" i="1"/>
  <c r="C2021" i="1"/>
  <c r="G2021" i="1"/>
  <c r="H2021" i="1"/>
  <c r="I2021" i="1"/>
  <c r="J2021" i="1"/>
  <c r="K2021" i="1"/>
  <c r="M2021" i="1"/>
  <c r="N2021" i="1"/>
  <c r="P2021" i="1"/>
  <c r="Q2021" i="1"/>
  <c r="R2021" i="1"/>
  <c r="S2021" i="1"/>
  <c r="T2021" i="1"/>
  <c r="Z2021" i="1"/>
  <c r="AL2021" i="1"/>
  <c r="A2022" i="1"/>
  <c r="B2022" i="1"/>
  <c r="C2022" i="1"/>
  <c r="G2022" i="1"/>
  <c r="H2022" i="1"/>
  <c r="I2022" i="1"/>
  <c r="J2022" i="1"/>
  <c r="K2022" i="1"/>
  <c r="M2022" i="1"/>
  <c r="N2022" i="1"/>
  <c r="P2022" i="1"/>
  <c r="Q2022" i="1"/>
  <c r="R2022" i="1"/>
  <c r="S2022" i="1"/>
  <c r="T2022" i="1"/>
  <c r="Z2022" i="1"/>
  <c r="AL2022" i="1"/>
  <c r="A2023" i="1"/>
  <c r="B2023" i="1"/>
  <c r="C2023" i="1"/>
  <c r="G2023" i="1"/>
  <c r="H2023" i="1"/>
  <c r="I2023" i="1"/>
  <c r="J2023" i="1"/>
  <c r="K2023" i="1"/>
  <c r="M2023" i="1"/>
  <c r="N2023" i="1"/>
  <c r="P2023" i="1"/>
  <c r="Q2023" i="1"/>
  <c r="R2023" i="1"/>
  <c r="S2023" i="1"/>
  <c r="T2023" i="1"/>
  <c r="Z2023" i="1"/>
  <c r="AL2023" i="1"/>
  <c r="A2024" i="1"/>
  <c r="B2024" i="1"/>
  <c r="C2024" i="1"/>
  <c r="G2024" i="1"/>
  <c r="H2024" i="1"/>
  <c r="I2024" i="1"/>
  <c r="J2024" i="1"/>
  <c r="K2024" i="1"/>
  <c r="M2024" i="1"/>
  <c r="N2024" i="1"/>
  <c r="P2024" i="1"/>
  <c r="Q2024" i="1"/>
  <c r="R2024" i="1"/>
  <c r="S2024" i="1"/>
  <c r="T2024" i="1"/>
  <c r="Z2024" i="1"/>
  <c r="AL2024" i="1"/>
  <c r="A2025" i="1"/>
  <c r="B2025" i="1"/>
  <c r="C2025" i="1"/>
  <c r="G2025" i="1"/>
  <c r="H2025" i="1"/>
  <c r="I2025" i="1"/>
  <c r="J2025" i="1"/>
  <c r="K2025" i="1"/>
  <c r="M2025" i="1"/>
  <c r="N2025" i="1"/>
  <c r="P2025" i="1"/>
  <c r="Q2025" i="1"/>
  <c r="R2025" i="1"/>
  <c r="S2025" i="1"/>
  <c r="T2025" i="1"/>
  <c r="Z2025" i="1"/>
  <c r="AL2025" i="1"/>
  <c r="A2026" i="1"/>
  <c r="B2026" i="1"/>
  <c r="C2026" i="1"/>
  <c r="G2026" i="1"/>
  <c r="H2026" i="1"/>
  <c r="I2026" i="1"/>
  <c r="J2026" i="1"/>
  <c r="K2026" i="1"/>
  <c r="M2026" i="1"/>
  <c r="N2026" i="1"/>
  <c r="P2026" i="1"/>
  <c r="Q2026" i="1"/>
  <c r="R2026" i="1"/>
  <c r="S2026" i="1"/>
  <c r="T2026" i="1"/>
  <c r="Z2026" i="1"/>
  <c r="AL2026" i="1"/>
  <c r="A2027" i="1"/>
  <c r="B2027" i="1"/>
  <c r="C2027" i="1"/>
  <c r="G2027" i="1"/>
  <c r="H2027" i="1"/>
  <c r="I2027" i="1"/>
  <c r="J2027" i="1"/>
  <c r="K2027" i="1"/>
  <c r="M2027" i="1"/>
  <c r="N2027" i="1"/>
  <c r="P2027" i="1"/>
  <c r="Q2027" i="1"/>
  <c r="R2027" i="1"/>
  <c r="S2027" i="1"/>
  <c r="T2027" i="1"/>
  <c r="Z2027" i="1"/>
  <c r="AL2027" i="1"/>
  <c r="A2028" i="1"/>
  <c r="B2028" i="1"/>
  <c r="C2028" i="1"/>
  <c r="G2028" i="1"/>
  <c r="H2028" i="1"/>
  <c r="I2028" i="1"/>
  <c r="J2028" i="1"/>
  <c r="K2028" i="1"/>
  <c r="M2028" i="1"/>
  <c r="N2028" i="1"/>
  <c r="P2028" i="1"/>
  <c r="Q2028" i="1"/>
  <c r="R2028" i="1"/>
  <c r="S2028" i="1"/>
  <c r="T2028" i="1"/>
  <c r="Z2028" i="1"/>
  <c r="AL2028" i="1"/>
  <c r="A2029" i="1"/>
  <c r="B2029" i="1"/>
  <c r="C2029" i="1"/>
  <c r="G2029" i="1"/>
  <c r="H2029" i="1"/>
  <c r="I2029" i="1"/>
  <c r="J2029" i="1"/>
  <c r="K2029" i="1"/>
  <c r="M2029" i="1"/>
  <c r="N2029" i="1"/>
  <c r="P2029" i="1"/>
  <c r="Q2029" i="1"/>
  <c r="R2029" i="1"/>
  <c r="S2029" i="1"/>
  <c r="T2029" i="1"/>
  <c r="AL2029" i="1"/>
  <c r="A2030" i="1"/>
  <c r="B2030" i="1"/>
  <c r="C2030" i="1"/>
  <c r="G2030" i="1"/>
  <c r="H2030" i="1"/>
  <c r="I2030" i="1"/>
  <c r="J2030" i="1"/>
  <c r="K2030" i="1"/>
  <c r="M2030" i="1"/>
  <c r="N2030" i="1"/>
  <c r="P2030" i="1"/>
  <c r="Q2030" i="1"/>
  <c r="R2030" i="1"/>
  <c r="S2030" i="1"/>
  <c r="T2030" i="1"/>
  <c r="Z2030" i="1"/>
  <c r="AL2030" i="1"/>
  <c r="A2031" i="1"/>
  <c r="B2031" i="1"/>
  <c r="C2031" i="1"/>
  <c r="G2031" i="1"/>
  <c r="H2031" i="1"/>
  <c r="I2031" i="1"/>
  <c r="J2031" i="1"/>
  <c r="K2031" i="1"/>
  <c r="P2031" i="1"/>
  <c r="Q2031" i="1"/>
  <c r="R2031" i="1"/>
  <c r="S2031" i="1"/>
  <c r="T2031" i="1"/>
  <c r="Z2031" i="1"/>
  <c r="AL2031" i="1"/>
  <c r="A2032" i="1"/>
  <c r="B2032" i="1"/>
  <c r="C2032" i="1"/>
  <c r="G2032" i="1"/>
  <c r="H2032" i="1"/>
  <c r="I2032" i="1"/>
  <c r="J2032" i="1"/>
  <c r="K2032" i="1"/>
  <c r="M2032" i="1"/>
  <c r="N2032" i="1"/>
  <c r="P2032" i="1"/>
  <c r="Q2032" i="1"/>
  <c r="R2032" i="1"/>
  <c r="S2032" i="1"/>
  <c r="T2032" i="1"/>
  <c r="Z2032" i="1"/>
  <c r="AL2032" i="1"/>
  <c r="A2033" i="1"/>
  <c r="B2033" i="1"/>
  <c r="C2033" i="1"/>
  <c r="G2033" i="1"/>
  <c r="H2033" i="1"/>
  <c r="I2033" i="1"/>
  <c r="J2033" i="1"/>
  <c r="K2033" i="1"/>
  <c r="P2033" i="1"/>
  <c r="Q2033" i="1"/>
  <c r="R2033" i="1"/>
  <c r="S2033" i="1"/>
  <c r="T2033" i="1"/>
  <c r="Z2033" i="1"/>
  <c r="AL2033" i="1"/>
  <c r="A2034" i="1"/>
  <c r="B2034" i="1"/>
  <c r="C2034" i="1"/>
  <c r="G2034" i="1"/>
  <c r="H2034" i="1"/>
  <c r="I2034" i="1"/>
  <c r="J2034" i="1"/>
  <c r="K2034" i="1"/>
  <c r="M2034" i="1"/>
  <c r="N2034" i="1"/>
  <c r="P2034" i="1"/>
  <c r="Q2034" i="1"/>
  <c r="R2034" i="1"/>
  <c r="S2034" i="1"/>
  <c r="T2034" i="1"/>
  <c r="Z2034" i="1"/>
  <c r="AL2034" i="1"/>
  <c r="A2035" i="1"/>
  <c r="B2035" i="1"/>
  <c r="C2035" i="1"/>
  <c r="G2035" i="1"/>
  <c r="H2035" i="1"/>
  <c r="I2035" i="1"/>
  <c r="J2035" i="1"/>
  <c r="K2035" i="1"/>
  <c r="M2035" i="1"/>
  <c r="N2035" i="1"/>
  <c r="P2035" i="1"/>
  <c r="Q2035" i="1"/>
  <c r="R2035" i="1"/>
  <c r="S2035" i="1"/>
  <c r="T2035" i="1"/>
  <c r="Z2035" i="1"/>
  <c r="AL2035" i="1"/>
  <c r="A2036" i="1"/>
  <c r="B2036" i="1"/>
  <c r="C2036" i="1"/>
  <c r="G2036" i="1"/>
  <c r="H2036" i="1"/>
  <c r="I2036" i="1"/>
  <c r="J2036" i="1"/>
  <c r="K2036" i="1"/>
  <c r="M2036" i="1"/>
  <c r="N2036" i="1"/>
  <c r="P2036" i="1"/>
  <c r="Q2036" i="1"/>
  <c r="R2036" i="1"/>
  <c r="S2036" i="1"/>
  <c r="T2036" i="1"/>
  <c r="Z2036" i="1"/>
  <c r="AL2036" i="1"/>
  <c r="A2037" i="1"/>
  <c r="B2037" i="1"/>
  <c r="C2037" i="1"/>
  <c r="G2037" i="1"/>
  <c r="H2037" i="1"/>
  <c r="I2037" i="1"/>
  <c r="J2037" i="1"/>
  <c r="K2037" i="1"/>
  <c r="M2037" i="1"/>
  <c r="N2037" i="1"/>
  <c r="P2037" i="1"/>
  <c r="Q2037" i="1"/>
  <c r="R2037" i="1"/>
  <c r="S2037" i="1"/>
  <c r="T2037" i="1"/>
  <c r="Z2037" i="1"/>
  <c r="AL2037" i="1"/>
  <c r="A2038" i="1"/>
  <c r="B2038" i="1"/>
  <c r="C2038" i="1"/>
  <c r="G2038" i="1"/>
  <c r="H2038" i="1"/>
  <c r="I2038" i="1"/>
  <c r="J2038" i="1"/>
  <c r="K2038" i="1"/>
  <c r="M2038" i="1"/>
  <c r="N2038" i="1"/>
  <c r="P2038" i="1"/>
  <c r="Q2038" i="1"/>
  <c r="R2038" i="1"/>
  <c r="S2038" i="1"/>
  <c r="T2038" i="1"/>
  <c r="Z2038" i="1"/>
  <c r="AL2038" i="1"/>
  <c r="A2039" i="1"/>
  <c r="B2039" i="1"/>
  <c r="C2039" i="1"/>
  <c r="G2039" i="1"/>
  <c r="H2039" i="1"/>
  <c r="I2039" i="1"/>
  <c r="J2039" i="1"/>
  <c r="K2039" i="1"/>
  <c r="M2039" i="1"/>
  <c r="N2039" i="1"/>
  <c r="P2039" i="1"/>
  <c r="Q2039" i="1"/>
  <c r="R2039" i="1"/>
  <c r="S2039" i="1"/>
  <c r="T2039" i="1"/>
  <c r="Z2039" i="1"/>
  <c r="AL2039" i="1"/>
  <c r="A2040" i="1"/>
  <c r="B2040" i="1"/>
  <c r="C2040" i="1"/>
  <c r="G2040" i="1"/>
  <c r="H2040" i="1"/>
  <c r="I2040" i="1"/>
  <c r="J2040" i="1"/>
  <c r="K2040" i="1"/>
  <c r="P2040" i="1"/>
  <c r="Q2040" i="1"/>
  <c r="R2040" i="1"/>
  <c r="S2040" i="1"/>
  <c r="T2040" i="1"/>
  <c r="Z2040" i="1"/>
  <c r="AL2040" i="1"/>
  <c r="A2041" i="1"/>
  <c r="B2041" i="1"/>
  <c r="C2041" i="1"/>
  <c r="G2041" i="1"/>
  <c r="H2041" i="1"/>
  <c r="I2041" i="1"/>
  <c r="J2041" i="1"/>
  <c r="K2041" i="1"/>
  <c r="M2041" i="1"/>
  <c r="N2041" i="1"/>
  <c r="P2041" i="1"/>
  <c r="Q2041" i="1"/>
  <c r="R2041" i="1"/>
  <c r="S2041" i="1"/>
  <c r="T2041" i="1"/>
  <c r="Z2041" i="1"/>
  <c r="AL2041" i="1"/>
  <c r="A2042" i="1"/>
  <c r="B2042" i="1"/>
  <c r="C2042" i="1"/>
  <c r="G2042" i="1"/>
  <c r="H2042" i="1"/>
  <c r="I2042" i="1"/>
  <c r="J2042" i="1"/>
  <c r="K2042" i="1"/>
  <c r="M2042" i="1"/>
  <c r="N2042" i="1"/>
  <c r="P2042" i="1"/>
  <c r="Q2042" i="1"/>
  <c r="R2042" i="1"/>
  <c r="S2042" i="1"/>
  <c r="T2042" i="1"/>
  <c r="Z2042" i="1"/>
  <c r="AL2042" i="1"/>
  <c r="A2043" i="1"/>
  <c r="B2043" i="1"/>
  <c r="C2043" i="1"/>
  <c r="G2043" i="1"/>
  <c r="H2043" i="1"/>
  <c r="I2043" i="1"/>
  <c r="J2043" i="1"/>
  <c r="K2043" i="1"/>
  <c r="M2043" i="1"/>
  <c r="N2043" i="1"/>
  <c r="P2043" i="1"/>
  <c r="Q2043" i="1"/>
  <c r="R2043" i="1"/>
  <c r="S2043" i="1"/>
  <c r="T2043" i="1"/>
  <c r="Z2043" i="1"/>
  <c r="AL2043" i="1"/>
  <c r="A2044" i="1"/>
  <c r="B2044" i="1"/>
  <c r="C2044" i="1"/>
  <c r="G2044" i="1"/>
  <c r="H2044" i="1"/>
  <c r="I2044" i="1"/>
  <c r="J2044" i="1"/>
  <c r="K2044" i="1"/>
  <c r="M2044" i="1"/>
  <c r="N2044" i="1"/>
  <c r="P2044" i="1"/>
  <c r="Q2044" i="1"/>
  <c r="R2044" i="1"/>
  <c r="S2044" i="1"/>
  <c r="T2044" i="1"/>
  <c r="Z2044" i="1"/>
  <c r="AL2044" i="1"/>
  <c r="A2045" i="1"/>
  <c r="B2045" i="1"/>
  <c r="C2045" i="1"/>
  <c r="G2045" i="1"/>
  <c r="H2045" i="1"/>
  <c r="I2045" i="1"/>
  <c r="J2045" i="1"/>
  <c r="K2045" i="1"/>
  <c r="M2045" i="1"/>
  <c r="N2045" i="1"/>
  <c r="P2045" i="1"/>
  <c r="Q2045" i="1"/>
  <c r="R2045" i="1"/>
  <c r="S2045" i="1"/>
  <c r="T2045" i="1"/>
  <c r="Z2045" i="1"/>
  <c r="AL2045" i="1"/>
  <c r="A2046" i="1"/>
  <c r="B2046" i="1"/>
  <c r="C2046" i="1"/>
  <c r="G2046" i="1"/>
  <c r="H2046" i="1"/>
  <c r="I2046" i="1"/>
  <c r="J2046" i="1"/>
  <c r="K2046" i="1"/>
  <c r="M2046" i="1"/>
  <c r="N2046" i="1"/>
  <c r="P2046" i="1"/>
  <c r="Q2046" i="1"/>
  <c r="R2046" i="1"/>
  <c r="S2046" i="1"/>
  <c r="T2046" i="1"/>
  <c r="Z2046" i="1"/>
  <c r="AL2046" i="1"/>
  <c r="A2047" i="1"/>
  <c r="B2047" i="1"/>
  <c r="C2047" i="1"/>
  <c r="G2047" i="1"/>
  <c r="H2047" i="1"/>
  <c r="I2047" i="1"/>
  <c r="J2047" i="1"/>
  <c r="K2047" i="1"/>
  <c r="M2047" i="1"/>
  <c r="N2047" i="1"/>
  <c r="P2047" i="1"/>
  <c r="Q2047" i="1"/>
  <c r="R2047" i="1"/>
  <c r="S2047" i="1"/>
  <c r="T2047" i="1"/>
  <c r="Z2047" i="1"/>
  <c r="AL2047" i="1"/>
  <c r="A2048" i="1"/>
  <c r="B2048" i="1"/>
  <c r="C2048" i="1"/>
  <c r="G2048" i="1"/>
  <c r="H2048" i="1"/>
  <c r="I2048" i="1"/>
  <c r="J2048" i="1"/>
  <c r="K2048" i="1"/>
  <c r="M2048" i="1"/>
  <c r="N2048" i="1"/>
  <c r="P2048" i="1"/>
  <c r="Q2048" i="1"/>
  <c r="R2048" i="1"/>
  <c r="S2048" i="1"/>
  <c r="T2048" i="1"/>
  <c r="Z2048" i="1"/>
  <c r="AL2048" i="1"/>
  <c r="A2049" i="1"/>
  <c r="B2049" i="1"/>
  <c r="C2049" i="1"/>
  <c r="G2049" i="1"/>
  <c r="H2049" i="1"/>
  <c r="I2049" i="1"/>
  <c r="J2049" i="1"/>
  <c r="K2049" i="1"/>
  <c r="M2049" i="1"/>
  <c r="N2049" i="1"/>
  <c r="P2049" i="1"/>
  <c r="Q2049" i="1"/>
  <c r="R2049" i="1"/>
  <c r="S2049" i="1"/>
  <c r="T2049" i="1"/>
  <c r="Z2049" i="1"/>
  <c r="AL2049" i="1"/>
  <c r="A2050" i="1"/>
  <c r="B2050" i="1"/>
  <c r="C2050" i="1"/>
  <c r="G2050" i="1"/>
  <c r="H2050" i="1"/>
  <c r="I2050" i="1"/>
  <c r="J2050" i="1"/>
  <c r="K2050" i="1"/>
  <c r="M2050" i="1"/>
  <c r="N2050" i="1"/>
  <c r="P2050" i="1"/>
  <c r="Q2050" i="1"/>
  <c r="R2050" i="1"/>
  <c r="S2050" i="1"/>
  <c r="T2050" i="1"/>
  <c r="Z2050" i="1"/>
  <c r="AL2050" i="1"/>
  <c r="A2051" i="1"/>
  <c r="B2051" i="1"/>
  <c r="C2051" i="1"/>
  <c r="G2051" i="1"/>
  <c r="H2051" i="1"/>
  <c r="I2051" i="1"/>
  <c r="J2051" i="1"/>
  <c r="K2051" i="1"/>
  <c r="M2051" i="1"/>
  <c r="N2051" i="1"/>
  <c r="P2051" i="1"/>
  <c r="Q2051" i="1"/>
  <c r="R2051" i="1"/>
  <c r="S2051" i="1"/>
  <c r="T2051" i="1"/>
  <c r="AL2051" i="1"/>
  <c r="A2052" i="1"/>
  <c r="B2052" i="1"/>
  <c r="C2052" i="1"/>
  <c r="G2052" i="1"/>
  <c r="H2052" i="1"/>
  <c r="I2052" i="1"/>
  <c r="J2052" i="1"/>
  <c r="K2052" i="1"/>
  <c r="M2052" i="1"/>
  <c r="N2052" i="1"/>
  <c r="P2052" i="1"/>
  <c r="Q2052" i="1"/>
  <c r="R2052" i="1"/>
  <c r="S2052" i="1"/>
  <c r="T2052" i="1"/>
  <c r="Z2052" i="1"/>
  <c r="AL2052" i="1"/>
  <c r="A2053" i="1"/>
  <c r="B2053" i="1"/>
  <c r="C2053" i="1"/>
  <c r="G2053" i="1"/>
  <c r="H2053" i="1"/>
  <c r="I2053" i="1"/>
  <c r="J2053" i="1"/>
  <c r="K2053" i="1"/>
  <c r="M2053" i="1"/>
  <c r="N2053" i="1"/>
  <c r="P2053" i="1"/>
  <c r="Q2053" i="1"/>
  <c r="R2053" i="1"/>
  <c r="S2053" i="1"/>
  <c r="T2053" i="1"/>
  <c r="Z2053" i="1"/>
  <c r="AL2053" i="1"/>
  <c r="A2054" i="1"/>
  <c r="B2054" i="1"/>
  <c r="C2054" i="1"/>
  <c r="G2054" i="1"/>
  <c r="H2054" i="1"/>
  <c r="I2054" i="1"/>
  <c r="J2054" i="1"/>
  <c r="K2054" i="1"/>
  <c r="M2054" i="1"/>
  <c r="N2054" i="1"/>
  <c r="P2054" i="1"/>
  <c r="Q2054" i="1"/>
  <c r="R2054" i="1"/>
  <c r="S2054" i="1"/>
  <c r="T2054" i="1"/>
  <c r="Z2054" i="1"/>
  <c r="AL2054" i="1"/>
  <c r="A2055" i="1"/>
  <c r="B2055" i="1"/>
  <c r="C2055" i="1"/>
  <c r="G2055" i="1"/>
  <c r="H2055" i="1"/>
  <c r="I2055" i="1"/>
  <c r="J2055" i="1"/>
  <c r="K2055" i="1"/>
  <c r="M2055" i="1"/>
  <c r="N2055" i="1"/>
  <c r="P2055" i="1"/>
  <c r="Q2055" i="1"/>
  <c r="R2055" i="1"/>
  <c r="S2055" i="1"/>
  <c r="T2055" i="1"/>
  <c r="Z2055" i="1"/>
  <c r="AL2055" i="1"/>
  <c r="A2056" i="1"/>
  <c r="B2056" i="1"/>
  <c r="C2056" i="1"/>
  <c r="G2056" i="1"/>
  <c r="H2056" i="1"/>
  <c r="I2056" i="1"/>
  <c r="J2056" i="1"/>
  <c r="K2056" i="1"/>
  <c r="M2056" i="1"/>
  <c r="N2056" i="1"/>
  <c r="P2056" i="1"/>
  <c r="Q2056" i="1"/>
  <c r="R2056" i="1"/>
  <c r="S2056" i="1"/>
  <c r="T2056" i="1"/>
  <c r="Z2056" i="1"/>
  <c r="AL2056" i="1"/>
  <c r="A2057" i="1"/>
  <c r="B2057" i="1"/>
  <c r="C2057" i="1"/>
  <c r="G2057" i="1"/>
  <c r="H2057" i="1"/>
  <c r="I2057" i="1"/>
  <c r="J2057" i="1"/>
  <c r="K2057" i="1"/>
  <c r="M2057" i="1"/>
  <c r="N2057" i="1"/>
  <c r="P2057" i="1"/>
  <c r="Q2057" i="1"/>
  <c r="R2057" i="1"/>
  <c r="S2057" i="1"/>
  <c r="T2057" i="1"/>
  <c r="Z2057" i="1"/>
  <c r="AL2057" i="1"/>
  <c r="A2058" i="1"/>
  <c r="B2058" i="1"/>
  <c r="C2058" i="1"/>
  <c r="G2058" i="1"/>
  <c r="H2058" i="1"/>
  <c r="I2058" i="1"/>
  <c r="J2058" i="1"/>
  <c r="K2058" i="1"/>
  <c r="M2058" i="1"/>
  <c r="N2058" i="1"/>
  <c r="P2058" i="1"/>
  <c r="Q2058" i="1"/>
  <c r="R2058" i="1"/>
  <c r="S2058" i="1"/>
  <c r="T2058" i="1"/>
  <c r="Z2058" i="1"/>
  <c r="AL2058" i="1"/>
  <c r="A2059" i="1"/>
  <c r="B2059" i="1"/>
  <c r="C2059" i="1"/>
  <c r="G2059" i="1"/>
  <c r="H2059" i="1"/>
  <c r="I2059" i="1"/>
  <c r="J2059" i="1"/>
  <c r="K2059" i="1"/>
  <c r="M2059" i="1"/>
  <c r="N2059" i="1"/>
  <c r="P2059" i="1"/>
  <c r="Q2059" i="1"/>
  <c r="R2059" i="1"/>
  <c r="S2059" i="1"/>
  <c r="T2059" i="1"/>
  <c r="Z2059" i="1"/>
  <c r="AL2059" i="1"/>
  <c r="A2060" i="1"/>
  <c r="B2060" i="1"/>
  <c r="C2060" i="1"/>
  <c r="G2060" i="1"/>
  <c r="H2060" i="1"/>
  <c r="I2060" i="1"/>
  <c r="J2060" i="1"/>
  <c r="K2060" i="1"/>
  <c r="M2060" i="1"/>
  <c r="N2060" i="1"/>
  <c r="P2060" i="1"/>
  <c r="Q2060" i="1"/>
  <c r="R2060" i="1"/>
  <c r="S2060" i="1"/>
  <c r="T2060" i="1"/>
  <c r="Z2060" i="1"/>
  <c r="AL2060" i="1"/>
  <c r="A2061" i="1"/>
  <c r="B2061" i="1"/>
  <c r="C2061" i="1"/>
  <c r="G2061" i="1"/>
  <c r="H2061" i="1"/>
  <c r="I2061" i="1"/>
  <c r="J2061" i="1"/>
  <c r="K2061" i="1"/>
  <c r="M2061" i="1"/>
  <c r="N2061" i="1"/>
  <c r="P2061" i="1"/>
  <c r="Q2061" i="1"/>
  <c r="R2061" i="1"/>
  <c r="S2061" i="1"/>
  <c r="T2061" i="1"/>
  <c r="Z2061" i="1"/>
  <c r="AL2061" i="1"/>
  <c r="A2062" i="1"/>
  <c r="B2062" i="1"/>
  <c r="C2062" i="1"/>
  <c r="G2062" i="1"/>
  <c r="H2062" i="1"/>
  <c r="I2062" i="1"/>
  <c r="J2062" i="1"/>
  <c r="K2062" i="1"/>
  <c r="M2062" i="1"/>
  <c r="N2062" i="1"/>
  <c r="P2062" i="1"/>
  <c r="Q2062" i="1"/>
  <c r="R2062" i="1"/>
  <c r="S2062" i="1"/>
  <c r="T2062" i="1"/>
  <c r="Z2062" i="1"/>
  <c r="AL2062" i="1"/>
  <c r="A2063" i="1"/>
  <c r="B2063" i="1"/>
  <c r="C2063" i="1"/>
  <c r="G2063" i="1"/>
  <c r="H2063" i="1"/>
  <c r="I2063" i="1"/>
  <c r="J2063" i="1"/>
  <c r="K2063" i="1"/>
  <c r="M2063" i="1"/>
  <c r="N2063" i="1"/>
  <c r="P2063" i="1"/>
  <c r="Q2063" i="1"/>
  <c r="R2063" i="1"/>
  <c r="S2063" i="1"/>
  <c r="T2063" i="1"/>
  <c r="Z2063" i="1"/>
  <c r="AL2063" i="1"/>
  <c r="A2064" i="1"/>
  <c r="B2064" i="1"/>
  <c r="C2064" i="1"/>
  <c r="G2064" i="1"/>
  <c r="H2064" i="1"/>
  <c r="I2064" i="1"/>
  <c r="J2064" i="1"/>
  <c r="K2064" i="1"/>
  <c r="M2064" i="1"/>
  <c r="N2064" i="1"/>
  <c r="P2064" i="1"/>
  <c r="Q2064" i="1"/>
  <c r="R2064" i="1"/>
  <c r="S2064" i="1"/>
  <c r="T2064" i="1"/>
  <c r="Z2064" i="1"/>
  <c r="AL2064" i="1"/>
  <c r="A2065" i="1"/>
  <c r="B2065" i="1"/>
  <c r="C2065" i="1"/>
  <c r="G2065" i="1"/>
  <c r="H2065" i="1"/>
  <c r="I2065" i="1"/>
  <c r="J2065" i="1"/>
  <c r="K2065" i="1"/>
  <c r="M2065" i="1"/>
  <c r="N2065" i="1"/>
  <c r="P2065" i="1"/>
  <c r="Q2065" i="1"/>
  <c r="R2065" i="1"/>
  <c r="S2065" i="1"/>
  <c r="T2065" i="1"/>
  <c r="Z2065" i="1"/>
  <c r="AL2065" i="1"/>
  <c r="A2066" i="1"/>
  <c r="B2066" i="1"/>
  <c r="C2066" i="1"/>
  <c r="G2066" i="1"/>
  <c r="H2066" i="1"/>
  <c r="I2066" i="1"/>
  <c r="J2066" i="1"/>
  <c r="K2066" i="1"/>
  <c r="M2066" i="1"/>
  <c r="N2066" i="1"/>
  <c r="P2066" i="1"/>
  <c r="Q2066" i="1"/>
  <c r="R2066" i="1"/>
  <c r="S2066" i="1"/>
  <c r="T2066" i="1"/>
  <c r="Z2066" i="1"/>
  <c r="AL2066" i="1"/>
  <c r="A2067" i="1"/>
  <c r="B2067" i="1"/>
  <c r="C2067" i="1"/>
  <c r="G2067" i="1"/>
  <c r="H2067" i="1"/>
  <c r="I2067" i="1"/>
  <c r="J2067" i="1"/>
  <c r="K2067" i="1"/>
  <c r="M2067" i="1"/>
  <c r="N2067" i="1"/>
  <c r="P2067" i="1"/>
  <c r="Q2067" i="1"/>
  <c r="R2067" i="1"/>
  <c r="S2067" i="1"/>
  <c r="T2067" i="1"/>
  <c r="Z2067" i="1"/>
  <c r="AL2067" i="1"/>
  <c r="A2068" i="1"/>
  <c r="B2068" i="1"/>
  <c r="C2068" i="1"/>
  <c r="G2068" i="1"/>
  <c r="H2068" i="1"/>
  <c r="I2068" i="1"/>
  <c r="J2068" i="1"/>
  <c r="K2068" i="1"/>
  <c r="P2068" i="1"/>
  <c r="Q2068" i="1"/>
  <c r="R2068" i="1"/>
  <c r="S2068" i="1"/>
  <c r="T2068" i="1"/>
  <c r="Z2068" i="1"/>
  <c r="AL2068" i="1"/>
  <c r="A2069" i="1"/>
  <c r="B2069" i="1"/>
  <c r="C2069" i="1"/>
  <c r="G2069" i="1"/>
  <c r="H2069" i="1"/>
  <c r="I2069" i="1"/>
  <c r="J2069" i="1"/>
  <c r="K2069" i="1"/>
  <c r="M2069" i="1"/>
  <c r="N2069" i="1"/>
  <c r="P2069" i="1"/>
  <c r="Q2069" i="1"/>
  <c r="R2069" i="1"/>
  <c r="S2069" i="1"/>
  <c r="T2069" i="1"/>
  <c r="Z2069" i="1"/>
  <c r="AL2069" i="1"/>
  <c r="A2070" i="1"/>
  <c r="B2070" i="1"/>
  <c r="C2070" i="1"/>
  <c r="G2070" i="1"/>
  <c r="H2070" i="1"/>
  <c r="I2070" i="1"/>
  <c r="J2070" i="1"/>
  <c r="K2070" i="1"/>
  <c r="M2070" i="1"/>
  <c r="N2070" i="1"/>
  <c r="P2070" i="1"/>
  <c r="Q2070" i="1"/>
  <c r="R2070" i="1"/>
  <c r="S2070" i="1"/>
  <c r="T2070" i="1"/>
  <c r="Z2070" i="1"/>
  <c r="AL2070" i="1"/>
  <c r="A2071" i="1"/>
  <c r="B2071" i="1"/>
  <c r="C2071" i="1"/>
  <c r="G2071" i="1"/>
  <c r="H2071" i="1"/>
  <c r="I2071" i="1"/>
  <c r="J2071" i="1"/>
  <c r="K2071" i="1"/>
  <c r="M2071" i="1"/>
  <c r="N2071" i="1"/>
  <c r="P2071" i="1"/>
  <c r="Q2071" i="1"/>
  <c r="R2071" i="1"/>
  <c r="S2071" i="1"/>
  <c r="T2071" i="1"/>
  <c r="Z2071" i="1"/>
  <c r="AL2071" i="1"/>
  <c r="A2072" i="1"/>
  <c r="B2072" i="1"/>
  <c r="C2072" i="1"/>
  <c r="G2072" i="1"/>
  <c r="H2072" i="1"/>
  <c r="I2072" i="1"/>
  <c r="J2072" i="1"/>
  <c r="K2072" i="1"/>
  <c r="M2072" i="1"/>
  <c r="N2072" i="1"/>
  <c r="P2072" i="1"/>
  <c r="Q2072" i="1"/>
  <c r="R2072" i="1"/>
  <c r="S2072" i="1"/>
  <c r="T2072" i="1"/>
  <c r="Z2072" i="1"/>
  <c r="AL2072" i="1"/>
  <c r="A2073" i="1"/>
  <c r="B2073" i="1"/>
  <c r="C2073" i="1"/>
  <c r="G2073" i="1"/>
  <c r="H2073" i="1"/>
  <c r="I2073" i="1"/>
  <c r="J2073" i="1"/>
  <c r="K2073" i="1"/>
  <c r="M2073" i="1"/>
  <c r="N2073" i="1"/>
  <c r="P2073" i="1"/>
  <c r="Q2073" i="1"/>
  <c r="R2073" i="1"/>
  <c r="S2073" i="1"/>
  <c r="T2073" i="1"/>
  <c r="Z2073" i="1"/>
  <c r="AL2073" i="1"/>
  <c r="A2074" i="1"/>
  <c r="B2074" i="1"/>
  <c r="C2074" i="1"/>
  <c r="G2074" i="1"/>
  <c r="H2074" i="1"/>
  <c r="I2074" i="1"/>
  <c r="J2074" i="1"/>
  <c r="K2074" i="1"/>
  <c r="M2074" i="1"/>
  <c r="N2074" i="1"/>
  <c r="P2074" i="1"/>
  <c r="Q2074" i="1"/>
  <c r="R2074" i="1"/>
  <c r="S2074" i="1"/>
  <c r="T2074" i="1"/>
  <c r="Z2074" i="1"/>
  <c r="AL2074" i="1"/>
  <c r="A2075" i="1"/>
  <c r="B2075" i="1"/>
  <c r="C2075" i="1"/>
  <c r="G2075" i="1"/>
  <c r="H2075" i="1"/>
  <c r="I2075" i="1"/>
  <c r="J2075" i="1"/>
  <c r="K2075" i="1"/>
  <c r="M2075" i="1"/>
  <c r="N2075" i="1"/>
  <c r="P2075" i="1"/>
  <c r="Q2075" i="1"/>
  <c r="R2075" i="1"/>
  <c r="S2075" i="1"/>
  <c r="T2075" i="1"/>
  <c r="Z2075" i="1"/>
  <c r="AL2075" i="1"/>
  <c r="A2076" i="1"/>
  <c r="B2076" i="1"/>
  <c r="C2076" i="1"/>
  <c r="G2076" i="1"/>
  <c r="H2076" i="1"/>
  <c r="I2076" i="1"/>
  <c r="J2076" i="1"/>
  <c r="K2076" i="1"/>
  <c r="M2076" i="1"/>
  <c r="N2076" i="1"/>
  <c r="P2076" i="1"/>
  <c r="Q2076" i="1"/>
  <c r="R2076" i="1"/>
  <c r="S2076" i="1"/>
  <c r="T2076" i="1"/>
  <c r="Z2076" i="1"/>
  <c r="AL2076" i="1"/>
  <c r="A2077" i="1"/>
  <c r="B2077" i="1"/>
  <c r="C2077" i="1"/>
  <c r="G2077" i="1"/>
  <c r="H2077" i="1"/>
  <c r="I2077" i="1"/>
  <c r="J2077" i="1"/>
  <c r="K2077" i="1"/>
  <c r="M2077" i="1"/>
  <c r="N2077" i="1"/>
  <c r="P2077" i="1"/>
  <c r="Q2077" i="1"/>
  <c r="R2077" i="1"/>
  <c r="S2077" i="1"/>
  <c r="T2077" i="1"/>
  <c r="Z2077" i="1"/>
  <c r="AL2077" i="1"/>
  <c r="A2078" i="1"/>
  <c r="B2078" i="1"/>
  <c r="C2078" i="1"/>
  <c r="G2078" i="1"/>
  <c r="H2078" i="1"/>
  <c r="I2078" i="1"/>
  <c r="J2078" i="1"/>
  <c r="K2078" i="1"/>
  <c r="M2078" i="1"/>
  <c r="N2078" i="1"/>
  <c r="P2078" i="1"/>
  <c r="Q2078" i="1"/>
  <c r="R2078" i="1"/>
  <c r="S2078" i="1"/>
  <c r="T2078" i="1"/>
  <c r="Z2078" i="1"/>
  <c r="AL2078" i="1"/>
  <c r="A2079" i="1"/>
  <c r="B2079" i="1"/>
  <c r="C2079" i="1"/>
  <c r="G2079" i="1"/>
  <c r="H2079" i="1"/>
  <c r="I2079" i="1"/>
  <c r="J2079" i="1"/>
  <c r="K2079" i="1"/>
  <c r="M2079" i="1"/>
  <c r="N2079" i="1"/>
  <c r="P2079" i="1"/>
  <c r="Q2079" i="1"/>
  <c r="R2079" i="1"/>
  <c r="S2079" i="1"/>
  <c r="T2079" i="1"/>
  <c r="Z2079" i="1"/>
  <c r="AL2079" i="1"/>
  <c r="A2080" i="1"/>
  <c r="B2080" i="1"/>
  <c r="C2080" i="1"/>
  <c r="G2080" i="1"/>
  <c r="H2080" i="1"/>
  <c r="I2080" i="1"/>
  <c r="J2080" i="1"/>
  <c r="K2080" i="1"/>
  <c r="M2080" i="1"/>
  <c r="N2080" i="1"/>
  <c r="P2080" i="1"/>
  <c r="Q2080" i="1"/>
  <c r="R2080" i="1"/>
  <c r="S2080" i="1"/>
  <c r="T2080" i="1"/>
  <c r="Z2080" i="1"/>
  <c r="AL2080" i="1"/>
  <c r="A2081" i="1"/>
  <c r="B2081" i="1"/>
  <c r="C2081" i="1"/>
  <c r="G2081" i="1"/>
  <c r="H2081" i="1"/>
  <c r="I2081" i="1"/>
  <c r="J2081" i="1"/>
  <c r="K2081" i="1"/>
  <c r="M2081" i="1"/>
  <c r="N2081" i="1"/>
  <c r="P2081" i="1"/>
  <c r="Q2081" i="1"/>
  <c r="R2081" i="1"/>
  <c r="S2081" i="1"/>
  <c r="T2081" i="1"/>
  <c r="Z2081" i="1"/>
  <c r="AL2081" i="1"/>
  <c r="A2082" i="1"/>
  <c r="B2082" i="1"/>
  <c r="C2082" i="1"/>
  <c r="G2082" i="1"/>
  <c r="H2082" i="1"/>
  <c r="I2082" i="1"/>
  <c r="J2082" i="1"/>
  <c r="K2082" i="1"/>
  <c r="M2082" i="1"/>
  <c r="N2082" i="1"/>
  <c r="P2082" i="1"/>
  <c r="Q2082" i="1"/>
  <c r="R2082" i="1"/>
  <c r="S2082" i="1"/>
  <c r="T2082" i="1"/>
  <c r="Z2082" i="1"/>
  <c r="AL2082" i="1"/>
  <c r="A2083" i="1"/>
  <c r="B2083" i="1"/>
  <c r="C2083" i="1"/>
  <c r="G2083" i="1"/>
  <c r="H2083" i="1"/>
  <c r="I2083" i="1"/>
  <c r="J2083" i="1"/>
  <c r="K2083" i="1"/>
  <c r="M2083" i="1"/>
  <c r="N2083" i="1"/>
  <c r="P2083" i="1"/>
  <c r="Q2083" i="1"/>
  <c r="R2083" i="1"/>
  <c r="S2083" i="1"/>
  <c r="T2083" i="1"/>
  <c r="Z2083" i="1"/>
  <c r="AL2083" i="1"/>
  <c r="A2084" i="1"/>
  <c r="B2084" i="1"/>
  <c r="C2084" i="1"/>
  <c r="G2084" i="1"/>
  <c r="H2084" i="1"/>
  <c r="I2084" i="1"/>
  <c r="J2084" i="1"/>
  <c r="K2084" i="1"/>
  <c r="M2084" i="1"/>
  <c r="N2084" i="1"/>
  <c r="P2084" i="1"/>
  <c r="Q2084" i="1"/>
  <c r="R2084" i="1"/>
  <c r="S2084" i="1"/>
  <c r="T2084" i="1"/>
  <c r="Z2084" i="1"/>
  <c r="AL2084" i="1"/>
  <c r="A2085" i="1"/>
  <c r="B2085" i="1"/>
  <c r="C2085" i="1"/>
  <c r="G2085" i="1"/>
  <c r="H2085" i="1"/>
  <c r="I2085" i="1"/>
  <c r="J2085" i="1"/>
  <c r="K2085" i="1"/>
  <c r="M2085" i="1"/>
  <c r="N2085" i="1"/>
  <c r="P2085" i="1"/>
  <c r="Q2085" i="1"/>
  <c r="R2085" i="1"/>
  <c r="S2085" i="1"/>
  <c r="T2085" i="1"/>
  <c r="Z2085" i="1"/>
  <c r="AL2085" i="1"/>
  <c r="A2086" i="1"/>
  <c r="B2086" i="1"/>
  <c r="C2086" i="1"/>
  <c r="G2086" i="1"/>
  <c r="H2086" i="1"/>
  <c r="I2086" i="1"/>
  <c r="J2086" i="1"/>
  <c r="K2086" i="1"/>
  <c r="P2086" i="1"/>
  <c r="Q2086" i="1"/>
  <c r="R2086" i="1"/>
  <c r="S2086" i="1"/>
  <c r="T2086" i="1"/>
  <c r="Z2086" i="1"/>
  <c r="AL2086" i="1"/>
  <c r="A2087" i="1"/>
  <c r="B2087" i="1"/>
  <c r="C2087" i="1"/>
  <c r="G2087" i="1"/>
  <c r="H2087" i="1"/>
  <c r="I2087" i="1"/>
  <c r="J2087" i="1"/>
  <c r="K2087" i="1"/>
  <c r="M2087" i="1"/>
  <c r="N2087" i="1"/>
  <c r="P2087" i="1"/>
  <c r="Q2087" i="1"/>
  <c r="R2087" i="1"/>
  <c r="S2087" i="1"/>
  <c r="T2087" i="1"/>
  <c r="Z2087" i="1"/>
  <c r="AL2087" i="1"/>
  <c r="A2088" i="1"/>
  <c r="B2088" i="1"/>
  <c r="C2088" i="1"/>
  <c r="G2088" i="1"/>
  <c r="H2088" i="1"/>
  <c r="I2088" i="1"/>
  <c r="J2088" i="1"/>
  <c r="K2088" i="1"/>
  <c r="M2088" i="1"/>
  <c r="N2088" i="1"/>
  <c r="P2088" i="1"/>
  <c r="Q2088" i="1"/>
  <c r="R2088" i="1"/>
  <c r="S2088" i="1"/>
  <c r="T2088" i="1"/>
  <c r="Z2088" i="1"/>
  <c r="AL2088" i="1"/>
  <c r="A2089" i="1"/>
  <c r="B2089" i="1"/>
  <c r="C2089" i="1"/>
  <c r="G2089" i="1"/>
  <c r="H2089" i="1"/>
  <c r="I2089" i="1"/>
  <c r="J2089" i="1"/>
  <c r="K2089" i="1"/>
  <c r="M2089" i="1"/>
  <c r="N2089" i="1"/>
  <c r="P2089" i="1"/>
  <c r="Q2089" i="1"/>
  <c r="R2089" i="1"/>
  <c r="S2089" i="1"/>
  <c r="T2089" i="1"/>
  <c r="Z2089" i="1"/>
  <c r="AL2089" i="1"/>
  <c r="A2090" i="1"/>
  <c r="B2090" i="1"/>
  <c r="C2090" i="1"/>
  <c r="G2090" i="1"/>
  <c r="H2090" i="1"/>
  <c r="I2090" i="1"/>
  <c r="J2090" i="1"/>
  <c r="K2090" i="1"/>
  <c r="M2090" i="1"/>
  <c r="N2090" i="1"/>
  <c r="P2090" i="1"/>
  <c r="Q2090" i="1"/>
  <c r="R2090" i="1"/>
  <c r="S2090" i="1"/>
  <c r="T2090" i="1"/>
  <c r="Z2090" i="1"/>
  <c r="AL2090" i="1"/>
  <c r="A2091" i="1"/>
  <c r="B2091" i="1"/>
  <c r="C2091" i="1"/>
  <c r="G2091" i="1"/>
  <c r="H2091" i="1"/>
  <c r="I2091" i="1"/>
  <c r="J2091" i="1"/>
  <c r="K2091" i="1"/>
  <c r="M2091" i="1"/>
  <c r="N2091" i="1"/>
  <c r="P2091" i="1"/>
  <c r="Q2091" i="1"/>
  <c r="R2091" i="1"/>
  <c r="S2091" i="1"/>
  <c r="T2091" i="1"/>
  <c r="Z2091" i="1"/>
  <c r="AL2091" i="1"/>
  <c r="A2092" i="1"/>
  <c r="B2092" i="1"/>
  <c r="C2092" i="1"/>
  <c r="G2092" i="1"/>
  <c r="H2092" i="1"/>
  <c r="I2092" i="1"/>
  <c r="J2092" i="1"/>
  <c r="K2092" i="1"/>
  <c r="M2092" i="1"/>
  <c r="N2092" i="1"/>
  <c r="P2092" i="1"/>
  <c r="Q2092" i="1"/>
  <c r="R2092" i="1"/>
  <c r="S2092" i="1"/>
  <c r="T2092" i="1"/>
  <c r="Z2092" i="1"/>
  <c r="AL2092" i="1"/>
  <c r="A2093" i="1"/>
  <c r="B2093" i="1"/>
  <c r="C2093" i="1"/>
  <c r="G2093" i="1"/>
  <c r="H2093" i="1"/>
  <c r="I2093" i="1"/>
  <c r="J2093" i="1"/>
  <c r="K2093" i="1"/>
  <c r="M2093" i="1"/>
  <c r="N2093" i="1"/>
  <c r="P2093" i="1"/>
  <c r="Q2093" i="1"/>
  <c r="R2093" i="1"/>
  <c r="S2093" i="1"/>
  <c r="T2093" i="1"/>
  <c r="Z2093" i="1"/>
  <c r="AL2093" i="1"/>
  <c r="A2094" i="1"/>
  <c r="B2094" i="1"/>
  <c r="C2094" i="1"/>
  <c r="G2094" i="1"/>
  <c r="H2094" i="1"/>
  <c r="I2094" i="1"/>
  <c r="J2094" i="1"/>
  <c r="K2094" i="1"/>
  <c r="M2094" i="1"/>
  <c r="N2094" i="1"/>
  <c r="P2094" i="1"/>
  <c r="Q2094" i="1"/>
  <c r="R2094" i="1"/>
  <c r="S2094" i="1"/>
  <c r="T2094" i="1"/>
  <c r="Z2094" i="1"/>
  <c r="AL2094" i="1"/>
  <c r="A2095" i="1"/>
  <c r="B2095" i="1"/>
  <c r="C2095" i="1"/>
  <c r="G2095" i="1"/>
  <c r="H2095" i="1"/>
  <c r="I2095" i="1"/>
  <c r="J2095" i="1"/>
  <c r="K2095" i="1"/>
  <c r="M2095" i="1"/>
  <c r="N2095" i="1"/>
  <c r="P2095" i="1"/>
  <c r="Q2095" i="1"/>
  <c r="R2095" i="1"/>
  <c r="S2095" i="1"/>
  <c r="T2095" i="1"/>
  <c r="Z2095" i="1"/>
  <c r="AL2095" i="1"/>
  <c r="A2096" i="1"/>
  <c r="B2096" i="1"/>
  <c r="C2096" i="1"/>
  <c r="G2096" i="1"/>
  <c r="H2096" i="1"/>
  <c r="I2096" i="1"/>
  <c r="J2096" i="1"/>
  <c r="K2096" i="1"/>
  <c r="M2096" i="1"/>
  <c r="N2096" i="1"/>
  <c r="P2096" i="1"/>
  <c r="Q2096" i="1"/>
  <c r="R2096" i="1"/>
  <c r="S2096" i="1"/>
  <c r="T2096" i="1"/>
  <c r="Z2096" i="1"/>
  <c r="AL2096" i="1"/>
  <c r="A2097" i="1"/>
  <c r="B2097" i="1"/>
  <c r="C2097" i="1"/>
  <c r="G2097" i="1"/>
  <c r="H2097" i="1"/>
  <c r="I2097" i="1"/>
  <c r="J2097" i="1"/>
  <c r="K2097" i="1"/>
  <c r="M2097" i="1"/>
  <c r="N2097" i="1"/>
  <c r="P2097" i="1"/>
  <c r="Q2097" i="1"/>
  <c r="R2097" i="1"/>
  <c r="S2097" i="1"/>
  <c r="T2097" i="1"/>
  <c r="Z2097" i="1"/>
  <c r="AL2097" i="1"/>
  <c r="A2098" i="1"/>
  <c r="B2098" i="1"/>
  <c r="C2098" i="1"/>
  <c r="G2098" i="1"/>
  <c r="H2098" i="1"/>
  <c r="I2098" i="1"/>
  <c r="J2098" i="1"/>
  <c r="K2098" i="1"/>
  <c r="M2098" i="1"/>
  <c r="N2098" i="1"/>
  <c r="P2098" i="1"/>
  <c r="Q2098" i="1"/>
  <c r="R2098" i="1"/>
  <c r="S2098" i="1"/>
  <c r="T2098" i="1"/>
  <c r="Z2098" i="1"/>
  <c r="AL2098" i="1"/>
  <c r="A2099" i="1"/>
  <c r="B2099" i="1"/>
  <c r="C2099" i="1"/>
  <c r="G2099" i="1"/>
  <c r="H2099" i="1"/>
  <c r="I2099" i="1"/>
  <c r="J2099" i="1"/>
  <c r="K2099" i="1"/>
  <c r="M2099" i="1"/>
  <c r="N2099" i="1"/>
  <c r="P2099" i="1"/>
  <c r="Q2099" i="1"/>
  <c r="R2099" i="1"/>
  <c r="S2099" i="1"/>
  <c r="T2099" i="1"/>
  <c r="Z2099" i="1"/>
  <c r="AL2099" i="1"/>
  <c r="A2100" i="1"/>
  <c r="B2100" i="1"/>
  <c r="C2100" i="1"/>
  <c r="G2100" i="1"/>
  <c r="H2100" i="1"/>
  <c r="I2100" i="1"/>
  <c r="J2100" i="1"/>
  <c r="K2100" i="1"/>
  <c r="M2100" i="1"/>
  <c r="N2100" i="1"/>
  <c r="P2100" i="1"/>
  <c r="Q2100" i="1"/>
  <c r="R2100" i="1"/>
  <c r="S2100" i="1"/>
  <c r="T2100" i="1"/>
  <c r="AL2100" i="1"/>
  <c r="A2101" i="1"/>
  <c r="B2101" i="1"/>
  <c r="C2101" i="1"/>
  <c r="G2101" i="1"/>
  <c r="H2101" i="1"/>
  <c r="I2101" i="1"/>
  <c r="J2101" i="1"/>
  <c r="K2101" i="1"/>
  <c r="P2101" i="1"/>
  <c r="Q2101" i="1"/>
  <c r="R2101" i="1"/>
  <c r="S2101" i="1"/>
  <c r="T2101" i="1"/>
  <c r="Z2101" i="1"/>
  <c r="AL2101" i="1"/>
  <c r="A2102" i="1"/>
  <c r="B2102" i="1"/>
  <c r="C2102" i="1"/>
  <c r="G2102" i="1"/>
  <c r="H2102" i="1"/>
  <c r="I2102" i="1"/>
  <c r="J2102" i="1"/>
  <c r="K2102" i="1"/>
  <c r="P2102" i="1"/>
  <c r="Q2102" i="1"/>
  <c r="R2102" i="1"/>
  <c r="S2102" i="1"/>
  <c r="T2102" i="1"/>
  <c r="AL2102" i="1"/>
  <c r="A2103" i="1"/>
  <c r="B2103" i="1"/>
  <c r="C2103" i="1"/>
  <c r="G2103" i="1"/>
  <c r="H2103" i="1"/>
  <c r="I2103" i="1"/>
  <c r="J2103" i="1"/>
  <c r="K2103" i="1"/>
  <c r="P2103" i="1"/>
  <c r="Q2103" i="1"/>
  <c r="R2103" i="1"/>
  <c r="S2103" i="1"/>
  <c r="T2103" i="1"/>
  <c r="Z2103" i="1"/>
  <c r="AL2103" i="1"/>
  <c r="A2104" i="1"/>
  <c r="B2104" i="1"/>
  <c r="C2104" i="1"/>
  <c r="G2104" i="1"/>
  <c r="H2104" i="1"/>
  <c r="I2104" i="1"/>
  <c r="J2104" i="1"/>
  <c r="K2104" i="1"/>
  <c r="M2104" i="1"/>
  <c r="N2104" i="1"/>
  <c r="P2104" i="1"/>
  <c r="Q2104" i="1"/>
  <c r="R2104" i="1"/>
  <c r="S2104" i="1"/>
  <c r="T2104" i="1"/>
  <c r="Z2104" i="1"/>
  <c r="AL2104" i="1"/>
  <c r="A2105" i="1"/>
  <c r="B2105" i="1"/>
  <c r="C2105" i="1"/>
  <c r="G2105" i="1"/>
  <c r="H2105" i="1"/>
  <c r="I2105" i="1"/>
  <c r="J2105" i="1"/>
  <c r="K2105" i="1"/>
  <c r="M2105" i="1"/>
  <c r="N2105" i="1"/>
  <c r="P2105" i="1"/>
  <c r="Q2105" i="1"/>
  <c r="R2105" i="1"/>
  <c r="S2105" i="1"/>
  <c r="T2105" i="1"/>
  <c r="Z2105" i="1"/>
  <c r="AL2105" i="1"/>
  <c r="A2106" i="1"/>
  <c r="B2106" i="1"/>
  <c r="C2106" i="1"/>
  <c r="G2106" i="1"/>
  <c r="H2106" i="1"/>
  <c r="I2106" i="1"/>
  <c r="J2106" i="1"/>
  <c r="K2106" i="1"/>
  <c r="M2106" i="1"/>
  <c r="N2106" i="1"/>
  <c r="P2106" i="1"/>
  <c r="Q2106" i="1"/>
  <c r="R2106" i="1"/>
  <c r="S2106" i="1"/>
  <c r="T2106" i="1"/>
  <c r="Z2106" i="1"/>
  <c r="AL2106" i="1"/>
  <c r="A2107" i="1"/>
  <c r="B2107" i="1"/>
  <c r="C2107" i="1"/>
  <c r="G2107" i="1"/>
  <c r="H2107" i="1"/>
  <c r="I2107" i="1"/>
  <c r="J2107" i="1"/>
  <c r="K2107" i="1"/>
  <c r="M2107" i="1"/>
  <c r="N2107" i="1"/>
  <c r="P2107" i="1"/>
  <c r="Q2107" i="1"/>
  <c r="R2107" i="1"/>
  <c r="S2107" i="1"/>
  <c r="T2107" i="1"/>
  <c r="Z2107" i="1"/>
  <c r="AL2107" i="1"/>
  <c r="A2108" i="1"/>
  <c r="B2108" i="1"/>
  <c r="C2108" i="1"/>
  <c r="G2108" i="1"/>
  <c r="H2108" i="1"/>
  <c r="I2108" i="1"/>
  <c r="J2108" i="1"/>
  <c r="K2108" i="1"/>
  <c r="M2108" i="1"/>
  <c r="N2108" i="1"/>
  <c r="P2108" i="1"/>
  <c r="Q2108" i="1"/>
  <c r="R2108" i="1"/>
  <c r="S2108" i="1"/>
  <c r="T2108" i="1"/>
  <c r="Z2108" i="1"/>
  <c r="AL2108" i="1"/>
  <c r="A2109" i="1"/>
  <c r="B2109" i="1"/>
  <c r="C2109" i="1"/>
  <c r="G2109" i="1"/>
  <c r="H2109" i="1"/>
  <c r="I2109" i="1"/>
  <c r="J2109" i="1"/>
  <c r="K2109" i="1"/>
  <c r="M2109" i="1"/>
  <c r="N2109" i="1"/>
  <c r="P2109" i="1"/>
  <c r="Q2109" i="1"/>
  <c r="R2109" i="1"/>
  <c r="S2109" i="1"/>
  <c r="T2109" i="1"/>
  <c r="Z2109" i="1"/>
  <c r="AL2109" i="1"/>
  <c r="A2110" i="1"/>
  <c r="B2110" i="1"/>
  <c r="C2110" i="1"/>
  <c r="G2110" i="1"/>
  <c r="H2110" i="1"/>
  <c r="I2110" i="1"/>
  <c r="J2110" i="1"/>
  <c r="K2110" i="1"/>
  <c r="M2110" i="1"/>
  <c r="N2110" i="1"/>
  <c r="P2110" i="1"/>
  <c r="Q2110" i="1"/>
  <c r="R2110" i="1"/>
  <c r="S2110" i="1"/>
  <c r="T2110" i="1"/>
  <c r="Z2110" i="1"/>
  <c r="AL2110" i="1"/>
  <c r="A2111" i="1"/>
  <c r="B2111" i="1"/>
  <c r="C2111" i="1"/>
  <c r="G2111" i="1"/>
  <c r="H2111" i="1"/>
  <c r="I2111" i="1"/>
  <c r="J2111" i="1"/>
  <c r="K2111" i="1"/>
  <c r="M2111" i="1"/>
  <c r="N2111" i="1"/>
  <c r="P2111" i="1"/>
  <c r="Q2111" i="1"/>
  <c r="R2111" i="1"/>
  <c r="S2111" i="1"/>
  <c r="T2111" i="1"/>
  <c r="Z2111" i="1"/>
  <c r="AL2111" i="1"/>
  <c r="A2112" i="1"/>
  <c r="B2112" i="1"/>
  <c r="C2112" i="1"/>
  <c r="G2112" i="1"/>
  <c r="H2112" i="1"/>
  <c r="I2112" i="1"/>
  <c r="J2112" i="1"/>
  <c r="K2112" i="1"/>
  <c r="M2112" i="1"/>
  <c r="N2112" i="1"/>
  <c r="P2112" i="1"/>
  <c r="Q2112" i="1"/>
  <c r="R2112" i="1"/>
  <c r="S2112" i="1"/>
  <c r="T2112" i="1"/>
  <c r="Z2112" i="1"/>
  <c r="AL2112" i="1"/>
  <c r="A2113" i="1"/>
  <c r="B2113" i="1"/>
  <c r="C2113" i="1"/>
  <c r="G2113" i="1"/>
  <c r="H2113" i="1"/>
  <c r="I2113" i="1"/>
  <c r="J2113" i="1"/>
  <c r="K2113" i="1"/>
  <c r="M2113" i="1"/>
  <c r="N2113" i="1"/>
  <c r="P2113" i="1"/>
  <c r="Q2113" i="1"/>
  <c r="R2113" i="1"/>
  <c r="S2113" i="1"/>
  <c r="T2113" i="1"/>
  <c r="Z2113" i="1"/>
  <c r="AL2113" i="1"/>
  <c r="A2114" i="1"/>
  <c r="B2114" i="1"/>
  <c r="C2114" i="1"/>
  <c r="G2114" i="1"/>
  <c r="H2114" i="1"/>
  <c r="I2114" i="1"/>
  <c r="J2114" i="1"/>
  <c r="K2114" i="1"/>
  <c r="M2114" i="1"/>
  <c r="N2114" i="1"/>
  <c r="P2114" i="1"/>
  <c r="Q2114" i="1"/>
  <c r="R2114" i="1"/>
  <c r="S2114" i="1"/>
  <c r="T2114" i="1"/>
  <c r="Z2114" i="1"/>
  <c r="AL2114" i="1"/>
  <c r="A2115" i="1"/>
  <c r="B2115" i="1"/>
  <c r="C2115" i="1"/>
  <c r="G2115" i="1"/>
  <c r="H2115" i="1"/>
  <c r="I2115" i="1"/>
  <c r="J2115" i="1"/>
  <c r="K2115" i="1"/>
  <c r="M2115" i="1"/>
  <c r="N2115" i="1"/>
  <c r="P2115" i="1"/>
  <c r="Q2115" i="1"/>
  <c r="R2115" i="1"/>
  <c r="S2115" i="1"/>
  <c r="T2115" i="1"/>
  <c r="Z2115" i="1"/>
  <c r="AL2115" i="1"/>
  <c r="A2116" i="1"/>
  <c r="B2116" i="1"/>
  <c r="C2116" i="1"/>
  <c r="G2116" i="1"/>
  <c r="H2116" i="1"/>
  <c r="I2116" i="1"/>
  <c r="J2116" i="1"/>
  <c r="K2116" i="1"/>
  <c r="M2116" i="1"/>
  <c r="N2116" i="1"/>
  <c r="P2116" i="1"/>
  <c r="Q2116" i="1"/>
  <c r="R2116" i="1"/>
  <c r="S2116" i="1"/>
  <c r="T2116" i="1"/>
  <c r="Z2116" i="1"/>
  <c r="AL2116" i="1"/>
  <c r="A2117" i="1"/>
  <c r="B2117" i="1"/>
  <c r="C2117" i="1"/>
  <c r="G2117" i="1"/>
  <c r="H2117" i="1"/>
  <c r="I2117" i="1"/>
  <c r="J2117" i="1"/>
  <c r="K2117" i="1"/>
  <c r="M2117" i="1"/>
  <c r="N2117" i="1"/>
  <c r="P2117" i="1"/>
  <c r="Q2117" i="1"/>
  <c r="R2117" i="1"/>
  <c r="S2117" i="1"/>
  <c r="T2117" i="1"/>
  <c r="Z2117" i="1"/>
  <c r="AL2117" i="1"/>
  <c r="A2118" i="1"/>
  <c r="B2118" i="1"/>
  <c r="C2118" i="1"/>
  <c r="G2118" i="1"/>
  <c r="H2118" i="1"/>
  <c r="I2118" i="1"/>
  <c r="J2118" i="1"/>
  <c r="K2118" i="1"/>
  <c r="M2118" i="1"/>
  <c r="N2118" i="1"/>
  <c r="P2118" i="1"/>
  <c r="Q2118" i="1"/>
  <c r="R2118" i="1"/>
  <c r="S2118" i="1"/>
  <c r="T2118" i="1"/>
  <c r="Z2118" i="1"/>
  <c r="AL2118" i="1"/>
  <c r="A2119" i="1"/>
  <c r="B2119" i="1"/>
  <c r="C2119" i="1"/>
  <c r="G2119" i="1"/>
  <c r="H2119" i="1"/>
  <c r="I2119" i="1"/>
  <c r="J2119" i="1"/>
  <c r="K2119" i="1"/>
  <c r="M2119" i="1"/>
  <c r="N2119" i="1"/>
  <c r="P2119" i="1"/>
  <c r="Q2119" i="1"/>
  <c r="R2119" i="1"/>
  <c r="S2119" i="1"/>
  <c r="T2119" i="1"/>
  <c r="Z2119" i="1"/>
  <c r="AL2119" i="1"/>
  <c r="A2120" i="1"/>
  <c r="B2120" i="1"/>
  <c r="C2120" i="1"/>
  <c r="G2120" i="1"/>
  <c r="H2120" i="1"/>
  <c r="I2120" i="1"/>
  <c r="J2120" i="1"/>
  <c r="K2120" i="1"/>
  <c r="M2120" i="1"/>
  <c r="N2120" i="1"/>
  <c r="P2120" i="1"/>
  <c r="Q2120" i="1"/>
  <c r="R2120" i="1"/>
  <c r="S2120" i="1"/>
  <c r="T2120" i="1"/>
  <c r="Z2120" i="1"/>
  <c r="AL2120" i="1"/>
  <c r="A2121" i="1"/>
  <c r="B2121" i="1"/>
  <c r="C2121" i="1"/>
  <c r="G2121" i="1"/>
  <c r="H2121" i="1"/>
  <c r="I2121" i="1"/>
  <c r="J2121" i="1"/>
  <c r="K2121" i="1"/>
  <c r="M2121" i="1"/>
  <c r="N2121" i="1"/>
  <c r="P2121" i="1"/>
  <c r="Q2121" i="1"/>
  <c r="R2121" i="1"/>
  <c r="S2121" i="1"/>
  <c r="T2121" i="1"/>
  <c r="Z2121" i="1"/>
  <c r="AL2121" i="1"/>
  <c r="A2122" i="1"/>
  <c r="B2122" i="1"/>
  <c r="C2122" i="1"/>
  <c r="G2122" i="1"/>
  <c r="H2122" i="1"/>
  <c r="I2122" i="1"/>
  <c r="J2122" i="1"/>
  <c r="K2122" i="1"/>
  <c r="M2122" i="1"/>
  <c r="N2122" i="1"/>
  <c r="P2122" i="1"/>
  <c r="Q2122" i="1"/>
  <c r="R2122" i="1"/>
  <c r="S2122" i="1"/>
  <c r="T2122" i="1"/>
  <c r="Z2122" i="1"/>
  <c r="AL2122" i="1"/>
  <c r="A2123" i="1"/>
  <c r="B2123" i="1"/>
  <c r="C2123" i="1"/>
  <c r="G2123" i="1"/>
  <c r="H2123" i="1"/>
  <c r="I2123" i="1"/>
  <c r="J2123" i="1"/>
  <c r="K2123" i="1"/>
  <c r="M2123" i="1"/>
  <c r="N2123" i="1"/>
  <c r="P2123" i="1"/>
  <c r="Q2123" i="1"/>
  <c r="R2123" i="1"/>
  <c r="S2123" i="1"/>
  <c r="T2123" i="1"/>
  <c r="Z2123" i="1"/>
  <c r="AL2123" i="1"/>
  <c r="A2124" i="1"/>
  <c r="B2124" i="1"/>
  <c r="C2124" i="1"/>
  <c r="G2124" i="1"/>
  <c r="H2124" i="1"/>
  <c r="I2124" i="1"/>
  <c r="J2124" i="1"/>
  <c r="K2124" i="1"/>
  <c r="M2124" i="1"/>
  <c r="N2124" i="1"/>
  <c r="P2124" i="1"/>
  <c r="Q2124" i="1"/>
  <c r="R2124" i="1"/>
  <c r="S2124" i="1"/>
  <c r="T2124" i="1"/>
  <c r="Z2124" i="1"/>
  <c r="AL2124" i="1"/>
  <c r="A2125" i="1"/>
  <c r="B2125" i="1"/>
  <c r="C2125" i="1"/>
  <c r="G2125" i="1"/>
  <c r="H2125" i="1"/>
  <c r="I2125" i="1"/>
  <c r="J2125" i="1"/>
  <c r="K2125" i="1"/>
  <c r="M2125" i="1"/>
  <c r="N2125" i="1"/>
  <c r="P2125" i="1"/>
  <c r="Q2125" i="1"/>
  <c r="R2125" i="1"/>
  <c r="S2125" i="1"/>
  <c r="T2125" i="1"/>
  <c r="Z2125" i="1"/>
  <c r="AL2125" i="1"/>
  <c r="A2126" i="1"/>
  <c r="B2126" i="1"/>
  <c r="C2126" i="1"/>
  <c r="G2126" i="1"/>
  <c r="H2126" i="1"/>
  <c r="I2126" i="1"/>
  <c r="J2126" i="1"/>
  <c r="K2126" i="1"/>
  <c r="M2126" i="1"/>
  <c r="N2126" i="1"/>
  <c r="P2126" i="1"/>
  <c r="Q2126" i="1"/>
  <c r="R2126" i="1"/>
  <c r="S2126" i="1"/>
  <c r="T2126" i="1"/>
  <c r="Z2126" i="1"/>
  <c r="AL2126" i="1"/>
  <c r="A2127" i="1"/>
  <c r="B2127" i="1"/>
  <c r="C2127" i="1"/>
  <c r="G2127" i="1"/>
  <c r="H2127" i="1"/>
  <c r="I2127" i="1"/>
  <c r="J2127" i="1"/>
  <c r="K2127" i="1"/>
  <c r="M2127" i="1"/>
  <c r="N2127" i="1"/>
  <c r="P2127" i="1"/>
  <c r="Q2127" i="1"/>
  <c r="R2127" i="1"/>
  <c r="S2127" i="1"/>
  <c r="T2127" i="1"/>
  <c r="Z2127" i="1"/>
  <c r="AL2127" i="1"/>
  <c r="A2128" i="1"/>
  <c r="B2128" i="1"/>
  <c r="C2128" i="1"/>
  <c r="G2128" i="1"/>
  <c r="H2128" i="1"/>
  <c r="I2128" i="1"/>
  <c r="J2128" i="1"/>
  <c r="K2128" i="1"/>
  <c r="M2128" i="1"/>
  <c r="N2128" i="1"/>
  <c r="P2128" i="1"/>
  <c r="Q2128" i="1"/>
  <c r="R2128" i="1"/>
  <c r="S2128" i="1"/>
  <c r="T2128" i="1"/>
  <c r="Z2128" i="1"/>
  <c r="AL2128" i="1"/>
  <c r="A2129" i="1"/>
  <c r="B2129" i="1"/>
  <c r="C2129" i="1"/>
  <c r="G2129" i="1"/>
  <c r="H2129" i="1"/>
  <c r="I2129" i="1"/>
  <c r="J2129" i="1"/>
  <c r="K2129" i="1"/>
  <c r="M2129" i="1"/>
  <c r="N2129" i="1"/>
  <c r="P2129" i="1"/>
  <c r="Q2129" i="1"/>
  <c r="R2129" i="1"/>
  <c r="S2129" i="1"/>
  <c r="T2129" i="1"/>
  <c r="Z2129" i="1"/>
  <c r="AL2129" i="1"/>
  <c r="A2130" i="1"/>
  <c r="B2130" i="1"/>
  <c r="C2130" i="1"/>
  <c r="G2130" i="1"/>
  <c r="H2130" i="1"/>
  <c r="I2130" i="1"/>
  <c r="J2130" i="1"/>
  <c r="K2130" i="1"/>
  <c r="M2130" i="1"/>
  <c r="N2130" i="1"/>
  <c r="P2130" i="1"/>
  <c r="Q2130" i="1"/>
  <c r="R2130" i="1"/>
  <c r="S2130" i="1"/>
  <c r="T2130" i="1"/>
  <c r="Z2130" i="1"/>
  <c r="AL2130" i="1"/>
  <c r="A2131" i="1"/>
  <c r="B2131" i="1"/>
  <c r="C2131" i="1"/>
  <c r="G2131" i="1"/>
  <c r="H2131" i="1"/>
  <c r="I2131" i="1"/>
  <c r="J2131" i="1"/>
  <c r="K2131" i="1"/>
  <c r="M2131" i="1"/>
  <c r="N2131" i="1"/>
  <c r="P2131" i="1"/>
  <c r="Q2131" i="1"/>
  <c r="R2131" i="1"/>
  <c r="S2131" i="1"/>
  <c r="T2131" i="1"/>
  <c r="Z2131" i="1"/>
  <c r="AL2131" i="1"/>
  <c r="A2132" i="1"/>
  <c r="B2132" i="1"/>
  <c r="C2132" i="1"/>
  <c r="G2132" i="1"/>
  <c r="H2132" i="1"/>
  <c r="I2132" i="1"/>
  <c r="J2132" i="1"/>
  <c r="K2132" i="1"/>
  <c r="M2132" i="1"/>
  <c r="N2132" i="1"/>
  <c r="P2132" i="1"/>
  <c r="Q2132" i="1"/>
  <c r="R2132" i="1"/>
  <c r="S2132" i="1"/>
  <c r="T2132" i="1"/>
  <c r="Z2132" i="1"/>
  <c r="AL2132" i="1"/>
  <c r="A2133" i="1"/>
  <c r="B2133" i="1"/>
  <c r="C2133" i="1"/>
  <c r="G2133" i="1"/>
  <c r="H2133" i="1"/>
  <c r="I2133" i="1"/>
  <c r="J2133" i="1"/>
  <c r="K2133" i="1"/>
  <c r="M2133" i="1"/>
  <c r="N2133" i="1"/>
  <c r="P2133" i="1"/>
  <c r="Q2133" i="1"/>
  <c r="R2133" i="1"/>
  <c r="S2133" i="1"/>
  <c r="T2133" i="1"/>
  <c r="Z2133" i="1"/>
  <c r="AL2133" i="1"/>
  <c r="A2134" i="1"/>
  <c r="B2134" i="1"/>
  <c r="C2134" i="1"/>
  <c r="G2134" i="1"/>
  <c r="H2134" i="1"/>
  <c r="I2134" i="1"/>
  <c r="J2134" i="1"/>
  <c r="K2134" i="1"/>
  <c r="P2134" i="1"/>
  <c r="Q2134" i="1"/>
  <c r="R2134" i="1"/>
  <c r="S2134" i="1"/>
  <c r="T2134" i="1"/>
  <c r="Z2134" i="1"/>
  <c r="AL2134" i="1"/>
  <c r="A2135" i="1"/>
  <c r="B2135" i="1"/>
  <c r="C2135" i="1"/>
  <c r="G2135" i="1"/>
  <c r="H2135" i="1"/>
  <c r="I2135" i="1"/>
  <c r="J2135" i="1"/>
  <c r="K2135" i="1"/>
  <c r="M2135" i="1"/>
  <c r="N2135" i="1"/>
  <c r="P2135" i="1"/>
  <c r="Q2135" i="1"/>
  <c r="R2135" i="1"/>
  <c r="S2135" i="1"/>
  <c r="T2135" i="1"/>
  <c r="Z2135" i="1"/>
  <c r="AL2135" i="1"/>
  <c r="A2136" i="1"/>
  <c r="B2136" i="1"/>
  <c r="C2136" i="1"/>
  <c r="G2136" i="1"/>
  <c r="H2136" i="1"/>
  <c r="I2136" i="1"/>
  <c r="J2136" i="1"/>
  <c r="K2136" i="1"/>
  <c r="M2136" i="1"/>
  <c r="N2136" i="1"/>
  <c r="P2136" i="1"/>
  <c r="Q2136" i="1"/>
  <c r="R2136" i="1"/>
  <c r="S2136" i="1"/>
  <c r="T2136" i="1"/>
  <c r="Z2136" i="1"/>
  <c r="AL2136" i="1"/>
  <c r="A2137" i="1"/>
  <c r="B2137" i="1"/>
  <c r="C2137" i="1"/>
  <c r="G2137" i="1"/>
  <c r="H2137" i="1"/>
  <c r="I2137" i="1"/>
  <c r="J2137" i="1"/>
  <c r="K2137" i="1"/>
  <c r="M2137" i="1"/>
  <c r="N2137" i="1"/>
  <c r="P2137" i="1"/>
  <c r="Q2137" i="1"/>
  <c r="R2137" i="1"/>
  <c r="S2137" i="1"/>
  <c r="T2137" i="1"/>
  <c r="AL2137" i="1"/>
  <c r="A2138" i="1"/>
  <c r="B2138" i="1"/>
  <c r="C2138" i="1"/>
  <c r="G2138" i="1"/>
  <c r="H2138" i="1"/>
  <c r="I2138" i="1"/>
  <c r="J2138" i="1"/>
  <c r="K2138" i="1"/>
  <c r="M2138" i="1"/>
  <c r="N2138" i="1"/>
  <c r="P2138" i="1"/>
  <c r="Q2138" i="1"/>
  <c r="R2138" i="1"/>
  <c r="S2138" i="1"/>
  <c r="T2138" i="1"/>
  <c r="Z2138" i="1"/>
  <c r="AL2138" i="1"/>
  <c r="A2139" i="1"/>
  <c r="B2139" i="1"/>
  <c r="C2139" i="1"/>
  <c r="G2139" i="1"/>
  <c r="H2139" i="1"/>
  <c r="I2139" i="1"/>
  <c r="J2139" i="1"/>
  <c r="K2139" i="1"/>
  <c r="M2139" i="1"/>
  <c r="N2139" i="1"/>
  <c r="P2139" i="1"/>
  <c r="Q2139" i="1"/>
  <c r="R2139" i="1"/>
  <c r="S2139" i="1"/>
  <c r="T2139" i="1"/>
  <c r="Z2139" i="1"/>
  <c r="AL2139" i="1"/>
  <c r="A2140" i="1"/>
  <c r="B2140" i="1"/>
  <c r="C2140" i="1"/>
  <c r="G2140" i="1"/>
  <c r="H2140" i="1"/>
  <c r="I2140" i="1"/>
  <c r="J2140" i="1"/>
  <c r="K2140" i="1"/>
  <c r="M2140" i="1"/>
  <c r="N2140" i="1"/>
  <c r="P2140" i="1"/>
  <c r="Q2140" i="1"/>
  <c r="R2140" i="1"/>
  <c r="S2140" i="1"/>
  <c r="T2140" i="1"/>
  <c r="AL2140" i="1"/>
  <c r="A2141" i="1"/>
  <c r="B2141" i="1"/>
  <c r="C2141" i="1"/>
  <c r="G2141" i="1"/>
  <c r="H2141" i="1"/>
  <c r="I2141" i="1"/>
  <c r="J2141" i="1"/>
  <c r="K2141" i="1"/>
  <c r="M2141" i="1"/>
  <c r="N2141" i="1"/>
  <c r="P2141" i="1"/>
  <c r="Q2141" i="1"/>
  <c r="R2141" i="1"/>
  <c r="S2141" i="1"/>
  <c r="T2141" i="1"/>
  <c r="Z2141" i="1"/>
  <c r="AL2141" i="1"/>
  <c r="A2142" i="1"/>
  <c r="B2142" i="1"/>
  <c r="C2142" i="1"/>
  <c r="G2142" i="1"/>
  <c r="H2142" i="1"/>
  <c r="I2142" i="1"/>
  <c r="J2142" i="1"/>
  <c r="K2142" i="1"/>
  <c r="M2142" i="1"/>
  <c r="N2142" i="1"/>
  <c r="P2142" i="1"/>
  <c r="Q2142" i="1"/>
  <c r="R2142" i="1"/>
  <c r="S2142" i="1"/>
  <c r="T2142" i="1"/>
  <c r="Z2142" i="1"/>
  <c r="AL2142" i="1"/>
  <c r="A2143" i="1"/>
  <c r="B2143" i="1"/>
  <c r="C2143" i="1"/>
  <c r="G2143" i="1"/>
  <c r="H2143" i="1"/>
  <c r="I2143" i="1"/>
  <c r="J2143" i="1"/>
  <c r="K2143" i="1"/>
  <c r="M2143" i="1"/>
  <c r="N2143" i="1"/>
  <c r="P2143" i="1"/>
  <c r="Q2143" i="1"/>
  <c r="R2143" i="1"/>
  <c r="S2143" i="1"/>
  <c r="T2143" i="1"/>
  <c r="Z2143" i="1"/>
  <c r="AL2143" i="1"/>
  <c r="A2144" i="1"/>
  <c r="B2144" i="1"/>
  <c r="C2144" i="1"/>
  <c r="G2144" i="1"/>
  <c r="H2144" i="1"/>
  <c r="I2144" i="1"/>
  <c r="J2144" i="1"/>
  <c r="K2144" i="1"/>
  <c r="P2144" i="1"/>
  <c r="Q2144" i="1"/>
  <c r="R2144" i="1"/>
  <c r="S2144" i="1"/>
  <c r="T2144" i="1"/>
  <c r="AL2144" i="1"/>
  <c r="A2145" i="1"/>
  <c r="B2145" i="1"/>
  <c r="C2145" i="1"/>
  <c r="G2145" i="1"/>
  <c r="H2145" i="1"/>
  <c r="I2145" i="1"/>
  <c r="J2145" i="1"/>
  <c r="K2145" i="1"/>
  <c r="M2145" i="1"/>
  <c r="N2145" i="1"/>
  <c r="P2145" i="1"/>
  <c r="Q2145" i="1"/>
  <c r="R2145" i="1"/>
  <c r="S2145" i="1"/>
  <c r="T2145" i="1"/>
  <c r="Z2145" i="1"/>
  <c r="AL2145" i="1"/>
  <c r="A2146" i="1"/>
  <c r="B2146" i="1"/>
  <c r="C2146" i="1"/>
  <c r="G2146" i="1"/>
  <c r="H2146" i="1"/>
  <c r="I2146" i="1"/>
  <c r="J2146" i="1"/>
  <c r="K2146" i="1"/>
  <c r="M2146" i="1"/>
  <c r="N2146" i="1"/>
  <c r="P2146" i="1"/>
  <c r="Q2146" i="1"/>
  <c r="R2146" i="1"/>
  <c r="S2146" i="1"/>
  <c r="T2146" i="1"/>
  <c r="AL2146" i="1"/>
  <c r="A2147" i="1"/>
  <c r="B2147" i="1"/>
  <c r="C2147" i="1"/>
  <c r="G2147" i="1"/>
  <c r="H2147" i="1"/>
  <c r="I2147" i="1"/>
  <c r="J2147" i="1"/>
  <c r="K2147" i="1"/>
  <c r="P2147" i="1"/>
  <c r="Q2147" i="1"/>
  <c r="R2147" i="1"/>
  <c r="S2147" i="1"/>
  <c r="T2147" i="1"/>
  <c r="AL2147" i="1"/>
  <c r="A2148" i="1"/>
  <c r="B2148" i="1"/>
  <c r="C2148" i="1"/>
  <c r="G2148" i="1"/>
  <c r="H2148" i="1"/>
  <c r="I2148" i="1"/>
  <c r="J2148" i="1"/>
  <c r="K2148" i="1"/>
  <c r="M2148" i="1"/>
  <c r="N2148" i="1"/>
  <c r="P2148" i="1"/>
  <c r="Q2148" i="1"/>
  <c r="R2148" i="1"/>
  <c r="S2148" i="1"/>
  <c r="T2148" i="1"/>
  <c r="AL2148" i="1"/>
  <c r="A2149" i="1"/>
  <c r="B2149" i="1"/>
  <c r="C2149" i="1"/>
  <c r="G2149" i="1"/>
  <c r="H2149" i="1"/>
  <c r="I2149" i="1"/>
  <c r="J2149" i="1"/>
  <c r="K2149" i="1"/>
  <c r="M2149" i="1"/>
  <c r="N2149" i="1"/>
  <c r="P2149" i="1"/>
  <c r="Q2149" i="1"/>
  <c r="R2149" i="1"/>
  <c r="S2149" i="1"/>
  <c r="T2149" i="1"/>
  <c r="Z2149" i="1"/>
  <c r="AL2149" i="1"/>
  <c r="A2150" i="1"/>
  <c r="B2150" i="1"/>
  <c r="C2150" i="1"/>
  <c r="G2150" i="1"/>
  <c r="H2150" i="1"/>
  <c r="I2150" i="1"/>
  <c r="J2150" i="1"/>
  <c r="K2150" i="1"/>
  <c r="M2150" i="1"/>
  <c r="N2150" i="1"/>
  <c r="P2150" i="1"/>
  <c r="Q2150" i="1"/>
  <c r="R2150" i="1"/>
  <c r="S2150" i="1"/>
  <c r="T2150" i="1"/>
  <c r="AL2150" i="1"/>
  <c r="A2151" i="1"/>
  <c r="B2151" i="1"/>
  <c r="C2151" i="1"/>
  <c r="G2151" i="1"/>
  <c r="H2151" i="1"/>
  <c r="I2151" i="1"/>
  <c r="J2151" i="1"/>
  <c r="K2151" i="1"/>
  <c r="P2151" i="1"/>
  <c r="Q2151" i="1"/>
  <c r="R2151" i="1"/>
  <c r="S2151" i="1"/>
  <c r="T2151" i="1"/>
  <c r="AL2151" i="1"/>
  <c r="A2152" i="1"/>
  <c r="B2152" i="1"/>
  <c r="C2152" i="1"/>
  <c r="G2152" i="1"/>
  <c r="H2152" i="1"/>
  <c r="I2152" i="1"/>
  <c r="J2152" i="1"/>
  <c r="K2152" i="1"/>
  <c r="P2152" i="1"/>
  <c r="Q2152" i="1"/>
  <c r="R2152" i="1"/>
  <c r="S2152" i="1"/>
  <c r="T2152" i="1"/>
  <c r="Z2152" i="1"/>
  <c r="AL2152" i="1"/>
  <c r="A2153" i="1"/>
  <c r="B2153" i="1"/>
  <c r="C2153" i="1"/>
  <c r="G2153" i="1"/>
  <c r="H2153" i="1"/>
  <c r="I2153" i="1"/>
  <c r="J2153" i="1"/>
  <c r="K2153" i="1"/>
  <c r="P2153" i="1"/>
  <c r="Q2153" i="1"/>
  <c r="R2153" i="1"/>
  <c r="S2153" i="1"/>
  <c r="T2153" i="1"/>
  <c r="Z2153" i="1"/>
  <c r="AL2153" i="1"/>
  <c r="A2154" i="1"/>
  <c r="B2154" i="1"/>
  <c r="C2154" i="1"/>
  <c r="G2154" i="1"/>
  <c r="H2154" i="1"/>
  <c r="I2154" i="1"/>
  <c r="J2154" i="1"/>
  <c r="K2154" i="1"/>
  <c r="M2154" i="1"/>
  <c r="N2154" i="1"/>
  <c r="P2154" i="1"/>
  <c r="Q2154" i="1"/>
  <c r="R2154" i="1"/>
  <c r="S2154" i="1"/>
  <c r="T2154" i="1"/>
  <c r="Z2154" i="1"/>
  <c r="AL2154" i="1"/>
  <c r="A2155" i="1"/>
  <c r="B2155" i="1"/>
  <c r="C2155" i="1"/>
  <c r="G2155" i="1"/>
  <c r="H2155" i="1"/>
  <c r="I2155" i="1"/>
  <c r="J2155" i="1"/>
  <c r="K2155" i="1"/>
  <c r="M2155" i="1"/>
  <c r="N2155" i="1"/>
  <c r="P2155" i="1"/>
  <c r="Q2155" i="1"/>
  <c r="R2155" i="1"/>
  <c r="S2155" i="1"/>
  <c r="T2155" i="1"/>
  <c r="AL2155" i="1"/>
  <c r="A2156" i="1"/>
  <c r="B2156" i="1"/>
  <c r="C2156" i="1"/>
  <c r="G2156" i="1"/>
  <c r="H2156" i="1"/>
  <c r="I2156" i="1"/>
  <c r="J2156" i="1"/>
  <c r="K2156" i="1"/>
  <c r="M2156" i="1"/>
  <c r="N2156" i="1"/>
  <c r="P2156" i="1"/>
  <c r="Q2156" i="1"/>
  <c r="R2156" i="1"/>
  <c r="S2156" i="1"/>
  <c r="T2156" i="1"/>
  <c r="Z2156" i="1"/>
  <c r="AL2156" i="1"/>
  <c r="A2157" i="1"/>
  <c r="B2157" i="1"/>
  <c r="C2157" i="1"/>
  <c r="G2157" i="1"/>
  <c r="H2157" i="1"/>
  <c r="I2157" i="1"/>
  <c r="J2157" i="1"/>
  <c r="K2157" i="1"/>
  <c r="M2157" i="1"/>
  <c r="N2157" i="1"/>
  <c r="P2157" i="1"/>
  <c r="Q2157" i="1"/>
  <c r="R2157" i="1"/>
  <c r="S2157" i="1"/>
  <c r="T2157" i="1"/>
  <c r="AL2157" i="1"/>
  <c r="A2158" i="1"/>
  <c r="B2158" i="1"/>
  <c r="C2158" i="1"/>
  <c r="G2158" i="1"/>
  <c r="H2158" i="1"/>
  <c r="I2158" i="1"/>
  <c r="J2158" i="1"/>
  <c r="K2158" i="1"/>
  <c r="M2158" i="1"/>
  <c r="N2158" i="1"/>
  <c r="P2158" i="1"/>
  <c r="Q2158" i="1"/>
  <c r="R2158" i="1"/>
  <c r="S2158" i="1"/>
  <c r="T2158" i="1"/>
  <c r="AL2158" i="1"/>
  <c r="A2159" i="1"/>
  <c r="B2159" i="1"/>
  <c r="C2159" i="1"/>
  <c r="G2159" i="1"/>
  <c r="H2159" i="1"/>
  <c r="I2159" i="1"/>
  <c r="J2159" i="1"/>
  <c r="K2159" i="1"/>
  <c r="M2159" i="1"/>
  <c r="N2159" i="1"/>
  <c r="P2159" i="1"/>
  <c r="Q2159" i="1"/>
  <c r="R2159" i="1"/>
  <c r="S2159" i="1"/>
  <c r="T2159" i="1"/>
  <c r="AL2159" i="1"/>
  <c r="A2160" i="1"/>
  <c r="B2160" i="1"/>
  <c r="C2160" i="1"/>
  <c r="G2160" i="1"/>
  <c r="H2160" i="1"/>
  <c r="I2160" i="1"/>
  <c r="J2160" i="1"/>
  <c r="K2160" i="1"/>
  <c r="M2160" i="1"/>
  <c r="N2160" i="1"/>
  <c r="P2160" i="1"/>
  <c r="Q2160" i="1"/>
  <c r="R2160" i="1"/>
  <c r="S2160" i="1"/>
  <c r="T2160" i="1"/>
  <c r="AL2160" i="1"/>
  <c r="A2161" i="1"/>
  <c r="B2161" i="1"/>
  <c r="C2161" i="1"/>
  <c r="G2161" i="1"/>
  <c r="H2161" i="1"/>
  <c r="I2161" i="1"/>
  <c r="J2161" i="1"/>
  <c r="K2161" i="1"/>
  <c r="M2161" i="1"/>
  <c r="N2161" i="1"/>
  <c r="P2161" i="1"/>
  <c r="Q2161" i="1"/>
  <c r="R2161" i="1"/>
  <c r="S2161" i="1"/>
  <c r="T2161" i="1"/>
  <c r="AL2161" i="1"/>
  <c r="A2162" i="1"/>
  <c r="B2162" i="1"/>
  <c r="C2162" i="1"/>
  <c r="G2162" i="1"/>
  <c r="H2162" i="1"/>
  <c r="I2162" i="1"/>
  <c r="J2162" i="1"/>
  <c r="K2162" i="1"/>
  <c r="M2162" i="1"/>
  <c r="N2162" i="1"/>
  <c r="P2162" i="1"/>
  <c r="Q2162" i="1"/>
  <c r="R2162" i="1"/>
  <c r="S2162" i="1"/>
  <c r="T2162" i="1"/>
  <c r="AL2162" i="1"/>
  <c r="A2163" i="1"/>
  <c r="B2163" i="1"/>
  <c r="C2163" i="1"/>
  <c r="G2163" i="1"/>
  <c r="H2163" i="1"/>
  <c r="I2163" i="1"/>
  <c r="J2163" i="1"/>
  <c r="K2163" i="1"/>
  <c r="M2163" i="1"/>
  <c r="N2163" i="1"/>
  <c r="P2163" i="1"/>
  <c r="Q2163" i="1"/>
  <c r="R2163" i="1"/>
  <c r="S2163" i="1"/>
  <c r="T2163" i="1"/>
  <c r="Z2163" i="1"/>
  <c r="AL2163" i="1"/>
  <c r="A2164" i="1"/>
  <c r="B2164" i="1"/>
  <c r="C2164" i="1"/>
  <c r="G2164" i="1"/>
  <c r="H2164" i="1"/>
  <c r="I2164" i="1"/>
  <c r="J2164" i="1"/>
  <c r="K2164" i="1"/>
  <c r="M2164" i="1"/>
  <c r="N2164" i="1"/>
  <c r="P2164" i="1"/>
  <c r="Q2164" i="1"/>
  <c r="R2164" i="1"/>
  <c r="S2164" i="1"/>
  <c r="T2164" i="1"/>
  <c r="Z2164" i="1"/>
  <c r="AL2164" i="1"/>
  <c r="A2165" i="1"/>
  <c r="B2165" i="1"/>
  <c r="C2165" i="1"/>
  <c r="G2165" i="1"/>
  <c r="H2165" i="1"/>
  <c r="I2165" i="1"/>
  <c r="J2165" i="1"/>
  <c r="K2165" i="1"/>
  <c r="M2165" i="1"/>
  <c r="N2165" i="1"/>
  <c r="P2165" i="1"/>
  <c r="Q2165" i="1"/>
  <c r="R2165" i="1"/>
  <c r="S2165" i="1"/>
  <c r="T2165" i="1"/>
  <c r="AL2165" i="1"/>
  <c r="A2166" i="1"/>
  <c r="B2166" i="1"/>
  <c r="C2166" i="1"/>
  <c r="G2166" i="1"/>
  <c r="H2166" i="1"/>
  <c r="I2166" i="1"/>
  <c r="J2166" i="1"/>
  <c r="K2166" i="1"/>
  <c r="M2166" i="1"/>
  <c r="N2166" i="1"/>
  <c r="P2166" i="1"/>
  <c r="Q2166" i="1"/>
  <c r="R2166" i="1"/>
  <c r="S2166" i="1"/>
  <c r="T2166" i="1"/>
  <c r="AL2166" i="1"/>
  <c r="A2167" i="1"/>
  <c r="B2167" i="1"/>
  <c r="C2167" i="1"/>
  <c r="G2167" i="1"/>
  <c r="H2167" i="1"/>
  <c r="I2167" i="1"/>
  <c r="J2167" i="1"/>
  <c r="K2167" i="1"/>
  <c r="M2167" i="1"/>
  <c r="N2167" i="1"/>
  <c r="P2167" i="1"/>
  <c r="Q2167" i="1"/>
  <c r="R2167" i="1"/>
  <c r="S2167" i="1"/>
  <c r="T2167" i="1"/>
  <c r="AL2167" i="1"/>
  <c r="A2168" i="1"/>
  <c r="B2168" i="1"/>
  <c r="C2168" i="1"/>
  <c r="G2168" i="1"/>
  <c r="H2168" i="1"/>
  <c r="I2168" i="1"/>
  <c r="J2168" i="1"/>
  <c r="K2168" i="1"/>
  <c r="P2168" i="1"/>
  <c r="Q2168" i="1"/>
  <c r="R2168" i="1"/>
  <c r="S2168" i="1"/>
  <c r="T2168" i="1"/>
  <c r="AL2168" i="1"/>
  <c r="A2169" i="1"/>
  <c r="B2169" i="1"/>
  <c r="C2169" i="1"/>
  <c r="G2169" i="1"/>
  <c r="H2169" i="1"/>
  <c r="I2169" i="1"/>
  <c r="J2169" i="1"/>
  <c r="K2169" i="1"/>
  <c r="P2169" i="1"/>
  <c r="Q2169" i="1"/>
  <c r="R2169" i="1"/>
  <c r="S2169" i="1"/>
  <c r="T2169" i="1"/>
  <c r="AL2169" i="1"/>
  <c r="A2170" i="1"/>
  <c r="B2170" i="1"/>
  <c r="C2170" i="1"/>
  <c r="G2170" i="1"/>
  <c r="H2170" i="1"/>
  <c r="I2170" i="1"/>
  <c r="J2170" i="1"/>
  <c r="K2170" i="1"/>
  <c r="M2170" i="1"/>
  <c r="N2170" i="1"/>
  <c r="P2170" i="1"/>
  <c r="Q2170" i="1"/>
  <c r="R2170" i="1"/>
  <c r="S2170" i="1"/>
  <c r="T2170" i="1"/>
  <c r="Z2170" i="1"/>
  <c r="AL2170" i="1"/>
  <c r="A2171" i="1"/>
  <c r="B2171" i="1"/>
  <c r="C2171" i="1"/>
  <c r="G2171" i="1"/>
  <c r="H2171" i="1"/>
  <c r="I2171" i="1"/>
  <c r="J2171" i="1"/>
  <c r="K2171" i="1"/>
  <c r="M2171" i="1"/>
  <c r="N2171" i="1"/>
  <c r="P2171" i="1"/>
  <c r="Q2171" i="1"/>
  <c r="R2171" i="1"/>
  <c r="S2171" i="1"/>
  <c r="T2171" i="1"/>
  <c r="Z2171" i="1"/>
  <c r="AL2171" i="1"/>
  <c r="A2172" i="1"/>
  <c r="B2172" i="1"/>
  <c r="C2172" i="1"/>
  <c r="G2172" i="1"/>
  <c r="H2172" i="1"/>
  <c r="I2172" i="1"/>
  <c r="J2172" i="1"/>
  <c r="K2172" i="1"/>
  <c r="M2172" i="1"/>
  <c r="N2172" i="1"/>
  <c r="P2172" i="1"/>
  <c r="Q2172" i="1"/>
  <c r="R2172" i="1"/>
  <c r="S2172" i="1"/>
  <c r="T2172" i="1"/>
  <c r="Z2172" i="1"/>
  <c r="AL2172" i="1"/>
  <c r="A2173" i="1"/>
  <c r="B2173" i="1"/>
  <c r="C2173" i="1"/>
  <c r="G2173" i="1"/>
  <c r="H2173" i="1"/>
  <c r="I2173" i="1"/>
  <c r="J2173" i="1"/>
  <c r="K2173" i="1"/>
  <c r="M2173" i="1"/>
  <c r="N2173" i="1"/>
  <c r="P2173" i="1"/>
  <c r="Q2173" i="1"/>
  <c r="R2173" i="1"/>
  <c r="S2173" i="1"/>
  <c r="T2173" i="1"/>
  <c r="Z2173" i="1"/>
  <c r="AL2173" i="1"/>
  <c r="A2174" i="1"/>
  <c r="B2174" i="1"/>
  <c r="C2174" i="1"/>
  <c r="G2174" i="1"/>
  <c r="H2174" i="1"/>
  <c r="I2174" i="1"/>
  <c r="J2174" i="1"/>
  <c r="K2174" i="1"/>
  <c r="M2174" i="1"/>
  <c r="N2174" i="1"/>
  <c r="P2174" i="1"/>
  <c r="Q2174" i="1"/>
  <c r="R2174" i="1"/>
  <c r="S2174" i="1"/>
  <c r="T2174" i="1"/>
  <c r="Z2174" i="1"/>
  <c r="AL2174" i="1"/>
  <c r="A2175" i="1"/>
  <c r="B2175" i="1"/>
  <c r="C2175" i="1"/>
  <c r="G2175" i="1"/>
  <c r="H2175" i="1"/>
  <c r="I2175" i="1"/>
  <c r="J2175" i="1"/>
  <c r="K2175" i="1"/>
  <c r="M2175" i="1"/>
  <c r="N2175" i="1"/>
  <c r="P2175" i="1"/>
  <c r="Q2175" i="1"/>
  <c r="R2175" i="1"/>
  <c r="S2175" i="1"/>
  <c r="T2175" i="1"/>
  <c r="Z2175" i="1"/>
  <c r="AL2175" i="1"/>
  <c r="A2176" i="1"/>
  <c r="B2176" i="1"/>
  <c r="C2176" i="1"/>
  <c r="G2176" i="1"/>
  <c r="H2176" i="1"/>
  <c r="I2176" i="1"/>
  <c r="J2176" i="1"/>
  <c r="K2176" i="1"/>
  <c r="M2176" i="1"/>
  <c r="N2176" i="1"/>
  <c r="P2176" i="1"/>
  <c r="Q2176" i="1"/>
  <c r="R2176" i="1"/>
  <c r="S2176" i="1"/>
  <c r="T2176" i="1"/>
  <c r="Z2176" i="1"/>
  <c r="AL2176" i="1"/>
  <c r="A2177" i="1"/>
  <c r="B2177" i="1"/>
  <c r="C2177" i="1"/>
  <c r="G2177" i="1"/>
  <c r="H2177" i="1"/>
  <c r="I2177" i="1"/>
  <c r="J2177" i="1"/>
  <c r="K2177" i="1"/>
  <c r="M2177" i="1"/>
  <c r="N2177" i="1"/>
  <c r="P2177" i="1"/>
  <c r="Q2177" i="1"/>
  <c r="R2177" i="1"/>
  <c r="S2177" i="1"/>
  <c r="T2177" i="1"/>
  <c r="Z2177" i="1"/>
  <c r="AL2177" i="1"/>
  <c r="A2178" i="1"/>
  <c r="B2178" i="1"/>
  <c r="C2178" i="1"/>
  <c r="G2178" i="1"/>
  <c r="H2178" i="1"/>
  <c r="I2178" i="1"/>
  <c r="J2178" i="1"/>
  <c r="K2178" i="1"/>
  <c r="M2178" i="1"/>
  <c r="N2178" i="1"/>
  <c r="P2178" i="1"/>
  <c r="Q2178" i="1"/>
  <c r="R2178" i="1"/>
  <c r="S2178" i="1"/>
  <c r="T2178" i="1"/>
  <c r="Z2178" i="1"/>
  <c r="AL2178" i="1"/>
  <c r="A2179" i="1"/>
  <c r="B2179" i="1"/>
  <c r="C2179" i="1"/>
  <c r="G2179" i="1"/>
  <c r="H2179" i="1"/>
  <c r="I2179" i="1"/>
  <c r="J2179" i="1"/>
  <c r="K2179" i="1"/>
  <c r="P2179" i="1"/>
  <c r="Q2179" i="1"/>
  <c r="R2179" i="1"/>
  <c r="S2179" i="1"/>
  <c r="T2179" i="1"/>
  <c r="AL2179" i="1"/>
  <c r="A2180" i="1"/>
  <c r="B2180" i="1"/>
  <c r="C2180" i="1"/>
  <c r="G2180" i="1"/>
  <c r="H2180" i="1"/>
  <c r="I2180" i="1"/>
  <c r="J2180" i="1"/>
  <c r="K2180" i="1"/>
  <c r="M2180" i="1"/>
  <c r="N2180" i="1"/>
  <c r="P2180" i="1"/>
  <c r="Q2180" i="1"/>
  <c r="R2180" i="1"/>
  <c r="S2180" i="1"/>
  <c r="T2180" i="1"/>
  <c r="Z2180" i="1"/>
  <c r="AL2180" i="1"/>
  <c r="A2181" i="1"/>
  <c r="B2181" i="1"/>
  <c r="C2181" i="1"/>
  <c r="G2181" i="1"/>
  <c r="H2181" i="1"/>
  <c r="I2181" i="1"/>
  <c r="J2181" i="1"/>
  <c r="K2181" i="1"/>
  <c r="P2181" i="1"/>
  <c r="Q2181" i="1"/>
  <c r="R2181" i="1"/>
  <c r="S2181" i="1"/>
  <c r="T2181" i="1"/>
  <c r="Z2181" i="1"/>
  <c r="AL2181" i="1"/>
  <c r="A2182" i="1"/>
  <c r="B2182" i="1"/>
  <c r="C2182" i="1"/>
  <c r="G2182" i="1"/>
  <c r="H2182" i="1"/>
  <c r="I2182" i="1"/>
  <c r="J2182" i="1"/>
  <c r="K2182" i="1"/>
  <c r="M2182" i="1"/>
  <c r="N2182" i="1"/>
  <c r="P2182" i="1"/>
  <c r="Q2182" i="1"/>
  <c r="R2182" i="1"/>
  <c r="S2182" i="1"/>
  <c r="T2182" i="1"/>
  <c r="AL2182" i="1"/>
  <c r="A2183" i="1"/>
  <c r="B2183" i="1"/>
  <c r="C2183" i="1"/>
  <c r="G2183" i="1"/>
  <c r="H2183" i="1"/>
  <c r="I2183" i="1"/>
  <c r="J2183" i="1"/>
  <c r="K2183" i="1"/>
  <c r="M2183" i="1"/>
  <c r="N2183" i="1"/>
  <c r="P2183" i="1"/>
  <c r="Q2183" i="1"/>
  <c r="R2183" i="1"/>
  <c r="S2183" i="1"/>
  <c r="T2183" i="1"/>
  <c r="Z2183" i="1"/>
  <c r="AL2183" i="1"/>
  <c r="A2184" i="1"/>
  <c r="B2184" i="1"/>
  <c r="C2184" i="1"/>
  <c r="G2184" i="1"/>
  <c r="H2184" i="1"/>
  <c r="I2184" i="1"/>
  <c r="J2184" i="1"/>
  <c r="K2184" i="1"/>
  <c r="M2184" i="1"/>
  <c r="N2184" i="1"/>
  <c r="P2184" i="1"/>
  <c r="Q2184" i="1"/>
  <c r="R2184" i="1"/>
  <c r="S2184" i="1"/>
  <c r="T2184" i="1"/>
  <c r="Z2184" i="1"/>
  <c r="AL2184" i="1"/>
  <c r="A2185" i="1"/>
  <c r="B2185" i="1"/>
  <c r="C2185" i="1"/>
  <c r="G2185" i="1"/>
  <c r="H2185" i="1"/>
  <c r="I2185" i="1"/>
  <c r="J2185" i="1"/>
  <c r="K2185" i="1"/>
  <c r="M2185" i="1"/>
  <c r="N2185" i="1"/>
  <c r="P2185" i="1"/>
  <c r="Q2185" i="1"/>
  <c r="R2185" i="1"/>
  <c r="S2185" i="1"/>
  <c r="T2185" i="1"/>
  <c r="Z2185" i="1"/>
  <c r="AL2185" i="1"/>
  <c r="A2186" i="1"/>
  <c r="B2186" i="1"/>
  <c r="C2186" i="1"/>
  <c r="G2186" i="1"/>
  <c r="H2186" i="1"/>
  <c r="I2186" i="1"/>
  <c r="J2186" i="1"/>
  <c r="K2186" i="1"/>
  <c r="M2186" i="1"/>
  <c r="N2186" i="1"/>
  <c r="P2186" i="1"/>
  <c r="Q2186" i="1"/>
  <c r="R2186" i="1"/>
  <c r="S2186" i="1"/>
  <c r="T2186" i="1"/>
  <c r="Z2186" i="1"/>
  <c r="AL2186" i="1"/>
  <c r="A2187" i="1"/>
  <c r="B2187" i="1"/>
  <c r="C2187" i="1"/>
  <c r="G2187" i="1"/>
  <c r="H2187" i="1"/>
  <c r="I2187" i="1"/>
  <c r="J2187" i="1"/>
  <c r="K2187" i="1"/>
  <c r="M2187" i="1"/>
  <c r="N2187" i="1"/>
  <c r="P2187" i="1"/>
  <c r="Q2187" i="1"/>
  <c r="R2187" i="1"/>
  <c r="S2187" i="1"/>
  <c r="T2187" i="1"/>
  <c r="Z2187" i="1"/>
  <c r="AL2187" i="1"/>
  <c r="A2188" i="1"/>
  <c r="B2188" i="1"/>
  <c r="C2188" i="1"/>
  <c r="G2188" i="1"/>
  <c r="H2188" i="1"/>
  <c r="I2188" i="1"/>
  <c r="J2188" i="1"/>
  <c r="K2188" i="1"/>
  <c r="M2188" i="1"/>
  <c r="N2188" i="1"/>
  <c r="P2188" i="1"/>
  <c r="Q2188" i="1"/>
  <c r="R2188" i="1"/>
  <c r="S2188" i="1"/>
  <c r="T2188" i="1"/>
  <c r="AL2188" i="1"/>
  <c r="A2189" i="1"/>
  <c r="B2189" i="1"/>
  <c r="C2189" i="1"/>
  <c r="G2189" i="1"/>
  <c r="H2189" i="1"/>
  <c r="I2189" i="1"/>
  <c r="J2189" i="1"/>
  <c r="K2189" i="1"/>
  <c r="M2189" i="1"/>
  <c r="N2189" i="1"/>
  <c r="P2189" i="1"/>
  <c r="Q2189" i="1"/>
  <c r="R2189" i="1"/>
  <c r="S2189" i="1"/>
  <c r="T2189" i="1"/>
  <c r="Z2189" i="1"/>
  <c r="AL2189" i="1"/>
  <c r="A2190" i="1"/>
  <c r="B2190" i="1"/>
  <c r="C2190" i="1"/>
  <c r="G2190" i="1"/>
  <c r="H2190" i="1"/>
  <c r="I2190" i="1"/>
  <c r="J2190" i="1"/>
  <c r="K2190" i="1"/>
  <c r="M2190" i="1"/>
  <c r="N2190" i="1"/>
  <c r="P2190" i="1"/>
  <c r="Q2190" i="1"/>
  <c r="R2190" i="1"/>
  <c r="S2190" i="1"/>
  <c r="T2190" i="1"/>
  <c r="Z2190" i="1"/>
  <c r="AL2190" i="1"/>
  <c r="A2191" i="1"/>
  <c r="B2191" i="1"/>
  <c r="C2191" i="1"/>
  <c r="G2191" i="1"/>
  <c r="H2191" i="1"/>
  <c r="I2191" i="1"/>
  <c r="J2191" i="1"/>
  <c r="K2191" i="1"/>
  <c r="M2191" i="1"/>
  <c r="N2191" i="1"/>
  <c r="P2191" i="1"/>
  <c r="Q2191" i="1"/>
  <c r="R2191" i="1"/>
  <c r="S2191" i="1"/>
  <c r="T2191" i="1"/>
  <c r="AL2191" i="1"/>
  <c r="A2192" i="1"/>
  <c r="B2192" i="1"/>
  <c r="C2192" i="1"/>
  <c r="G2192" i="1"/>
  <c r="H2192" i="1"/>
  <c r="I2192" i="1"/>
  <c r="J2192" i="1"/>
  <c r="K2192" i="1"/>
  <c r="M2192" i="1"/>
  <c r="N2192" i="1"/>
  <c r="P2192" i="1"/>
  <c r="Q2192" i="1"/>
  <c r="R2192" i="1"/>
  <c r="S2192" i="1"/>
  <c r="T2192" i="1"/>
  <c r="Z2192" i="1"/>
  <c r="AL2192" i="1"/>
  <c r="A2193" i="1"/>
  <c r="B2193" i="1"/>
  <c r="C2193" i="1"/>
  <c r="G2193" i="1"/>
  <c r="H2193" i="1"/>
  <c r="I2193" i="1"/>
  <c r="J2193" i="1"/>
  <c r="K2193" i="1"/>
  <c r="M2193" i="1"/>
  <c r="N2193" i="1"/>
  <c r="P2193" i="1"/>
  <c r="Q2193" i="1"/>
  <c r="R2193" i="1"/>
  <c r="S2193" i="1"/>
  <c r="T2193" i="1"/>
  <c r="Z2193" i="1"/>
  <c r="AL2193" i="1"/>
  <c r="A2194" i="1"/>
  <c r="B2194" i="1"/>
  <c r="C2194" i="1"/>
  <c r="G2194" i="1"/>
  <c r="H2194" i="1"/>
  <c r="I2194" i="1"/>
  <c r="J2194" i="1"/>
  <c r="K2194" i="1"/>
  <c r="M2194" i="1"/>
  <c r="N2194" i="1"/>
  <c r="P2194" i="1"/>
  <c r="Q2194" i="1"/>
  <c r="R2194" i="1"/>
  <c r="S2194" i="1"/>
  <c r="T2194" i="1"/>
  <c r="Z2194" i="1"/>
  <c r="AL2194" i="1"/>
  <c r="A2195" i="1"/>
  <c r="B2195" i="1"/>
  <c r="C2195" i="1"/>
  <c r="G2195" i="1"/>
  <c r="H2195" i="1"/>
  <c r="I2195" i="1"/>
  <c r="J2195" i="1"/>
  <c r="K2195" i="1"/>
  <c r="M2195" i="1"/>
  <c r="N2195" i="1"/>
  <c r="P2195" i="1"/>
  <c r="Q2195" i="1"/>
  <c r="R2195" i="1"/>
  <c r="S2195" i="1"/>
  <c r="T2195" i="1"/>
  <c r="Z2195" i="1"/>
  <c r="AL2195" i="1"/>
  <c r="A2196" i="1"/>
  <c r="B2196" i="1"/>
  <c r="C2196" i="1"/>
  <c r="G2196" i="1"/>
  <c r="H2196" i="1"/>
  <c r="I2196" i="1"/>
  <c r="J2196" i="1"/>
  <c r="K2196" i="1"/>
  <c r="M2196" i="1"/>
  <c r="N2196" i="1"/>
  <c r="P2196" i="1"/>
  <c r="Q2196" i="1"/>
  <c r="R2196" i="1"/>
  <c r="S2196" i="1"/>
  <c r="T2196" i="1"/>
  <c r="Z2196" i="1"/>
  <c r="AL2196" i="1"/>
  <c r="A2197" i="1"/>
  <c r="B2197" i="1"/>
  <c r="C2197" i="1"/>
  <c r="G2197" i="1"/>
  <c r="H2197" i="1"/>
  <c r="I2197" i="1"/>
  <c r="J2197" i="1"/>
  <c r="K2197" i="1"/>
  <c r="M2197" i="1"/>
  <c r="N2197" i="1"/>
  <c r="P2197" i="1"/>
  <c r="Q2197" i="1"/>
  <c r="R2197" i="1"/>
  <c r="S2197" i="1"/>
  <c r="T2197" i="1"/>
  <c r="Z2197" i="1"/>
  <c r="AL2197" i="1"/>
  <c r="A2198" i="1"/>
  <c r="B2198" i="1"/>
  <c r="C2198" i="1"/>
  <c r="G2198" i="1"/>
  <c r="H2198" i="1"/>
  <c r="I2198" i="1"/>
  <c r="J2198" i="1"/>
  <c r="K2198" i="1"/>
  <c r="M2198" i="1"/>
  <c r="N2198" i="1"/>
  <c r="P2198" i="1"/>
  <c r="Q2198" i="1"/>
  <c r="R2198" i="1"/>
  <c r="S2198" i="1"/>
  <c r="T2198" i="1"/>
  <c r="Z2198" i="1"/>
  <c r="AL2198" i="1"/>
  <c r="A2199" i="1"/>
  <c r="B2199" i="1"/>
  <c r="C2199" i="1"/>
  <c r="G2199" i="1"/>
  <c r="H2199" i="1"/>
  <c r="I2199" i="1"/>
  <c r="J2199" i="1"/>
  <c r="K2199" i="1"/>
  <c r="M2199" i="1"/>
  <c r="N2199" i="1"/>
  <c r="P2199" i="1"/>
  <c r="Q2199" i="1"/>
  <c r="R2199" i="1"/>
  <c r="S2199" i="1"/>
  <c r="T2199" i="1"/>
  <c r="Z2199" i="1"/>
  <c r="AL2199" i="1"/>
  <c r="A2200" i="1"/>
  <c r="B2200" i="1"/>
  <c r="C2200" i="1"/>
  <c r="G2200" i="1"/>
  <c r="H2200" i="1"/>
  <c r="I2200" i="1"/>
  <c r="J2200" i="1"/>
  <c r="K2200" i="1"/>
  <c r="M2200" i="1"/>
  <c r="N2200" i="1"/>
  <c r="P2200" i="1"/>
  <c r="Q2200" i="1"/>
  <c r="R2200" i="1"/>
  <c r="S2200" i="1"/>
  <c r="T2200" i="1"/>
  <c r="Z2200" i="1"/>
  <c r="AL2200" i="1"/>
  <c r="A2201" i="1"/>
  <c r="B2201" i="1"/>
  <c r="C2201" i="1"/>
  <c r="G2201" i="1"/>
  <c r="H2201" i="1"/>
  <c r="I2201" i="1"/>
  <c r="J2201" i="1"/>
  <c r="K2201" i="1"/>
  <c r="M2201" i="1"/>
  <c r="N2201" i="1"/>
  <c r="P2201" i="1"/>
  <c r="Q2201" i="1"/>
  <c r="R2201" i="1"/>
  <c r="S2201" i="1"/>
  <c r="T2201" i="1"/>
  <c r="Z2201" i="1"/>
  <c r="AL2201" i="1"/>
  <c r="A2202" i="1"/>
  <c r="B2202" i="1"/>
  <c r="C2202" i="1"/>
  <c r="G2202" i="1"/>
  <c r="H2202" i="1"/>
  <c r="I2202" i="1"/>
  <c r="J2202" i="1"/>
  <c r="K2202" i="1"/>
  <c r="M2202" i="1"/>
  <c r="N2202" i="1"/>
  <c r="P2202" i="1"/>
  <c r="Q2202" i="1"/>
  <c r="R2202" i="1"/>
  <c r="S2202" i="1"/>
  <c r="T2202" i="1"/>
  <c r="Z2202" i="1"/>
  <c r="AL2202" i="1"/>
  <c r="A2203" i="1"/>
  <c r="B2203" i="1"/>
  <c r="C2203" i="1"/>
  <c r="G2203" i="1"/>
  <c r="H2203" i="1"/>
  <c r="I2203" i="1"/>
  <c r="J2203" i="1"/>
  <c r="K2203" i="1"/>
  <c r="M2203" i="1"/>
  <c r="N2203" i="1"/>
  <c r="P2203" i="1"/>
  <c r="Q2203" i="1"/>
  <c r="R2203" i="1"/>
  <c r="S2203" i="1"/>
  <c r="T2203" i="1"/>
  <c r="Z2203" i="1"/>
  <c r="AL2203" i="1"/>
  <c r="A2204" i="1"/>
  <c r="B2204" i="1"/>
  <c r="C2204" i="1"/>
  <c r="G2204" i="1"/>
  <c r="H2204" i="1"/>
  <c r="I2204" i="1"/>
  <c r="J2204" i="1"/>
  <c r="K2204" i="1"/>
  <c r="M2204" i="1"/>
  <c r="N2204" i="1"/>
  <c r="P2204" i="1"/>
  <c r="Q2204" i="1"/>
  <c r="R2204" i="1"/>
  <c r="S2204" i="1"/>
  <c r="T2204" i="1"/>
  <c r="Z2204" i="1"/>
  <c r="AL2204" i="1"/>
  <c r="A2205" i="1"/>
  <c r="B2205" i="1"/>
  <c r="C2205" i="1"/>
  <c r="G2205" i="1"/>
  <c r="H2205" i="1"/>
  <c r="I2205" i="1"/>
  <c r="J2205" i="1"/>
  <c r="K2205" i="1"/>
  <c r="M2205" i="1"/>
  <c r="N2205" i="1"/>
  <c r="P2205" i="1"/>
  <c r="Q2205" i="1"/>
  <c r="R2205" i="1"/>
  <c r="S2205" i="1"/>
  <c r="T2205" i="1"/>
  <c r="Z2205" i="1"/>
  <c r="AL2205" i="1"/>
  <c r="A2206" i="1"/>
  <c r="B2206" i="1"/>
  <c r="C2206" i="1"/>
  <c r="G2206" i="1"/>
  <c r="H2206" i="1"/>
  <c r="I2206" i="1"/>
  <c r="J2206" i="1"/>
  <c r="K2206" i="1"/>
  <c r="M2206" i="1"/>
  <c r="N2206" i="1"/>
  <c r="P2206" i="1"/>
  <c r="Q2206" i="1"/>
  <c r="R2206" i="1"/>
  <c r="S2206" i="1"/>
  <c r="T2206" i="1"/>
  <c r="Z2206" i="1"/>
  <c r="AL2206" i="1"/>
  <c r="A2207" i="1"/>
  <c r="B2207" i="1"/>
  <c r="C2207" i="1"/>
  <c r="G2207" i="1"/>
  <c r="H2207" i="1"/>
  <c r="I2207" i="1"/>
  <c r="J2207" i="1"/>
  <c r="K2207" i="1"/>
  <c r="M2207" i="1"/>
  <c r="N2207" i="1"/>
  <c r="P2207" i="1"/>
  <c r="Q2207" i="1"/>
  <c r="R2207" i="1"/>
  <c r="S2207" i="1"/>
  <c r="T2207" i="1"/>
  <c r="Z2207" i="1"/>
  <c r="AL2207" i="1"/>
  <c r="A2208" i="1"/>
  <c r="B2208" i="1"/>
  <c r="C2208" i="1"/>
  <c r="G2208" i="1"/>
  <c r="H2208" i="1"/>
  <c r="I2208" i="1"/>
  <c r="J2208" i="1"/>
  <c r="K2208" i="1"/>
  <c r="M2208" i="1"/>
  <c r="N2208" i="1"/>
  <c r="P2208" i="1"/>
  <c r="Q2208" i="1"/>
  <c r="R2208" i="1"/>
  <c r="S2208" i="1"/>
  <c r="T2208" i="1"/>
  <c r="Z2208" i="1"/>
  <c r="AL2208" i="1"/>
  <c r="A2209" i="1"/>
  <c r="B2209" i="1"/>
  <c r="C2209" i="1"/>
  <c r="G2209" i="1"/>
  <c r="H2209" i="1"/>
  <c r="I2209" i="1"/>
  <c r="J2209" i="1"/>
  <c r="K2209" i="1"/>
  <c r="M2209" i="1"/>
  <c r="N2209" i="1"/>
  <c r="P2209" i="1"/>
  <c r="Q2209" i="1"/>
  <c r="R2209" i="1"/>
  <c r="S2209" i="1"/>
  <c r="T2209" i="1"/>
  <c r="Z2209" i="1"/>
  <c r="AL2209" i="1"/>
  <c r="A2210" i="1"/>
  <c r="B2210" i="1"/>
  <c r="C2210" i="1"/>
  <c r="G2210" i="1"/>
  <c r="H2210" i="1"/>
  <c r="I2210" i="1"/>
  <c r="J2210" i="1"/>
  <c r="K2210" i="1"/>
  <c r="M2210" i="1"/>
  <c r="N2210" i="1"/>
  <c r="P2210" i="1"/>
  <c r="Q2210" i="1"/>
  <c r="R2210" i="1"/>
  <c r="S2210" i="1"/>
  <c r="T2210" i="1"/>
  <c r="Z2210" i="1"/>
  <c r="AL2210" i="1"/>
  <c r="A2211" i="1"/>
  <c r="B2211" i="1"/>
  <c r="C2211" i="1"/>
  <c r="G2211" i="1"/>
  <c r="H2211" i="1"/>
  <c r="I2211" i="1"/>
  <c r="J2211" i="1"/>
  <c r="K2211" i="1"/>
  <c r="M2211" i="1"/>
  <c r="N2211" i="1"/>
  <c r="P2211" i="1"/>
  <c r="Q2211" i="1"/>
  <c r="R2211" i="1"/>
  <c r="S2211" i="1"/>
  <c r="T2211" i="1"/>
  <c r="Z2211" i="1"/>
  <c r="AL2211" i="1"/>
  <c r="A2212" i="1"/>
  <c r="B2212" i="1"/>
  <c r="C2212" i="1"/>
  <c r="G2212" i="1"/>
  <c r="H2212" i="1"/>
  <c r="I2212" i="1"/>
  <c r="J2212" i="1"/>
  <c r="K2212" i="1"/>
  <c r="M2212" i="1"/>
  <c r="N2212" i="1"/>
  <c r="P2212" i="1"/>
  <c r="Q2212" i="1"/>
  <c r="R2212" i="1"/>
  <c r="S2212" i="1"/>
  <c r="T2212" i="1"/>
  <c r="Z2212" i="1"/>
  <c r="AL2212" i="1"/>
  <c r="A2213" i="1"/>
  <c r="B2213" i="1"/>
  <c r="C2213" i="1"/>
  <c r="G2213" i="1"/>
  <c r="H2213" i="1"/>
  <c r="I2213" i="1"/>
  <c r="J2213" i="1"/>
  <c r="K2213" i="1"/>
  <c r="M2213" i="1"/>
  <c r="N2213" i="1"/>
  <c r="P2213" i="1"/>
  <c r="Q2213" i="1"/>
  <c r="R2213" i="1"/>
  <c r="S2213" i="1"/>
  <c r="T2213" i="1"/>
  <c r="Z2213" i="1"/>
  <c r="AL2213" i="1"/>
  <c r="A2214" i="1"/>
  <c r="B2214" i="1"/>
  <c r="C2214" i="1"/>
  <c r="G2214" i="1"/>
  <c r="H2214" i="1"/>
  <c r="I2214" i="1"/>
  <c r="J2214" i="1"/>
  <c r="K2214" i="1"/>
  <c r="M2214" i="1"/>
  <c r="N2214" i="1"/>
  <c r="P2214" i="1"/>
  <c r="Q2214" i="1"/>
  <c r="R2214" i="1"/>
  <c r="S2214" i="1"/>
  <c r="T2214" i="1"/>
  <c r="Z2214" i="1"/>
  <c r="AL2214" i="1"/>
  <c r="A2215" i="1"/>
  <c r="B2215" i="1"/>
  <c r="C2215" i="1"/>
  <c r="G2215" i="1"/>
  <c r="H2215" i="1"/>
  <c r="I2215" i="1"/>
  <c r="J2215" i="1"/>
  <c r="K2215" i="1"/>
  <c r="M2215" i="1"/>
  <c r="N2215" i="1"/>
  <c r="P2215" i="1"/>
  <c r="Q2215" i="1"/>
  <c r="R2215" i="1"/>
  <c r="S2215" i="1"/>
  <c r="T2215" i="1"/>
  <c r="Z2215" i="1"/>
  <c r="AL2215" i="1"/>
  <c r="A2216" i="1"/>
  <c r="B2216" i="1"/>
  <c r="C2216" i="1"/>
  <c r="G2216" i="1"/>
  <c r="H2216" i="1"/>
  <c r="I2216" i="1"/>
  <c r="J2216" i="1"/>
  <c r="K2216" i="1"/>
  <c r="M2216" i="1"/>
  <c r="N2216" i="1"/>
  <c r="P2216" i="1"/>
  <c r="Q2216" i="1"/>
  <c r="R2216" i="1"/>
  <c r="S2216" i="1"/>
  <c r="T2216" i="1"/>
  <c r="Z2216" i="1"/>
  <c r="AL2216" i="1"/>
  <c r="A2217" i="1"/>
  <c r="B2217" i="1"/>
  <c r="C2217" i="1"/>
  <c r="G2217" i="1"/>
  <c r="H2217" i="1"/>
  <c r="I2217" i="1"/>
  <c r="J2217" i="1"/>
  <c r="K2217" i="1"/>
  <c r="M2217" i="1"/>
  <c r="N2217" i="1"/>
  <c r="P2217" i="1"/>
  <c r="Q2217" i="1"/>
  <c r="R2217" i="1"/>
  <c r="S2217" i="1"/>
  <c r="T2217" i="1"/>
  <c r="Z2217" i="1"/>
  <c r="AL2217" i="1"/>
  <c r="A2218" i="1"/>
  <c r="B2218" i="1"/>
  <c r="C2218" i="1"/>
  <c r="G2218" i="1"/>
  <c r="H2218" i="1"/>
  <c r="I2218" i="1"/>
  <c r="J2218" i="1"/>
  <c r="K2218" i="1"/>
  <c r="M2218" i="1"/>
  <c r="N2218" i="1"/>
  <c r="P2218" i="1"/>
  <c r="Q2218" i="1"/>
  <c r="R2218" i="1"/>
  <c r="S2218" i="1"/>
  <c r="T2218" i="1"/>
  <c r="Z2218" i="1"/>
  <c r="AL2218" i="1"/>
  <c r="A2219" i="1"/>
  <c r="B2219" i="1"/>
  <c r="C2219" i="1"/>
  <c r="G2219" i="1"/>
  <c r="H2219" i="1"/>
  <c r="I2219" i="1"/>
  <c r="J2219" i="1"/>
  <c r="K2219" i="1"/>
  <c r="M2219" i="1"/>
  <c r="N2219" i="1"/>
  <c r="P2219" i="1"/>
  <c r="Q2219" i="1"/>
  <c r="R2219" i="1"/>
  <c r="S2219" i="1"/>
  <c r="T2219" i="1"/>
  <c r="Z2219" i="1"/>
  <c r="AL2219" i="1"/>
  <c r="A2220" i="1"/>
  <c r="B2220" i="1"/>
  <c r="C2220" i="1"/>
  <c r="G2220" i="1"/>
  <c r="H2220" i="1"/>
  <c r="I2220" i="1"/>
  <c r="J2220" i="1"/>
  <c r="K2220" i="1"/>
  <c r="M2220" i="1"/>
  <c r="N2220" i="1"/>
  <c r="P2220" i="1"/>
  <c r="Q2220" i="1"/>
  <c r="R2220" i="1"/>
  <c r="S2220" i="1"/>
  <c r="T2220" i="1"/>
  <c r="Z2220" i="1"/>
  <c r="AL2220" i="1"/>
  <c r="A2221" i="1"/>
  <c r="B2221" i="1"/>
  <c r="C2221" i="1"/>
  <c r="G2221" i="1"/>
  <c r="H2221" i="1"/>
  <c r="I2221" i="1"/>
  <c r="J2221" i="1"/>
  <c r="K2221" i="1"/>
  <c r="M2221" i="1"/>
  <c r="N2221" i="1"/>
  <c r="P2221" i="1"/>
  <c r="Q2221" i="1"/>
  <c r="R2221" i="1"/>
  <c r="S2221" i="1"/>
  <c r="T2221" i="1"/>
  <c r="Z2221" i="1"/>
  <c r="AL2221" i="1"/>
  <c r="A2222" i="1"/>
  <c r="B2222" i="1"/>
  <c r="C2222" i="1"/>
  <c r="G2222" i="1"/>
  <c r="H2222" i="1"/>
  <c r="I2222" i="1"/>
  <c r="J2222" i="1"/>
  <c r="K2222" i="1"/>
  <c r="M2222" i="1"/>
  <c r="N2222" i="1"/>
  <c r="P2222" i="1"/>
  <c r="Q2222" i="1"/>
  <c r="R2222" i="1"/>
  <c r="S2222" i="1"/>
  <c r="T2222" i="1"/>
  <c r="Z2222" i="1"/>
  <c r="AL2222" i="1"/>
  <c r="A2223" i="1"/>
  <c r="B2223" i="1"/>
  <c r="C2223" i="1"/>
  <c r="G2223" i="1"/>
  <c r="H2223" i="1"/>
  <c r="I2223" i="1"/>
  <c r="J2223" i="1"/>
  <c r="K2223" i="1"/>
  <c r="M2223" i="1"/>
  <c r="N2223" i="1"/>
  <c r="P2223" i="1"/>
  <c r="Q2223" i="1"/>
  <c r="R2223" i="1"/>
  <c r="S2223" i="1"/>
  <c r="T2223" i="1"/>
  <c r="Z2223" i="1"/>
  <c r="AL2223" i="1"/>
  <c r="A2224" i="1"/>
  <c r="B2224" i="1"/>
  <c r="C2224" i="1"/>
  <c r="G2224" i="1"/>
  <c r="H2224" i="1"/>
  <c r="I2224" i="1"/>
  <c r="J2224" i="1"/>
  <c r="K2224" i="1"/>
  <c r="M2224" i="1"/>
  <c r="N2224" i="1"/>
  <c r="P2224" i="1"/>
  <c r="Q2224" i="1"/>
  <c r="R2224" i="1"/>
  <c r="S2224" i="1"/>
  <c r="T2224" i="1"/>
  <c r="Z2224" i="1"/>
  <c r="AL2224" i="1"/>
  <c r="A2225" i="1"/>
  <c r="B2225" i="1"/>
  <c r="C2225" i="1"/>
  <c r="G2225" i="1"/>
  <c r="H2225" i="1"/>
  <c r="I2225" i="1"/>
  <c r="J2225" i="1"/>
  <c r="K2225" i="1"/>
  <c r="M2225" i="1"/>
  <c r="N2225" i="1"/>
  <c r="P2225" i="1"/>
  <c r="Q2225" i="1"/>
  <c r="R2225" i="1"/>
  <c r="S2225" i="1"/>
  <c r="T2225" i="1"/>
  <c r="Z2225" i="1"/>
  <c r="AL2225" i="1"/>
  <c r="A2226" i="1"/>
  <c r="B2226" i="1"/>
  <c r="C2226" i="1"/>
  <c r="G2226" i="1"/>
  <c r="H2226" i="1"/>
  <c r="I2226" i="1"/>
  <c r="J2226" i="1"/>
  <c r="K2226" i="1"/>
  <c r="M2226" i="1"/>
  <c r="N2226" i="1"/>
  <c r="P2226" i="1"/>
  <c r="Q2226" i="1"/>
  <c r="R2226" i="1"/>
  <c r="S2226" i="1"/>
  <c r="T2226" i="1"/>
  <c r="Z2226" i="1"/>
  <c r="AL2226" i="1"/>
  <c r="A2227" i="1"/>
  <c r="B2227" i="1"/>
  <c r="C2227" i="1"/>
  <c r="G2227" i="1"/>
  <c r="H2227" i="1"/>
  <c r="I2227" i="1"/>
  <c r="J2227" i="1"/>
  <c r="K2227" i="1"/>
  <c r="M2227" i="1"/>
  <c r="N2227" i="1"/>
  <c r="P2227" i="1"/>
  <c r="Q2227" i="1"/>
  <c r="R2227" i="1"/>
  <c r="S2227" i="1"/>
  <c r="T2227" i="1"/>
  <c r="Z2227" i="1"/>
  <c r="AL2227" i="1"/>
  <c r="A2228" i="1"/>
  <c r="B2228" i="1"/>
  <c r="C2228" i="1"/>
  <c r="G2228" i="1"/>
  <c r="H2228" i="1"/>
  <c r="I2228" i="1"/>
  <c r="J2228" i="1"/>
  <c r="K2228" i="1"/>
  <c r="M2228" i="1"/>
  <c r="N2228" i="1"/>
  <c r="P2228" i="1"/>
  <c r="Q2228" i="1"/>
  <c r="R2228" i="1"/>
  <c r="S2228" i="1"/>
  <c r="T2228" i="1"/>
  <c r="Z2228" i="1"/>
  <c r="AL2228" i="1"/>
  <c r="A2229" i="1"/>
  <c r="B2229" i="1"/>
  <c r="C2229" i="1"/>
  <c r="G2229" i="1"/>
  <c r="H2229" i="1"/>
  <c r="I2229" i="1"/>
  <c r="J2229" i="1"/>
  <c r="K2229" i="1"/>
  <c r="M2229" i="1"/>
  <c r="N2229" i="1"/>
  <c r="P2229" i="1"/>
  <c r="Q2229" i="1"/>
  <c r="R2229" i="1"/>
  <c r="S2229" i="1"/>
  <c r="T2229" i="1"/>
  <c r="Z2229" i="1"/>
  <c r="AL2229" i="1"/>
  <c r="A2230" i="1"/>
  <c r="B2230" i="1"/>
  <c r="C2230" i="1"/>
  <c r="G2230" i="1"/>
  <c r="H2230" i="1"/>
  <c r="I2230" i="1"/>
  <c r="J2230" i="1"/>
  <c r="K2230" i="1"/>
  <c r="M2230" i="1"/>
  <c r="N2230" i="1"/>
  <c r="P2230" i="1"/>
  <c r="Q2230" i="1"/>
  <c r="R2230" i="1"/>
  <c r="S2230" i="1"/>
  <c r="T2230" i="1"/>
  <c r="Z2230" i="1"/>
  <c r="AL2230" i="1"/>
  <c r="A2231" i="1"/>
  <c r="B2231" i="1"/>
  <c r="C2231" i="1"/>
  <c r="G2231" i="1"/>
  <c r="H2231" i="1"/>
  <c r="I2231" i="1"/>
  <c r="J2231" i="1"/>
  <c r="K2231" i="1"/>
  <c r="M2231" i="1"/>
  <c r="N2231" i="1"/>
  <c r="P2231" i="1"/>
  <c r="Q2231" i="1"/>
  <c r="R2231" i="1"/>
  <c r="S2231" i="1"/>
  <c r="T2231" i="1"/>
  <c r="Z2231" i="1"/>
  <c r="AL2231" i="1"/>
  <c r="A2232" i="1"/>
  <c r="B2232" i="1"/>
  <c r="C2232" i="1"/>
  <c r="G2232" i="1"/>
  <c r="H2232" i="1"/>
  <c r="I2232" i="1"/>
  <c r="J2232" i="1"/>
  <c r="K2232" i="1"/>
  <c r="M2232" i="1"/>
  <c r="N2232" i="1"/>
  <c r="P2232" i="1"/>
  <c r="Q2232" i="1"/>
  <c r="R2232" i="1"/>
  <c r="S2232" i="1"/>
  <c r="T2232" i="1"/>
  <c r="Z2232" i="1"/>
  <c r="AL2232" i="1"/>
  <c r="A2233" i="1"/>
  <c r="B2233" i="1"/>
  <c r="C2233" i="1"/>
  <c r="G2233" i="1"/>
  <c r="H2233" i="1"/>
  <c r="I2233" i="1"/>
  <c r="J2233" i="1"/>
  <c r="K2233" i="1"/>
  <c r="M2233" i="1"/>
  <c r="N2233" i="1"/>
  <c r="P2233" i="1"/>
  <c r="Q2233" i="1"/>
  <c r="R2233" i="1"/>
  <c r="S2233" i="1"/>
  <c r="T2233" i="1"/>
  <c r="Z2233" i="1"/>
  <c r="AL2233" i="1"/>
  <c r="A2234" i="1"/>
  <c r="B2234" i="1"/>
  <c r="C2234" i="1"/>
  <c r="G2234" i="1"/>
  <c r="H2234" i="1"/>
  <c r="I2234" i="1"/>
  <c r="J2234" i="1"/>
  <c r="K2234" i="1"/>
  <c r="M2234" i="1"/>
  <c r="N2234" i="1"/>
  <c r="P2234" i="1"/>
  <c r="Q2234" i="1"/>
  <c r="R2234" i="1"/>
  <c r="S2234" i="1"/>
  <c r="T2234" i="1"/>
  <c r="Z2234" i="1"/>
  <c r="AL2234" i="1"/>
  <c r="A2235" i="1"/>
  <c r="B2235" i="1"/>
  <c r="C2235" i="1"/>
  <c r="G2235" i="1"/>
  <c r="H2235" i="1"/>
  <c r="I2235" i="1"/>
  <c r="J2235" i="1"/>
  <c r="K2235" i="1"/>
  <c r="M2235" i="1"/>
  <c r="N2235" i="1"/>
  <c r="P2235" i="1"/>
  <c r="Q2235" i="1"/>
  <c r="R2235" i="1"/>
  <c r="S2235" i="1"/>
  <c r="T2235" i="1"/>
  <c r="Z2235" i="1"/>
  <c r="AL2235" i="1"/>
  <c r="A2236" i="1"/>
  <c r="B2236" i="1"/>
  <c r="C2236" i="1"/>
  <c r="G2236" i="1"/>
  <c r="H2236" i="1"/>
  <c r="I2236" i="1"/>
  <c r="J2236" i="1"/>
  <c r="K2236" i="1"/>
  <c r="M2236" i="1"/>
  <c r="N2236" i="1"/>
  <c r="P2236" i="1"/>
  <c r="Q2236" i="1"/>
  <c r="R2236" i="1"/>
  <c r="S2236" i="1"/>
  <c r="T2236" i="1"/>
  <c r="Z2236" i="1"/>
  <c r="AL2236" i="1"/>
  <c r="A2237" i="1"/>
  <c r="B2237" i="1"/>
  <c r="C2237" i="1"/>
  <c r="G2237" i="1"/>
  <c r="H2237" i="1"/>
  <c r="I2237" i="1"/>
  <c r="J2237" i="1"/>
  <c r="K2237" i="1"/>
  <c r="M2237" i="1"/>
  <c r="N2237" i="1"/>
  <c r="P2237" i="1"/>
  <c r="Q2237" i="1"/>
  <c r="R2237" i="1"/>
  <c r="S2237" i="1"/>
  <c r="T2237" i="1"/>
  <c r="Z2237" i="1"/>
  <c r="AL2237" i="1"/>
  <c r="A2238" i="1"/>
  <c r="B2238" i="1"/>
  <c r="C2238" i="1"/>
  <c r="G2238" i="1"/>
  <c r="H2238" i="1"/>
  <c r="I2238" i="1"/>
  <c r="J2238" i="1"/>
  <c r="K2238" i="1"/>
  <c r="M2238" i="1"/>
  <c r="N2238" i="1"/>
  <c r="P2238" i="1"/>
  <c r="Q2238" i="1"/>
  <c r="R2238" i="1"/>
  <c r="S2238" i="1"/>
  <c r="T2238" i="1"/>
  <c r="Z2238" i="1"/>
  <c r="AL2238" i="1"/>
  <c r="A2239" i="1"/>
  <c r="B2239" i="1"/>
  <c r="C2239" i="1"/>
  <c r="G2239" i="1"/>
  <c r="H2239" i="1"/>
  <c r="I2239" i="1"/>
  <c r="J2239" i="1"/>
  <c r="K2239" i="1"/>
  <c r="M2239" i="1"/>
  <c r="N2239" i="1"/>
  <c r="P2239" i="1"/>
  <c r="Q2239" i="1"/>
  <c r="R2239" i="1"/>
  <c r="S2239" i="1"/>
  <c r="T2239" i="1"/>
  <c r="Z2239" i="1"/>
  <c r="AL2239" i="1"/>
  <c r="A2240" i="1"/>
  <c r="B2240" i="1"/>
  <c r="C2240" i="1"/>
  <c r="G2240" i="1"/>
  <c r="H2240" i="1"/>
  <c r="I2240" i="1"/>
  <c r="J2240" i="1"/>
  <c r="K2240" i="1"/>
  <c r="M2240" i="1"/>
  <c r="N2240" i="1"/>
  <c r="P2240" i="1"/>
  <c r="Q2240" i="1"/>
  <c r="R2240" i="1"/>
  <c r="S2240" i="1"/>
  <c r="T2240" i="1"/>
  <c r="Z2240" i="1"/>
  <c r="AL2240" i="1"/>
  <c r="A2241" i="1"/>
  <c r="B2241" i="1"/>
  <c r="C2241" i="1"/>
  <c r="G2241" i="1"/>
  <c r="H2241" i="1"/>
  <c r="I2241" i="1"/>
  <c r="J2241" i="1"/>
  <c r="K2241" i="1"/>
  <c r="M2241" i="1"/>
  <c r="N2241" i="1"/>
  <c r="P2241" i="1"/>
  <c r="Q2241" i="1"/>
  <c r="R2241" i="1"/>
  <c r="S2241" i="1"/>
  <c r="T2241" i="1"/>
  <c r="Z2241" i="1"/>
  <c r="AL2241" i="1"/>
  <c r="A2242" i="1"/>
  <c r="B2242" i="1"/>
  <c r="C2242" i="1"/>
  <c r="G2242" i="1"/>
  <c r="H2242" i="1"/>
  <c r="I2242" i="1"/>
  <c r="J2242" i="1"/>
  <c r="K2242" i="1"/>
  <c r="M2242" i="1"/>
  <c r="N2242" i="1"/>
  <c r="P2242" i="1"/>
  <c r="Q2242" i="1"/>
  <c r="R2242" i="1"/>
  <c r="S2242" i="1"/>
  <c r="T2242" i="1"/>
  <c r="Z2242" i="1"/>
  <c r="AL2242" i="1"/>
  <c r="A2243" i="1"/>
  <c r="B2243" i="1"/>
  <c r="C2243" i="1"/>
  <c r="G2243" i="1"/>
  <c r="H2243" i="1"/>
  <c r="I2243" i="1"/>
  <c r="J2243" i="1"/>
  <c r="K2243" i="1"/>
  <c r="M2243" i="1"/>
  <c r="N2243" i="1"/>
  <c r="P2243" i="1"/>
  <c r="Q2243" i="1"/>
  <c r="R2243" i="1"/>
  <c r="S2243" i="1"/>
  <c r="T2243" i="1"/>
  <c r="Z2243" i="1"/>
  <c r="AL2243" i="1"/>
  <c r="A2244" i="1"/>
  <c r="B2244" i="1"/>
  <c r="C2244" i="1"/>
  <c r="G2244" i="1"/>
  <c r="H2244" i="1"/>
  <c r="I2244" i="1"/>
  <c r="J2244" i="1"/>
  <c r="K2244" i="1"/>
  <c r="M2244" i="1"/>
  <c r="N2244" i="1"/>
  <c r="P2244" i="1"/>
  <c r="Q2244" i="1"/>
  <c r="R2244" i="1"/>
  <c r="S2244" i="1"/>
  <c r="T2244" i="1"/>
  <c r="Z2244" i="1"/>
  <c r="AL2244" i="1"/>
  <c r="A2245" i="1"/>
  <c r="B2245" i="1"/>
  <c r="C2245" i="1"/>
  <c r="G2245" i="1"/>
  <c r="H2245" i="1"/>
  <c r="I2245" i="1"/>
  <c r="J2245" i="1"/>
  <c r="K2245" i="1"/>
  <c r="M2245" i="1"/>
  <c r="N2245" i="1"/>
  <c r="P2245" i="1"/>
  <c r="Q2245" i="1"/>
  <c r="R2245" i="1"/>
  <c r="S2245" i="1"/>
  <c r="T2245" i="1"/>
  <c r="Z2245" i="1"/>
  <c r="AL2245" i="1"/>
  <c r="A2246" i="1"/>
  <c r="B2246" i="1"/>
  <c r="C2246" i="1"/>
  <c r="G2246" i="1"/>
  <c r="H2246" i="1"/>
  <c r="I2246" i="1"/>
  <c r="J2246" i="1"/>
  <c r="K2246" i="1"/>
  <c r="M2246" i="1"/>
  <c r="N2246" i="1"/>
  <c r="P2246" i="1"/>
  <c r="Q2246" i="1"/>
  <c r="R2246" i="1"/>
  <c r="S2246" i="1"/>
  <c r="T2246" i="1"/>
  <c r="Z2246" i="1"/>
  <c r="AL2246" i="1"/>
  <c r="A2247" i="1"/>
  <c r="B2247" i="1"/>
  <c r="C2247" i="1"/>
  <c r="G2247" i="1"/>
  <c r="H2247" i="1"/>
  <c r="I2247" i="1"/>
  <c r="J2247" i="1"/>
  <c r="K2247" i="1"/>
  <c r="M2247" i="1"/>
  <c r="N2247" i="1"/>
  <c r="P2247" i="1"/>
  <c r="Q2247" i="1"/>
  <c r="R2247" i="1"/>
  <c r="S2247" i="1"/>
  <c r="T2247" i="1"/>
  <c r="Z2247" i="1"/>
  <c r="AL2247" i="1"/>
  <c r="A2248" i="1"/>
  <c r="B2248" i="1"/>
  <c r="C2248" i="1"/>
  <c r="G2248" i="1"/>
  <c r="H2248" i="1"/>
  <c r="I2248" i="1"/>
  <c r="J2248" i="1"/>
  <c r="K2248" i="1"/>
  <c r="M2248" i="1"/>
  <c r="N2248" i="1"/>
  <c r="P2248" i="1"/>
  <c r="Q2248" i="1"/>
  <c r="R2248" i="1"/>
  <c r="S2248" i="1"/>
  <c r="T2248" i="1"/>
  <c r="Z2248" i="1"/>
  <c r="AL2248" i="1"/>
  <c r="A2249" i="1"/>
  <c r="B2249" i="1"/>
  <c r="C2249" i="1"/>
  <c r="G2249" i="1"/>
  <c r="H2249" i="1"/>
  <c r="I2249" i="1"/>
  <c r="J2249" i="1"/>
  <c r="K2249" i="1"/>
  <c r="M2249" i="1"/>
  <c r="N2249" i="1"/>
  <c r="P2249" i="1"/>
  <c r="Q2249" i="1"/>
  <c r="R2249" i="1"/>
  <c r="S2249" i="1"/>
  <c r="T2249" i="1"/>
  <c r="Z2249" i="1"/>
  <c r="AL2249" i="1"/>
  <c r="A2250" i="1"/>
  <c r="B2250" i="1"/>
  <c r="C2250" i="1"/>
  <c r="G2250" i="1"/>
  <c r="H2250" i="1"/>
  <c r="I2250" i="1"/>
  <c r="J2250" i="1"/>
  <c r="K2250" i="1"/>
  <c r="M2250" i="1"/>
  <c r="N2250" i="1"/>
  <c r="P2250" i="1"/>
  <c r="Q2250" i="1"/>
  <c r="R2250" i="1"/>
  <c r="S2250" i="1"/>
  <c r="T2250" i="1"/>
  <c r="Z2250" i="1"/>
  <c r="AL2250" i="1"/>
  <c r="A2251" i="1"/>
  <c r="B2251" i="1"/>
  <c r="C2251" i="1"/>
  <c r="G2251" i="1"/>
  <c r="H2251" i="1"/>
  <c r="I2251" i="1"/>
  <c r="J2251" i="1"/>
  <c r="K2251" i="1"/>
  <c r="M2251" i="1"/>
  <c r="N2251" i="1"/>
  <c r="P2251" i="1"/>
  <c r="Q2251" i="1"/>
  <c r="R2251" i="1"/>
  <c r="S2251" i="1"/>
  <c r="T2251" i="1"/>
  <c r="Z2251" i="1"/>
  <c r="AL2251" i="1"/>
  <c r="A2252" i="1"/>
  <c r="B2252" i="1"/>
  <c r="C2252" i="1"/>
  <c r="G2252" i="1"/>
  <c r="H2252" i="1"/>
  <c r="I2252" i="1"/>
  <c r="J2252" i="1"/>
  <c r="K2252" i="1"/>
  <c r="M2252" i="1"/>
  <c r="N2252" i="1"/>
  <c r="P2252" i="1"/>
  <c r="Q2252" i="1"/>
  <c r="R2252" i="1"/>
  <c r="S2252" i="1"/>
  <c r="T2252" i="1"/>
  <c r="Z2252" i="1"/>
  <c r="AL2252" i="1"/>
  <c r="A2253" i="1"/>
  <c r="B2253" i="1"/>
  <c r="C2253" i="1"/>
  <c r="G2253" i="1"/>
  <c r="H2253" i="1"/>
  <c r="I2253" i="1"/>
  <c r="J2253" i="1"/>
  <c r="K2253" i="1"/>
  <c r="M2253" i="1"/>
  <c r="N2253" i="1"/>
  <c r="P2253" i="1"/>
  <c r="Q2253" i="1"/>
  <c r="R2253" i="1"/>
  <c r="S2253" i="1"/>
  <c r="T2253" i="1"/>
  <c r="Z2253" i="1"/>
  <c r="AL2253" i="1"/>
  <c r="A2254" i="1"/>
  <c r="B2254" i="1"/>
  <c r="C2254" i="1"/>
  <c r="G2254" i="1"/>
  <c r="H2254" i="1"/>
  <c r="I2254" i="1"/>
  <c r="J2254" i="1"/>
  <c r="K2254" i="1"/>
  <c r="M2254" i="1"/>
  <c r="N2254" i="1"/>
  <c r="P2254" i="1"/>
  <c r="Q2254" i="1"/>
  <c r="R2254" i="1"/>
  <c r="S2254" i="1"/>
  <c r="T2254" i="1"/>
  <c r="AL2254" i="1"/>
  <c r="A2255" i="1"/>
  <c r="B2255" i="1"/>
  <c r="C2255" i="1"/>
  <c r="G2255" i="1"/>
  <c r="H2255" i="1"/>
  <c r="I2255" i="1"/>
  <c r="J2255" i="1"/>
  <c r="K2255" i="1"/>
  <c r="M2255" i="1"/>
  <c r="N2255" i="1"/>
  <c r="P2255" i="1"/>
  <c r="Q2255" i="1"/>
  <c r="R2255" i="1"/>
  <c r="S2255" i="1"/>
  <c r="T2255" i="1"/>
  <c r="AL2255" i="1"/>
  <c r="A2256" i="1"/>
  <c r="B2256" i="1"/>
  <c r="C2256" i="1"/>
  <c r="G2256" i="1"/>
  <c r="H2256" i="1"/>
  <c r="I2256" i="1"/>
  <c r="J2256" i="1"/>
  <c r="K2256" i="1"/>
  <c r="P2256" i="1"/>
  <c r="Q2256" i="1"/>
  <c r="R2256" i="1"/>
  <c r="S2256" i="1"/>
  <c r="T2256" i="1"/>
  <c r="Z2256" i="1"/>
  <c r="AL2256" i="1"/>
  <c r="A2257" i="1"/>
  <c r="B2257" i="1"/>
  <c r="C2257" i="1"/>
  <c r="G2257" i="1"/>
  <c r="H2257" i="1"/>
  <c r="I2257" i="1"/>
  <c r="J2257" i="1"/>
  <c r="K2257" i="1"/>
  <c r="P2257" i="1"/>
  <c r="Q2257" i="1"/>
  <c r="R2257" i="1"/>
  <c r="S2257" i="1"/>
  <c r="T2257" i="1"/>
  <c r="Z2257" i="1"/>
  <c r="AL2257" i="1"/>
  <c r="A2258" i="1"/>
  <c r="B2258" i="1"/>
  <c r="C2258" i="1"/>
  <c r="G2258" i="1"/>
  <c r="H2258" i="1"/>
  <c r="I2258" i="1"/>
  <c r="J2258" i="1"/>
  <c r="K2258" i="1"/>
  <c r="M2258" i="1"/>
  <c r="N2258" i="1"/>
  <c r="P2258" i="1"/>
  <c r="Q2258" i="1"/>
  <c r="R2258" i="1"/>
  <c r="S2258" i="1"/>
  <c r="T2258" i="1"/>
  <c r="Z2258" i="1"/>
  <c r="AL2258" i="1"/>
  <c r="A2259" i="1"/>
  <c r="B2259" i="1"/>
  <c r="C2259" i="1"/>
  <c r="G2259" i="1"/>
  <c r="H2259" i="1"/>
  <c r="I2259" i="1"/>
  <c r="J2259" i="1"/>
  <c r="K2259" i="1"/>
  <c r="M2259" i="1"/>
  <c r="N2259" i="1"/>
  <c r="P2259" i="1"/>
  <c r="Q2259" i="1"/>
  <c r="R2259" i="1"/>
  <c r="S2259" i="1"/>
  <c r="T2259" i="1"/>
  <c r="Z2259" i="1"/>
  <c r="AL2259" i="1"/>
  <c r="A2260" i="1"/>
  <c r="B2260" i="1"/>
  <c r="C2260" i="1"/>
  <c r="G2260" i="1"/>
  <c r="H2260" i="1"/>
  <c r="I2260" i="1"/>
  <c r="J2260" i="1"/>
  <c r="K2260" i="1"/>
  <c r="M2260" i="1"/>
  <c r="N2260" i="1"/>
  <c r="P2260" i="1"/>
  <c r="Q2260" i="1"/>
  <c r="R2260" i="1"/>
  <c r="S2260" i="1"/>
  <c r="T2260" i="1"/>
  <c r="Z2260" i="1"/>
  <c r="AL2260" i="1"/>
  <c r="A2261" i="1"/>
  <c r="B2261" i="1"/>
  <c r="C2261" i="1"/>
  <c r="G2261" i="1"/>
  <c r="H2261" i="1"/>
  <c r="I2261" i="1"/>
  <c r="J2261" i="1"/>
  <c r="K2261" i="1"/>
  <c r="M2261" i="1"/>
  <c r="N2261" i="1"/>
  <c r="P2261" i="1"/>
  <c r="Q2261" i="1"/>
  <c r="R2261" i="1"/>
  <c r="S2261" i="1"/>
  <c r="T2261" i="1"/>
  <c r="Z2261" i="1"/>
  <c r="AL2261" i="1"/>
  <c r="A2262" i="1"/>
  <c r="B2262" i="1"/>
  <c r="C2262" i="1"/>
  <c r="G2262" i="1"/>
  <c r="H2262" i="1"/>
  <c r="I2262" i="1"/>
  <c r="J2262" i="1"/>
  <c r="K2262" i="1"/>
  <c r="M2262" i="1"/>
  <c r="N2262" i="1"/>
  <c r="P2262" i="1"/>
  <c r="Q2262" i="1"/>
  <c r="R2262" i="1"/>
  <c r="S2262" i="1"/>
  <c r="T2262" i="1"/>
  <c r="Z2262" i="1"/>
  <c r="AL2262" i="1"/>
  <c r="A2263" i="1"/>
  <c r="B2263" i="1"/>
  <c r="C2263" i="1"/>
  <c r="G2263" i="1"/>
  <c r="H2263" i="1"/>
  <c r="I2263" i="1"/>
  <c r="J2263" i="1"/>
  <c r="K2263" i="1"/>
  <c r="M2263" i="1"/>
  <c r="N2263" i="1"/>
  <c r="P2263" i="1"/>
  <c r="Q2263" i="1"/>
  <c r="R2263" i="1"/>
  <c r="S2263" i="1"/>
  <c r="T2263" i="1"/>
  <c r="Z2263" i="1"/>
  <c r="AL2263" i="1"/>
  <c r="A2264" i="1"/>
  <c r="B2264" i="1"/>
  <c r="C2264" i="1"/>
  <c r="G2264" i="1"/>
  <c r="H2264" i="1"/>
  <c r="I2264" i="1"/>
  <c r="J2264" i="1"/>
  <c r="K2264" i="1"/>
  <c r="M2264" i="1"/>
  <c r="N2264" i="1"/>
  <c r="P2264" i="1"/>
  <c r="Q2264" i="1"/>
  <c r="R2264" i="1"/>
  <c r="S2264" i="1"/>
  <c r="T2264" i="1"/>
  <c r="Z2264" i="1"/>
  <c r="AL2264" i="1"/>
  <c r="A2265" i="1"/>
  <c r="B2265" i="1"/>
  <c r="C2265" i="1"/>
  <c r="G2265" i="1"/>
  <c r="H2265" i="1"/>
  <c r="I2265" i="1"/>
  <c r="J2265" i="1"/>
  <c r="K2265" i="1"/>
  <c r="M2265" i="1"/>
  <c r="N2265" i="1"/>
  <c r="P2265" i="1"/>
  <c r="Q2265" i="1"/>
  <c r="R2265" i="1"/>
  <c r="S2265" i="1"/>
  <c r="T2265" i="1"/>
  <c r="Z2265" i="1"/>
  <c r="AL2265" i="1"/>
  <c r="A2266" i="1"/>
  <c r="B2266" i="1"/>
  <c r="C2266" i="1"/>
  <c r="G2266" i="1"/>
  <c r="H2266" i="1"/>
  <c r="I2266" i="1"/>
  <c r="J2266" i="1"/>
  <c r="K2266" i="1"/>
  <c r="M2266" i="1"/>
  <c r="N2266" i="1"/>
  <c r="P2266" i="1"/>
  <c r="Q2266" i="1"/>
  <c r="R2266" i="1"/>
  <c r="S2266" i="1"/>
  <c r="T2266" i="1"/>
  <c r="Z2266" i="1"/>
  <c r="AL2266" i="1"/>
  <c r="A2267" i="1"/>
  <c r="B2267" i="1"/>
  <c r="C2267" i="1"/>
  <c r="G2267" i="1"/>
  <c r="H2267" i="1"/>
  <c r="I2267" i="1"/>
  <c r="J2267" i="1"/>
  <c r="K2267" i="1"/>
  <c r="M2267" i="1"/>
  <c r="N2267" i="1"/>
  <c r="P2267" i="1"/>
  <c r="Q2267" i="1"/>
  <c r="R2267" i="1"/>
  <c r="S2267" i="1"/>
  <c r="T2267" i="1"/>
  <c r="Z2267" i="1"/>
  <c r="AL2267" i="1"/>
  <c r="A2268" i="1"/>
  <c r="B2268" i="1"/>
  <c r="C2268" i="1"/>
  <c r="G2268" i="1"/>
  <c r="H2268" i="1"/>
  <c r="I2268" i="1"/>
  <c r="J2268" i="1"/>
  <c r="K2268" i="1"/>
  <c r="M2268" i="1"/>
  <c r="N2268" i="1"/>
  <c r="P2268" i="1"/>
  <c r="Q2268" i="1"/>
  <c r="R2268" i="1"/>
  <c r="S2268" i="1"/>
  <c r="T2268" i="1"/>
  <c r="Z2268" i="1"/>
  <c r="AL2268" i="1"/>
  <c r="A2269" i="1"/>
  <c r="B2269" i="1"/>
  <c r="C2269" i="1"/>
  <c r="G2269" i="1"/>
  <c r="H2269" i="1"/>
  <c r="I2269" i="1"/>
  <c r="J2269" i="1"/>
  <c r="K2269" i="1"/>
  <c r="M2269" i="1"/>
  <c r="N2269" i="1"/>
  <c r="P2269" i="1"/>
  <c r="Q2269" i="1"/>
  <c r="R2269" i="1"/>
  <c r="S2269" i="1"/>
  <c r="T2269" i="1"/>
  <c r="Z2269" i="1"/>
  <c r="AL2269" i="1"/>
  <c r="A2270" i="1"/>
  <c r="B2270" i="1"/>
  <c r="C2270" i="1"/>
  <c r="G2270" i="1"/>
  <c r="H2270" i="1"/>
  <c r="I2270" i="1"/>
  <c r="J2270" i="1"/>
  <c r="K2270" i="1"/>
  <c r="M2270" i="1"/>
  <c r="N2270" i="1"/>
  <c r="P2270" i="1"/>
  <c r="Q2270" i="1"/>
  <c r="R2270" i="1"/>
  <c r="S2270" i="1"/>
  <c r="T2270" i="1"/>
  <c r="Z2270" i="1"/>
  <c r="AL2270" i="1"/>
  <c r="A2271" i="1"/>
  <c r="B2271" i="1"/>
  <c r="C2271" i="1"/>
  <c r="G2271" i="1"/>
  <c r="H2271" i="1"/>
  <c r="I2271" i="1"/>
  <c r="J2271" i="1"/>
  <c r="K2271" i="1"/>
  <c r="M2271" i="1"/>
  <c r="N2271" i="1"/>
  <c r="P2271" i="1"/>
  <c r="Q2271" i="1"/>
  <c r="R2271" i="1"/>
  <c r="S2271" i="1"/>
  <c r="T2271" i="1"/>
  <c r="Z2271" i="1"/>
  <c r="AL2271" i="1"/>
  <c r="A2272" i="1"/>
  <c r="B2272" i="1"/>
  <c r="C2272" i="1"/>
  <c r="G2272" i="1"/>
  <c r="H2272" i="1"/>
  <c r="I2272" i="1"/>
  <c r="J2272" i="1"/>
  <c r="K2272" i="1"/>
  <c r="M2272" i="1"/>
  <c r="N2272" i="1"/>
  <c r="P2272" i="1"/>
  <c r="Q2272" i="1"/>
  <c r="R2272" i="1"/>
  <c r="S2272" i="1"/>
  <c r="T2272" i="1"/>
  <c r="Z2272" i="1"/>
  <c r="AL2272" i="1"/>
  <c r="A2273" i="1"/>
  <c r="B2273" i="1"/>
  <c r="C2273" i="1"/>
  <c r="G2273" i="1"/>
  <c r="H2273" i="1"/>
  <c r="I2273" i="1"/>
  <c r="J2273" i="1"/>
  <c r="K2273" i="1"/>
  <c r="M2273" i="1"/>
  <c r="N2273" i="1"/>
  <c r="P2273" i="1"/>
  <c r="Q2273" i="1"/>
  <c r="R2273" i="1"/>
  <c r="S2273" i="1"/>
  <c r="T2273" i="1"/>
  <c r="Z2273" i="1"/>
  <c r="AL2273" i="1"/>
  <c r="A2274" i="1"/>
  <c r="B2274" i="1"/>
  <c r="C2274" i="1"/>
  <c r="G2274" i="1"/>
  <c r="H2274" i="1"/>
  <c r="I2274" i="1"/>
  <c r="J2274" i="1"/>
  <c r="K2274" i="1"/>
  <c r="M2274" i="1"/>
  <c r="N2274" i="1"/>
  <c r="P2274" i="1"/>
  <c r="Q2274" i="1"/>
  <c r="R2274" i="1"/>
  <c r="S2274" i="1"/>
  <c r="T2274" i="1"/>
  <c r="AL2274" i="1"/>
  <c r="A2275" i="1"/>
  <c r="B2275" i="1"/>
  <c r="C2275" i="1"/>
  <c r="G2275" i="1"/>
  <c r="H2275" i="1"/>
  <c r="I2275" i="1"/>
  <c r="J2275" i="1"/>
  <c r="K2275" i="1"/>
  <c r="M2275" i="1"/>
  <c r="N2275" i="1"/>
  <c r="P2275" i="1"/>
  <c r="Q2275" i="1"/>
  <c r="R2275" i="1"/>
  <c r="S2275" i="1"/>
  <c r="T2275" i="1"/>
  <c r="Z2275" i="1"/>
  <c r="AL2275" i="1"/>
  <c r="A2276" i="1"/>
  <c r="B2276" i="1"/>
  <c r="C2276" i="1"/>
  <c r="G2276" i="1"/>
  <c r="H2276" i="1"/>
  <c r="I2276" i="1"/>
  <c r="J2276" i="1"/>
  <c r="K2276" i="1"/>
  <c r="M2276" i="1"/>
  <c r="N2276" i="1"/>
  <c r="P2276" i="1"/>
  <c r="Q2276" i="1"/>
  <c r="R2276" i="1"/>
  <c r="S2276" i="1"/>
  <c r="T2276" i="1"/>
  <c r="AL2276" i="1"/>
  <c r="A2277" i="1"/>
  <c r="B2277" i="1"/>
  <c r="C2277" i="1"/>
  <c r="G2277" i="1"/>
  <c r="H2277" i="1"/>
  <c r="I2277" i="1"/>
  <c r="J2277" i="1"/>
  <c r="K2277" i="1"/>
  <c r="M2277" i="1"/>
  <c r="N2277" i="1"/>
  <c r="P2277" i="1"/>
  <c r="Q2277" i="1"/>
  <c r="R2277" i="1"/>
  <c r="S2277" i="1"/>
  <c r="T2277" i="1"/>
  <c r="Z2277" i="1"/>
  <c r="AL2277" i="1"/>
  <c r="A2278" i="1"/>
  <c r="B2278" i="1"/>
  <c r="C2278" i="1"/>
  <c r="G2278" i="1"/>
  <c r="H2278" i="1"/>
  <c r="I2278" i="1"/>
  <c r="J2278" i="1"/>
  <c r="K2278" i="1"/>
  <c r="M2278" i="1"/>
  <c r="N2278" i="1"/>
  <c r="P2278" i="1"/>
  <c r="Q2278" i="1"/>
  <c r="R2278" i="1"/>
  <c r="S2278" i="1"/>
  <c r="T2278" i="1"/>
  <c r="Z2278" i="1"/>
  <c r="AL2278" i="1"/>
  <c r="A2279" i="1"/>
  <c r="B2279" i="1"/>
  <c r="C2279" i="1"/>
  <c r="G2279" i="1"/>
  <c r="H2279" i="1"/>
  <c r="I2279" i="1"/>
  <c r="J2279" i="1"/>
  <c r="K2279" i="1"/>
  <c r="M2279" i="1"/>
  <c r="N2279" i="1"/>
  <c r="P2279" i="1"/>
  <c r="Q2279" i="1"/>
  <c r="R2279" i="1"/>
  <c r="S2279" i="1"/>
  <c r="T2279" i="1"/>
  <c r="Z2279" i="1"/>
  <c r="AL2279" i="1"/>
  <c r="A2280" i="1"/>
  <c r="B2280" i="1"/>
  <c r="C2280" i="1"/>
  <c r="G2280" i="1"/>
  <c r="H2280" i="1"/>
  <c r="I2280" i="1"/>
  <c r="J2280" i="1"/>
  <c r="K2280" i="1"/>
  <c r="M2280" i="1"/>
  <c r="N2280" i="1"/>
  <c r="P2280" i="1"/>
  <c r="Q2280" i="1"/>
  <c r="R2280" i="1"/>
  <c r="S2280" i="1"/>
  <c r="T2280" i="1"/>
  <c r="Z2280" i="1"/>
  <c r="AL2280" i="1"/>
  <c r="A2281" i="1"/>
  <c r="B2281" i="1"/>
  <c r="C2281" i="1"/>
  <c r="G2281" i="1"/>
  <c r="H2281" i="1"/>
  <c r="I2281" i="1"/>
  <c r="J2281" i="1"/>
  <c r="K2281" i="1"/>
  <c r="M2281" i="1"/>
  <c r="N2281" i="1"/>
  <c r="P2281" i="1"/>
  <c r="Q2281" i="1"/>
  <c r="R2281" i="1"/>
  <c r="S2281" i="1"/>
  <c r="T2281" i="1"/>
  <c r="Z2281" i="1"/>
  <c r="AL2281" i="1"/>
  <c r="A2282" i="1"/>
  <c r="B2282" i="1"/>
  <c r="C2282" i="1"/>
  <c r="G2282" i="1"/>
  <c r="H2282" i="1"/>
  <c r="I2282" i="1"/>
  <c r="J2282" i="1"/>
  <c r="K2282" i="1"/>
  <c r="M2282" i="1"/>
  <c r="N2282" i="1"/>
  <c r="P2282" i="1"/>
  <c r="Q2282" i="1"/>
  <c r="R2282" i="1"/>
  <c r="S2282" i="1"/>
  <c r="T2282" i="1"/>
  <c r="Z2282" i="1"/>
  <c r="AL2282" i="1"/>
  <c r="A2283" i="1"/>
  <c r="B2283" i="1"/>
  <c r="C2283" i="1"/>
  <c r="G2283" i="1"/>
  <c r="H2283" i="1"/>
  <c r="I2283" i="1"/>
  <c r="J2283" i="1"/>
  <c r="K2283" i="1"/>
  <c r="M2283" i="1"/>
  <c r="N2283" i="1"/>
  <c r="P2283" i="1"/>
  <c r="Q2283" i="1"/>
  <c r="R2283" i="1"/>
  <c r="S2283" i="1"/>
  <c r="T2283" i="1"/>
  <c r="Z2283" i="1"/>
  <c r="AL2283" i="1"/>
  <c r="A2284" i="1"/>
  <c r="B2284" i="1"/>
  <c r="C2284" i="1"/>
  <c r="G2284" i="1"/>
  <c r="H2284" i="1"/>
  <c r="I2284" i="1"/>
  <c r="J2284" i="1"/>
  <c r="K2284" i="1"/>
  <c r="M2284" i="1"/>
  <c r="N2284" i="1"/>
  <c r="P2284" i="1"/>
  <c r="Q2284" i="1"/>
  <c r="R2284" i="1"/>
  <c r="S2284" i="1"/>
  <c r="T2284" i="1"/>
  <c r="Z2284" i="1"/>
  <c r="AL2284" i="1"/>
  <c r="A2285" i="1"/>
  <c r="B2285" i="1"/>
  <c r="C2285" i="1"/>
  <c r="G2285" i="1"/>
  <c r="H2285" i="1"/>
  <c r="I2285" i="1"/>
  <c r="J2285" i="1"/>
  <c r="K2285" i="1"/>
  <c r="M2285" i="1"/>
  <c r="N2285" i="1"/>
  <c r="P2285" i="1"/>
  <c r="Q2285" i="1"/>
  <c r="R2285" i="1"/>
  <c r="S2285" i="1"/>
  <c r="T2285" i="1"/>
  <c r="AL2285" i="1"/>
  <c r="A2286" i="1"/>
  <c r="B2286" i="1"/>
  <c r="C2286" i="1"/>
  <c r="G2286" i="1"/>
  <c r="H2286" i="1"/>
  <c r="I2286" i="1"/>
  <c r="J2286" i="1"/>
  <c r="K2286" i="1"/>
  <c r="M2286" i="1"/>
  <c r="N2286" i="1"/>
  <c r="P2286" i="1"/>
  <c r="Q2286" i="1"/>
  <c r="R2286" i="1"/>
  <c r="S2286" i="1"/>
  <c r="T2286" i="1"/>
  <c r="Z2286" i="1"/>
  <c r="AL2286" i="1"/>
  <c r="A2287" i="1"/>
  <c r="B2287" i="1"/>
  <c r="C2287" i="1"/>
  <c r="G2287" i="1"/>
  <c r="H2287" i="1"/>
  <c r="I2287" i="1"/>
  <c r="J2287" i="1"/>
  <c r="K2287" i="1"/>
  <c r="M2287" i="1"/>
  <c r="N2287" i="1"/>
  <c r="P2287" i="1"/>
  <c r="Q2287" i="1"/>
  <c r="R2287" i="1"/>
  <c r="S2287" i="1"/>
  <c r="T2287" i="1"/>
  <c r="AL2287" i="1"/>
  <c r="A2288" i="1"/>
  <c r="B2288" i="1"/>
  <c r="C2288" i="1"/>
  <c r="G2288" i="1"/>
  <c r="H2288" i="1"/>
  <c r="I2288" i="1"/>
  <c r="J2288" i="1"/>
  <c r="K2288" i="1"/>
  <c r="M2288" i="1"/>
  <c r="N2288" i="1"/>
  <c r="P2288" i="1"/>
  <c r="Q2288" i="1"/>
  <c r="R2288" i="1"/>
  <c r="S2288" i="1"/>
  <c r="T2288" i="1"/>
  <c r="AL2288" i="1"/>
  <c r="A2289" i="1"/>
  <c r="B2289" i="1"/>
  <c r="C2289" i="1"/>
  <c r="G2289" i="1"/>
  <c r="H2289" i="1"/>
  <c r="I2289" i="1"/>
  <c r="J2289" i="1"/>
  <c r="K2289" i="1"/>
  <c r="M2289" i="1"/>
  <c r="N2289" i="1"/>
  <c r="P2289" i="1"/>
  <c r="Q2289" i="1"/>
  <c r="R2289" i="1"/>
  <c r="S2289" i="1"/>
  <c r="T2289" i="1"/>
  <c r="Z2289" i="1"/>
  <c r="AL2289" i="1"/>
  <c r="A2290" i="1"/>
  <c r="B2290" i="1"/>
  <c r="C2290" i="1"/>
  <c r="G2290" i="1"/>
  <c r="H2290" i="1"/>
  <c r="I2290" i="1"/>
  <c r="J2290" i="1"/>
  <c r="K2290" i="1"/>
  <c r="M2290" i="1"/>
  <c r="N2290" i="1"/>
  <c r="P2290" i="1"/>
  <c r="Q2290" i="1"/>
  <c r="R2290" i="1"/>
  <c r="S2290" i="1"/>
  <c r="T2290" i="1"/>
  <c r="Z2290" i="1"/>
  <c r="AL2290" i="1"/>
  <c r="A2291" i="1"/>
  <c r="B2291" i="1"/>
  <c r="C2291" i="1"/>
  <c r="G2291" i="1"/>
  <c r="H2291" i="1"/>
  <c r="I2291" i="1"/>
  <c r="J2291" i="1"/>
  <c r="K2291" i="1"/>
  <c r="M2291" i="1"/>
  <c r="N2291" i="1"/>
  <c r="P2291" i="1"/>
  <c r="Q2291" i="1"/>
  <c r="R2291" i="1"/>
  <c r="S2291" i="1"/>
  <c r="T2291" i="1"/>
  <c r="Z2291" i="1"/>
  <c r="AL2291" i="1"/>
  <c r="A2292" i="1"/>
  <c r="B2292" i="1"/>
  <c r="C2292" i="1"/>
  <c r="G2292" i="1"/>
  <c r="H2292" i="1"/>
  <c r="I2292" i="1"/>
  <c r="J2292" i="1"/>
  <c r="K2292" i="1"/>
  <c r="M2292" i="1"/>
  <c r="N2292" i="1"/>
  <c r="P2292" i="1"/>
  <c r="Q2292" i="1"/>
  <c r="R2292" i="1"/>
  <c r="S2292" i="1"/>
  <c r="T2292" i="1"/>
  <c r="Z2292" i="1"/>
  <c r="AL2292" i="1"/>
  <c r="A2293" i="1"/>
  <c r="B2293" i="1"/>
  <c r="C2293" i="1"/>
  <c r="G2293" i="1"/>
  <c r="H2293" i="1"/>
  <c r="I2293" i="1"/>
  <c r="J2293" i="1"/>
  <c r="K2293" i="1"/>
  <c r="M2293" i="1"/>
  <c r="N2293" i="1"/>
  <c r="P2293" i="1"/>
  <c r="Q2293" i="1"/>
  <c r="R2293" i="1"/>
  <c r="S2293" i="1"/>
  <c r="T2293" i="1"/>
  <c r="Z2293" i="1"/>
  <c r="AL2293" i="1"/>
  <c r="A2294" i="1"/>
  <c r="B2294" i="1"/>
  <c r="C2294" i="1"/>
  <c r="G2294" i="1"/>
  <c r="H2294" i="1"/>
  <c r="I2294" i="1"/>
  <c r="J2294" i="1"/>
  <c r="K2294" i="1"/>
  <c r="P2294" i="1"/>
  <c r="Q2294" i="1"/>
  <c r="R2294" i="1"/>
  <c r="S2294" i="1"/>
  <c r="T2294" i="1"/>
  <c r="Z2294" i="1"/>
  <c r="AL2294" i="1"/>
  <c r="A2295" i="1"/>
  <c r="B2295" i="1"/>
  <c r="C2295" i="1"/>
  <c r="G2295" i="1"/>
  <c r="H2295" i="1"/>
  <c r="I2295" i="1"/>
  <c r="J2295" i="1"/>
  <c r="K2295" i="1"/>
  <c r="M2295" i="1"/>
  <c r="N2295" i="1"/>
  <c r="P2295" i="1"/>
  <c r="Q2295" i="1"/>
  <c r="R2295" i="1"/>
  <c r="S2295" i="1"/>
  <c r="T2295" i="1"/>
  <c r="Z2295" i="1"/>
  <c r="AL2295" i="1"/>
  <c r="A2296" i="1"/>
  <c r="B2296" i="1"/>
  <c r="C2296" i="1"/>
  <c r="G2296" i="1"/>
  <c r="H2296" i="1"/>
  <c r="I2296" i="1"/>
  <c r="J2296" i="1"/>
  <c r="K2296" i="1"/>
  <c r="M2296" i="1"/>
  <c r="N2296" i="1"/>
  <c r="P2296" i="1"/>
  <c r="Q2296" i="1"/>
  <c r="R2296" i="1"/>
  <c r="S2296" i="1"/>
  <c r="T2296" i="1"/>
  <c r="Z2296" i="1"/>
  <c r="AL2296" i="1"/>
  <c r="A2297" i="1"/>
  <c r="B2297" i="1"/>
  <c r="C2297" i="1"/>
  <c r="G2297" i="1"/>
  <c r="H2297" i="1"/>
  <c r="I2297" i="1"/>
  <c r="J2297" i="1"/>
  <c r="K2297" i="1"/>
  <c r="P2297" i="1"/>
  <c r="Q2297" i="1"/>
  <c r="R2297" i="1"/>
  <c r="S2297" i="1"/>
  <c r="T2297" i="1"/>
  <c r="Z2297" i="1"/>
  <c r="AL2297" i="1"/>
  <c r="A2298" i="1"/>
  <c r="B2298" i="1"/>
  <c r="C2298" i="1"/>
  <c r="G2298" i="1"/>
  <c r="H2298" i="1"/>
  <c r="I2298" i="1"/>
  <c r="J2298" i="1"/>
  <c r="K2298" i="1"/>
  <c r="P2298" i="1"/>
  <c r="Q2298" i="1"/>
  <c r="R2298" i="1"/>
  <c r="S2298" i="1"/>
  <c r="T2298" i="1"/>
  <c r="AL2298" i="1"/>
  <c r="A2299" i="1"/>
  <c r="B2299" i="1"/>
  <c r="C2299" i="1"/>
  <c r="G2299" i="1"/>
  <c r="H2299" i="1"/>
  <c r="I2299" i="1"/>
  <c r="J2299" i="1"/>
  <c r="K2299" i="1"/>
  <c r="M2299" i="1"/>
  <c r="N2299" i="1"/>
  <c r="P2299" i="1"/>
  <c r="Q2299" i="1"/>
  <c r="R2299" i="1"/>
  <c r="S2299" i="1"/>
  <c r="T2299" i="1"/>
  <c r="Z2299" i="1"/>
  <c r="AL2299" i="1"/>
  <c r="A2300" i="1"/>
  <c r="B2300" i="1"/>
  <c r="C2300" i="1"/>
  <c r="G2300" i="1"/>
  <c r="H2300" i="1"/>
  <c r="I2300" i="1"/>
  <c r="J2300" i="1"/>
  <c r="K2300" i="1"/>
  <c r="M2300" i="1"/>
  <c r="N2300" i="1"/>
  <c r="P2300" i="1"/>
  <c r="Q2300" i="1"/>
  <c r="R2300" i="1"/>
  <c r="S2300" i="1"/>
  <c r="T2300" i="1"/>
  <c r="Z2300" i="1"/>
  <c r="AL2300" i="1"/>
  <c r="A2301" i="1"/>
  <c r="B2301" i="1"/>
  <c r="C2301" i="1"/>
  <c r="G2301" i="1"/>
  <c r="H2301" i="1"/>
  <c r="I2301" i="1"/>
  <c r="J2301" i="1"/>
  <c r="K2301" i="1"/>
  <c r="M2301" i="1"/>
  <c r="N2301" i="1"/>
  <c r="P2301" i="1"/>
  <c r="Q2301" i="1"/>
  <c r="R2301" i="1"/>
  <c r="S2301" i="1"/>
  <c r="T2301" i="1"/>
  <c r="Z2301" i="1"/>
  <c r="AL2301" i="1"/>
  <c r="A2302" i="1"/>
  <c r="B2302" i="1"/>
  <c r="C2302" i="1"/>
  <c r="G2302" i="1"/>
  <c r="H2302" i="1"/>
  <c r="I2302" i="1"/>
  <c r="J2302" i="1"/>
  <c r="K2302" i="1"/>
  <c r="M2302" i="1"/>
  <c r="N2302" i="1"/>
  <c r="P2302" i="1"/>
  <c r="Q2302" i="1"/>
  <c r="R2302" i="1"/>
  <c r="S2302" i="1"/>
  <c r="T2302" i="1"/>
  <c r="Z2302" i="1"/>
  <c r="AL2302" i="1"/>
  <c r="A2303" i="1"/>
  <c r="B2303" i="1"/>
  <c r="C2303" i="1"/>
  <c r="G2303" i="1"/>
  <c r="H2303" i="1"/>
  <c r="I2303" i="1"/>
  <c r="J2303" i="1"/>
  <c r="K2303" i="1"/>
  <c r="M2303" i="1"/>
  <c r="N2303" i="1"/>
  <c r="P2303" i="1"/>
  <c r="Q2303" i="1"/>
  <c r="R2303" i="1"/>
  <c r="S2303" i="1"/>
  <c r="T2303" i="1"/>
  <c r="Z2303" i="1"/>
  <c r="AL2303" i="1"/>
  <c r="A2304" i="1"/>
  <c r="B2304" i="1"/>
  <c r="C2304" i="1"/>
  <c r="G2304" i="1"/>
  <c r="H2304" i="1"/>
  <c r="I2304" i="1"/>
  <c r="J2304" i="1"/>
  <c r="K2304" i="1"/>
  <c r="M2304" i="1"/>
  <c r="N2304" i="1"/>
  <c r="P2304" i="1"/>
  <c r="Q2304" i="1"/>
  <c r="R2304" i="1"/>
  <c r="S2304" i="1"/>
  <c r="T2304" i="1"/>
  <c r="Z2304" i="1"/>
  <c r="AL2304" i="1"/>
  <c r="A2305" i="1"/>
  <c r="B2305" i="1"/>
  <c r="C2305" i="1"/>
  <c r="G2305" i="1"/>
  <c r="H2305" i="1"/>
  <c r="I2305" i="1"/>
  <c r="J2305" i="1"/>
  <c r="K2305" i="1"/>
  <c r="M2305" i="1"/>
  <c r="N2305" i="1"/>
  <c r="P2305" i="1"/>
  <c r="Q2305" i="1"/>
  <c r="R2305" i="1"/>
  <c r="S2305" i="1"/>
  <c r="T2305" i="1"/>
  <c r="Z2305" i="1"/>
  <c r="AL2305" i="1"/>
  <c r="A2306" i="1"/>
  <c r="B2306" i="1"/>
  <c r="C2306" i="1"/>
  <c r="G2306" i="1"/>
  <c r="H2306" i="1"/>
  <c r="I2306" i="1"/>
  <c r="J2306" i="1"/>
  <c r="K2306" i="1"/>
  <c r="M2306" i="1"/>
  <c r="N2306" i="1"/>
  <c r="P2306" i="1"/>
  <c r="Q2306" i="1"/>
  <c r="R2306" i="1"/>
  <c r="S2306" i="1"/>
  <c r="T2306" i="1"/>
  <c r="AL2306" i="1"/>
  <c r="A2307" i="1"/>
  <c r="B2307" i="1"/>
  <c r="C2307" i="1"/>
  <c r="G2307" i="1"/>
  <c r="H2307" i="1"/>
  <c r="I2307" i="1"/>
  <c r="J2307" i="1"/>
  <c r="K2307" i="1"/>
  <c r="P2307" i="1"/>
  <c r="Q2307" i="1"/>
  <c r="R2307" i="1"/>
  <c r="S2307" i="1"/>
  <c r="T2307" i="1"/>
  <c r="Z2307" i="1"/>
  <c r="AL2307" i="1"/>
  <c r="A2308" i="1"/>
  <c r="B2308" i="1"/>
  <c r="C2308" i="1"/>
  <c r="G2308" i="1"/>
  <c r="H2308" i="1"/>
  <c r="I2308" i="1"/>
  <c r="J2308" i="1"/>
  <c r="K2308" i="1"/>
  <c r="P2308" i="1"/>
  <c r="Q2308" i="1"/>
  <c r="R2308" i="1"/>
  <c r="S2308" i="1"/>
  <c r="T2308" i="1"/>
  <c r="Z2308" i="1"/>
  <c r="AL2308" i="1"/>
  <c r="A2309" i="1"/>
  <c r="B2309" i="1"/>
  <c r="C2309" i="1"/>
  <c r="G2309" i="1"/>
  <c r="H2309" i="1"/>
  <c r="I2309" i="1"/>
  <c r="J2309" i="1"/>
  <c r="K2309" i="1"/>
  <c r="P2309" i="1"/>
  <c r="Q2309" i="1"/>
  <c r="R2309" i="1"/>
  <c r="S2309" i="1"/>
  <c r="T2309" i="1"/>
  <c r="Z2309" i="1"/>
  <c r="AL2309" i="1"/>
  <c r="A2310" i="1"/>
  <c r="C2310" i="1"/>
  <c r="G2310" i="1"/>
  <c r="H2310" i="1"/>
  <c r="I2310" i="1"/>
  <c r="J2310" i="1"/>
  <c r="K2310" i="1"/>
  <c r="M2310" i="1"/>
  <c r="N2310" i="1"/>
  <c r="P2310" i="1"/>
  <c r="Q2310" i="1"/>
  <c r="R2310" i="1"/>
  <c r="S2310" i="1"/>
  <c r="T2310" i="1"/>
  <c r="AL2310" i="1"/>
  <c r="A2311" i="1"/>
  <c r="C2311" i="1"/>
  <c r="G2311" i="1"/>
  <c r="H2311" i="1"/>
  <c r="I2311" i="1"/>
  <c r="J2311" i="1"/>
  <c r="K2311" i="1"/>
  <c r="M2311" i="1"/>
  <c r="N2311" i="1"/>
  <c r="P2311" i="1"/>
  <c r="Q2311" i="1"/>
  <c r="R2311" i="1"/>
  <c r="S2311" i="1"/>
  <c r="T2311" i="1"/>
  <c r="Z2311" i="1"/>
  <c r="AL2311" i="1"/>
  <c r="A2312" i="1"/>
  <c r="B2312" i="1"/>
  <c r="C2312" i="1"/>
  <c r="G2312" i="1"/>
  <c r="H2312" i="1"/>
  <c r="I2312" i="1"/>
  <c r="J2312" i="1"/>
  <c r="K2312" i="1"/>
  <c r="M2312" i="1"/>
  <c r="N2312" i="1"/>
  <c r="P2312" i="1"/>
  <c r="Q2312" i="1"/>
  <c r="R2312" i="1"/>
  <c r="S2312" i="1"/>
  <c r="T2312" i="1"/>
  <c r="AL2312" i="1"/>
  <c r="A2313" i="1"/>
  <c r="B2313" i="1"/>
  <c r="C2313" i="1"/>
  <c r="G2313" i="1"/>
  <c r="H2313" i="1"/>
  <c r="I2313" i="1"/>
  <c r="J2313" i="1"/>
  <c r="K2313" i="1"/>
  <c r="M2313" i="1"/>
  <c r="N2313" i="1"/>
  <c r="P2313" i="1"/>
  <c r="Q2313" i="1"/>
  <c r="R2313" i="1"/>
  <c r="S2313" i="1"/>
  <c r="T2313" i="1"/>
  <c r="Z2313" i="1"/>
  <c r="AL2313" i="1"/>
  <c r="A2314" i="1"/>
  <c r="B2314" i="1"/>
  <c r="C2314" i="1"/>
  <c r="G2314" i="1"/>
  <c r="H2314" i="1"/>
  <c r="I2314" i="1"/>
  <c r="J2314" i="1"/>
  <c r="K2314" i="1"/>
  <c r="P2314" i="1"/>
  <c r="Q2314" i="1"/>
  <c r="R2314" i="1"/>
  <c r="S2314" i="1"/>
  <c r="T2314" i="1"/>
  <c r="Z2314" i="1"/>
  <c r="AL2314" i="1"/>
  <c r="A2315" i="1"/>
  <c r="B2315" i="1"/>
  <c r="C2315" i="1"/>
  <c r="G2315" i="1"/>
  <c r="H2315" i="1"/>
  <c r="I2315" i="1"/>
  <c r="J2315" i="1"/>
  <c r="K2315" i="1"/>
  <c r="M2315" i="1"/>
  <c r="N2315" i="1"/>
  <c r="P2315" i="1"/>
  <c r="Q2315" i="1"/>
  <c r="R2315" i="1"/>
  <c r="S2315" i="1"/>
  <c r="T2315" i="1"/>
  <c r="Z2315" i="1"/>
  <c r="AL2315" i="1"/>
  <c r="A2316" i="1"/>
  <c r="B2316" i="1"/>
  <c r="C2316" i="1"/>
  <c r="G2316" i="1"/>
  <c r="H2316" i="1"/>
  <c r="I2316" i="1"/>
  <c r="J2316" i="1"/>
  <c r="K2316" i="1"/>
  <c r="M2316" i="1"/>
  <c r="N2316" i="1"/>
  <c r="P2316" i="1"/>
  <c r="Q2316" i="1"/>
  <c r="R2316" i="1"/>
  <c r="S2316" i="1"/>
  <c r="T2316" i="1"/>
  <c r="Z2316" i="1"/>
  <c r="AL2316" i="1"/>
  <c r="A2317" i="1"/>
  <c r="B2317" i="1"/>
  <c r="C2317" i="1"/>
  <c r="G2317" i="1"/>
  <c r="H2317" i="1"/>
  <c r="I2317" i="1"/>
  <c r="J2317" i="1"/>
  <c r="K2317" i="1"/>
  <c r="M2317" i="1"/>
  <c r="N2317" i="1"/>
  <c r="P2317" i="1"/>
  <c r="Q2317" i="1"/>
  <c r="R2317" i="1"/>
  <c r="S2317" i="1"/>
  <c r="T2317" i="1"/>
  <c r="Z2317" i="1"/>
  <c r="AL2317" i="1"/>
  <c r="A2318" i="1"/>
  <c r="B2318" i="1"/>
  <c r="C2318" i="1"/>
  <c r="G2318" i="1"/>
  <c r="H2318" i="1"/>
  <c r="I2318" i="1"/>
  <c r="J2318" i="1"/>
  <c r="K2318" i="1"/>
  <c r="M2318" i="1"/>
  <c r="N2318" i="1"/>
  <c r="P2318" i="1"/>
  <c r="Q2318" i="1"/>
  <c r="R2318" i="1"/>
  <c r="S2318" i="1"/>
  <c r="T2318" i="1"/>
  <c r="Z2318" i="1"/>
  <c r="AL2318" i="1"/>
  <c r="A2319" i="1"/>
  <c r="B2319" i="1"/>
  <c r="C2319" i="1"/>
  <c r="G2319" i="1"/>
  <c r="H2319" i="1"/>
  <c r="I2319" i="1"/>
  <c r="J2319" i="1"/>
  <c r="K2319" i="1"/>
  <c r="M2319" i="1"/>
  <c r="N2319" i="1"/>
  <c r="P2319" i="1"/>
  <c r="Q2319" i="1"/>
  <c r="R2319" i="1"/>
  <c r="S2319" i="1"/>
  <c r="T2319" i="1"/>
  <c r="Z2319" i="1"/>
  <c r="AL2319" i="1"/>
  <c r="A2320" i="1"/>
  <c r="B2320" i="1"/>
  <c r="C2320" i="1"/>
  <c r="G2320" i="1"/>
  <c r="H2320" i="1"/>
  <c r="I2320" i="1"/>
  <c r="J2320" i="1"/>
  <c r="K2320" i="1"/>
  <c r="M2320" i="1"/>
  <c r="N2320" i="1"/>
  <c r="P2320" i="1"/>
  <c r="Q2320" i="1"/>
  <c r="R2320" i="1"/>
  <c r="S2320" i="1"/>
  <c r="T2320" i="1"/>
  <c r="Z2320" i="1"/>
  <c r="AL2320" i="1"/>
  <c r="A2321" i="1"/>
  <c r="B2321" i="1"/>
  <c r="C2321" i="1"/>
  <c r="G2321" i="1"/>
  <c r="H2321" i="1"/>
  <c r="I2321" i="1"/>
  <c r="J2321" i="1"/>
  <c r="K2321" i="1"/>
  <c r="M2321" i="1"/>
  <c r="N2321" i="1"/>
  <c r="P2321" i="1"/>
  <c r="Q2321" i="1"/>
  <c r="R2321" i="1"/>
  <c r="S2321" i="1"/>
  <c r="T2321" i="1"/>
  <c r="Z2321" i="1"/>
  <c r="AL2321" i="1"/>
  <c r="A2322" i="1"/>
  <c r="B2322" i="1"/>
  <c r="C2322" i="1"/>
  <c r="G2322" i="1"/>
  <c r="H2322" i="1"/>
  <c r="I2322" i="1"/>
  <c r="J2322" i="1"/>
  <c r="K2322" i="1"/>
  <c r="M2322" i="1"/>
  <c r="N2322" i="1"/>
  <c r="P2322" i="1"/>
  <c r="Q2322" i="1"/>
  <c r="R2322" i="1"/>
  <c r="S2322" i="1"/>
  <c r="T2322" i="1"/>
  <c r="Z2322" i="1"/>
  <c r="AL2322" i="1"/>
  <c r="A2323" i="1"/>
  <c r="B2323" i="1"/>
  <c r="C2323" i="1"/>
  <c r="G2323" i="1"/>
  <c r="H2323" i="1"/>
  <c r="I2323" i="1"/>
  <c r="J2323" i="1"/>
  <c r="K2323" i="1"/>
  <c r="M2323" i="1"/>
  <c r="N2323" i="1"/>
  <c r="P2323" i="1"/>
  <c r="Q2323" i="1"/>
  <c r="R2323" i="1"/>
  <c r="S2323" i="1"/>
  <c r="T2323" i="1"/>
  <c r="Z2323" i="1"/>
  <c r="AL2323" i="1"/>
  <c r="A2324" i="1"/>
  <c r="B2324" i="1"/>
  <c r="C2324" i="1"/>
  <c r="G2324" i="1"/>
  <c r="H2324" i="1"/>
  <c r="I2324" i="1"/>
  <c r="J2324" i="1"/>
  <c r="K2324" i="1"/>
  <c r="M2324" i="1"/>
  <c r="N2324" i="1"/>
  <c r="P2324" i="1"/>
  <c r="Q2324" i="1"/>
  <c r="R2324" i="1"/>
  <c r="S2324" i="1"/>
  <c r="T2324" i="1"/>
  <c r="Z2324" i="1"/>
  <c r="AL2324" i="1"/>
  <c r="A2325" i="1"/>
  <c r="B2325" i="1"/>
  <c r="C2325" i="1"/>
  <c r="G2325" i="1"/>
  <c r="H2325" i="1"/>
  <c r="I2325" i="1"/>
  <c r="J2325" i="1"/>
  <c r="K2325" i="1"/>
  <c r="M2325" i="1"/>
  <c r="N2325" i="1"/>
  <c r="P2325" i="1"/>
  <c r="Q2325" i="1"/>
  <c r="R2325" i="1"/>
  <c r="S2325" i="1"/>
  <c r="T2325" i="1"/>
  <c r="Z2325" i="1"/>
  <c r="AL2325" i="1"/>
  <c r="A2326" i="1"/>
  <c r="B2326" i="1"/>
  <c r="C2326" i="1"/>
  <c r="G2326" i="1"/>
  <c r="H2326" i="1"/>
  <c r="I2326" i="1"/>
  <c r="J2326" i="1"/>
  <c r="K2326" i="1"/>
  <c r="M2326" i="1"/>
  <c r="N2326" i="1"/>
  <c r="P2326" i="1"/>
  <c r="Q2326" i="1"/>
  <c r="R2326" i="1"/>
  <c r="S2326" i="1"/>
  <c r="T2326" i="1"/>
  <c r="Z2326" i="1"/>
  <c r="AL2326" i="1"/>
  <c r="A2327" i="1"/>
  <c r="B2327" i="1"/>
  <c r="C2327" i="1"/>
  <c r="G2327" i="1"/>
  <c r="H2327" i="1"/>
  <c r="I2327" i="1"/>
  <c r="J2327" i="1"/>
  <c r="K2327" i="1"/>
  <c r="M2327" i="1"/>
  <c r="N2327" i="1"/>
  <c r="P2327" i="1"/>
  <c r="Q2327" i="1"/>
  <c r="R2327" i="1"/>
  <c r="S2327" i="1"/>
  <c r="T2327" i="1"/>
  <c r="Z2327" i="1"/>
  <c r="AL2327" i="1"/>
  <c r="A2328" i="1"/>
  <c r="B2328" i="1"/>
  <c r="C2328" i="1"/>
  <c r="G2328" i="1"/>
  <c r="H2328" i="1"/>
  <c r="I2328" i="1"/>
  <c r="J2328" i="1"/>
  <c r="K2328" i="1"/>
  <c r="M2328" i="1"/>
  <c r="N2328" i="1"/>
  <c r="P2328" i="1"/>
  <c r="Q2328" i="1"/>
  <c r="R2328" i="1"/>
  <c r="S2328" i="1"/>
  <c r="T2328" i="1"/>
  <c r="Z2328" i="1"/>
  <c r="AL2328" i="1"/>
  <c r="A2329" i="1"/>
  <c r="B2329" i="1"/>
  <c r="C2329" i="1"/>
  <c r="G2329" i="1"/>
  <c r="H2329" i="1"/>
  <c r="I2329" i="1"/>
  <c r="J2329" i="1"/>
  <c r="K2329" i="1"/>
  <c r="M2329" i="1"/>
  <c r="N2329" i="1"/>
  <c r="P2329" i="1"/>
  <c r="Q2329" i="1"/>
  <c r="R2329" i="1"/>
  <c r="S2329" i="1"/>
  <c r="T2329" i="1"/>
  <c r="Z2329" i="1"/>
  <c r="AL2329" i="1"/>
  <c r="A2330" i="1"/>
  <c r="B2330" i="1"/>
  <c r="C2330" i="1"/>
  <c r="G2330" i="1"/>
  <c r="H2330" i="1"/>
  <c r="I2330" i="1"/>
  <c r="J2330" i="1"/>
  <c r="K2330" i="1"/>
  <c r="M2330" i="1"/>
  <c r="N2330" i="1"/>
  <c r="P2330" i="1"/>
  <c r="Q2330" i="1"/>
  <c r="R2330" i="1"/>
  <c r="S2330" i="1"/>
  <c r="T2330" i="1"/>
  <c r="Z2330" i="1"/>
  <c r="AL2330" i="1"/>
  <c r="A2331" i="1"/>
  <c r="B2331" i="1"/>
  <c r="C2331" i="1"/>
  <c r="G2331" i="1"/>
  <c r="H2331" i="1"/>
  <c r="I2331" i="1"/>
  <c r="J2331" i="1"/>
  <c r="K2331" i="1"/>
  <c r="M2331" i="1"/>
  <c r="N2331" i="1"/>
  <c r="P2331" i="1"/>
  <c r="Q2331" i="1"/>
  <c r="R2331" i="1"/>
  <c r="S2331" i="1"/>
  <c r="T2331" i="1"/>
  <c r="Z2331" i="1"/>
  <c r="AL2331" i="1"/>
  <c r="A2332" i="1"/>
  <c r="B2332" i="1"/>
  <c r="C2332" i="1"/>
  <c r="G2332" i="1"/>
  <c r="H2332" i="1"/>
  <c r="I2332" i="1"/>
  <c r="J2332" i="1"/>
  <c r="K2332" i="1"/>
  <c r="M2332" i="1"/>
  <c r="N2332" i="1"/>
  <c r="P2332" i="1"/>
  <c r="Q2332" i="1"/>
  <c r="R2332" i="1"/>
  <c r="S2332" i="1"/>
  <c r="T2332" i="1"/>
  <c r="Z2332" i="1"/>
  <c r="AL2332" i="1"/>
  <c r="A2333" i="1"/>
  <c r="B2333" i="1"/>
  <c r="C2333" i="1"/>
  <c r="G2333" i="1"/>
  <c r="H2333" i="1"/>
  <c r="I2333" i="1"/>
  <c r="J2333" i="1"/>
  <c r="K2333" i="1"/>
  <c r="M2333" i="1"/>
  <c r="N2333" i="1"/>
  <c r="P2333" i="1"/>
  <c r="Q2333" i="1"/>
  <c r="R2333" i="1"/>
  <c r="S2333" i="1"/>
  <c r="T2333" i="1"/>
  <c r="Z2333" i="1"/>
  <c r="AL2333" i="1"/>
  <c r="A2334" i="1"/>
  <c r="B2334" i="1"/>
  <c r="C2334" i="1"/>
  <c r="G2334" i="1"/>
  <c r="H2334" i="1"/>
  <c r="I2334" i="1"/>
  <c r="J2334" i="1"/>
  <c r="K2334" i="1"/>
  <c r="M2334" i="1"/>
  <c r="N2334" i="1"/>
  <c r="P2334" i="1"/>
  <c r="Q2334" i="1"/>
  <c r="R2334" i="1"/>
  <c r="S2334" i="1"/>
  <c r="T2334" i="1"/>
  <c r="Z2334" i="1"/>
  <c r="AL2334" i="1"/>
  <c r="A2335" i="1"/>
  <c r="B2335" i="1"/>
  <c r="C2335" i="1"/>
  <c r="G2335" i="1"/>
  <c r="H2335" i="1"/>
  <c r="I2335" i="1"/>
  <c r="J2335" i="1"/>
  <c r="K2335" i="1"/>
  <c r="M2335" i="1"/>
  <c r="N2335" i="1"/>
  <c r="P2335" i="1"/>
  <c r="Q2335" i="1"/>
  <c r="R2335" i="1"/>
  <c r="S2335" i="1"/>
  <c r="T2335" i="1"/>
  <c r="Z2335" i="1"/>
  <c r="AL2335" i="1"/>
  <c r="A2336" i="1"/>
  <c r="B2336" i="1"/>
  <c r="C2336" i="1"/>
  <c r="G2336" i="1"/>
  <c r="H2336" i="1"/>
  <c r="I2336" i="1"/>
  <c r="J2336" i="1"/>
  <c r="K2336" i="1"/>
  <c r="M2336" i="1"/>
  <c r="N2336" i="1"/>
  <c r="P2336" i="1"/>
  <c r="Q2336" i="1"/>
  <c r="R2336" i="1"/>
  <c r="S2336" i="1"/>
  <c r="T2336" i="1"/>
  <c r="Z2336" i="1"/>
  <c r="AL2336" i="1"/>
  <c r="A2337" i="1"/>
  <c r="B2337" i="1"/>
  <c r="C2337" i="1"/>
  <c r="G2337" i="1"/>
  <c r="H2337" i="1"/>
  <c r="I2337" i="1"/>
  <c r="J2337" i="1"/>
  <c r="K2337" i="1"/>
  <c r="M2337" i="1"/>
  <c r="N2337" i="1"/>
  <c r="P2337" i="1"/>
  <c r="Q2337" i="1"/>
  <c r="R2337" i="1"/>
  <c r="S2337" i="1"/>
  <c r="T2337" i="1"/>
  <c r="Z2337" i="1"/>
  <c r="AL2337" i="1"/>
  <c r="A2338" i="1"/>
  <c r="B2338" i="1"/>
  <c r="C2338" i="1"/>
  <c r="G2338" i="1"/>
  <c r="H2338" i="1"/>
  <c r="I2338" i="1"/>
  <c r="J2338" i="1"/>
  <c r="K2338" i="1"/>
  <c r="M2338" i="1"/>
  <c r="N2338" i="1"/>
  <c r="P2338" i="1"/>
  <c r="Q2338" i="1"/>
  <c r="R2338" i="1"/>
  <c r="S2338" i="1"/>
  <c r="T2338" i="1"/>
  <c r="AL2338" i="1"/>
  <c r="A2339" i="1"/>
  <c r="B2339" i="1"/>
  <c r="C2339" i="1"/>
  <c r="G2339" i="1"/>
  <c r="H2339" i="1"/>
  <c r="I2339" i="1"/>
  <c r="J2339" i="1"/>
  <c r="K2339" i="1"/>
  <c r="M2339" i="1"/>
  <c r="N2339" i="1"/>
  <c r="P2339" i="1"/>
  <c r="Q2339" i="1"/>
  <c r="R2339" i="1"/>
  <c r="S2339" i="1"/>
  <c r="T2339" i="1"/>
  <c r="AL2339" i="1"/>
  <c r="A2340" i="1"/>
  <c r="B2340" i="1"/>
  <c r="C2340" i="1"/>
  <c r="G2340" i="1"/>
  <c r="H2340" i="1"/>
  <c r="I2340" i="1"/>
  <c r="J2340" i="1"/>
  <c r="K2340" i="1"/>
  <c r="M2340" i="1"/>
  <c r="N2340" i="1"/>
  <c r="P2340" i="1"/>
  <c r="Q2340" i="1"/>
  <c r="R2340" i="1"/>
  <c r="S2340" i="1"/>
  <c r="T2340" i="1"/>
  <c r="AL2340" i="1"/>
  <c r="A2341" i="1"/>
  <c r="B2341" i="1"/>
  <c r="C2341" i="1"/>
  <c r="G2341" i="1"/>
  <c r="H2341" i="1"/>
  <c r="I2341" i="1"/>
  <c r="J2341" i="1"/>
  <c r="K2341" i="1"/>
  <c r="M2341" i="1"/>
  <c r="N2341" i="1"/>
  <c r="P2341" i="1"/>
  <c r="Q2341" i="1"/>
  <c r="R2341" i="1"/>
  <c r="S2341" i="1"/>
  <c r="T2341" i="1"/>
  <c r="AL2341" i="1"/>
  <c r="A2342" i="1"/>
  <c r="B2342" i="1"/>
  <c r="C2342" i="1"/>
  <c r="G2342" i="1"/>
  <c r="H2342" i="1"/>
  <c r="I2342" i="1"/>
  <c r="J2342" i="1"/>
  <c r="K2342" i="1"/>
  <c r="M2342" i="1"/>
  <c r="N2342" i="1"/>
  <c r="P2342" i="1"/>
  <c r="Q2342" i="1"/>
  <c r="R2342" i="1"/>
  <c r="S2342" i="1"/>
  <c r="T2342" i="1"/>
  <c r="AL2342" i="1"/>
  <c r="A2343" i="1"/>
  <c r="B2343" i="1"/>
  <c r="C2343" i="1"/>
  <c r="G2343" i="1"/>
  <c r="H2343" i="1"/>
  <c r="I2343" i="1"/>
  <c r="J2343" i="1"/>
  <c r="K2343" i="1"/>
  <c r="M2343" i="1"/>
  <c r="N2343" i="1"/>
  <c r="P2343" i="1"/>
  <c r="Q2343" i="1"/>
  <c r="R2343" i="1"/>
  <c r="S2343" i="1"/>
  <c r="T2343" i="1"/>
  <c r="AL2343" i="1"/>
  <c r="A2344" i="1"/>
  <c r="B2344" i="1"/>
  <c r="C2344" i="1"/>
  <c r="G2344" i="1"/>
  <c r="H2344" i="1"/>
  <c r="I2344" i="1"/>
  <c r="J2344" i="1"/>
  <c r="K2344" i="1"/>
  <c r="M2344" i="1"/>
  <c r="N2344" i="1"/>
  <c r="P2344" i="1"/>
  <c r="Q2344" i="1"/>
  <c r="R2344" i="1"/>
  <c r="S2344" i="1"/>
  <c r="T2344" i="1"/>
  <c r="AL2344" i="1"/>
  <c r="A2345" i="1"/>
  <c r="B2345" i="1"/>
  <c r="C2345" i="1"/>
  <c r="G2345" i="1"/>
  <c r="H2345" i="1"/>
  <c r="I2345" i="1"/>
  <c r="J2345" i="1"/>
  <c r="K2345" i="1"/>
  <c r="M2345" i="1"/>
  <c r="N2345" i="1"/>
  <c r="P2345" i="1"/>
  <c r="Q2345" i="1"/>
  <c r="R2345" i="1"/>
  <c r="S2345" i="1"/>
  <c r="T2345" i="1"/>
  <c r="Z2345" i="1"/>
  <c r="AL2345" i="1"/>
  <c r="A2346" i="1"/>
  <c r="B2346" i="1"/>
  <c r="C2346" i="1"/>
  <c r="G2346" i="1"/>
  <c r="H2346" i="1"/>
  <c r="I2346" i="1"/>
  <c r="J2346" i="1"/>
  <c r="K2346" i="1"/>
  <c r="M2346" i="1"/>
  <c r="N2346" i="1"/>
  <c r="P2346" i="1"/>
  <c r="Q2346" i="1"/>
  <c r="R2346" i="1"/>
  <c r="S2346" i="1"/>
  <c r="T2346" i="1"/>
  <c r="Z2346" i="1"/>
  <c r="AL2346" i="1"/>
  <c r="A2347" i="1"/>
  <c r="B2347" i="1"/>
  <c r="C2347" i="1"/>
  <c r="G2347" i="1"/>
  <c r="H2347" i="1"/>
  <c r="I2347" i="1"/>
  <c r="J2347" i="1"/>
  <c r="K2347" i="1"/>
  <c r="M2347" i="1"/>
  <c r="N2347" i="1"/>
  <c r="P2347" i="1"/>
  <c r="Q2347" i="1"/>
  <c r="R2347" i="1"/>
  <c r="S2347" i="1"/>
  <c r="T2347" i="1"/>
  <c r="Z2347" i="1"/>
  <c r="AL2347" i="1"/>
  <c r="A2348" i="1"/>
  <c r="B2348" i="1"/>
  <c r="C2348" i="1"/>
  <c r="G2348" i="1"/>
  <c r="H2348" i="1"/>
  <c r="I2348" i="1"/>
  <c r="J2348" i="1"/>
  <c r="K2348" i="1"/>
  <c r="M2348" i="1"/>
  <c r="N2348" i="1"/>
  <c r="P2348" i="1"/>
  <c r="Q2348" i="1"/>
  <c r="R2348" i="1"/>
  <c r="S2348" i="1"/>
  <c r="T2348" i="1"/>
  <c r="Z2348" i="1"/>
  <c r="AL2348" i="1"/>
  <c r="A2349" i="1"/>
  <c r="B2349" i="1"/>
  <c r="C2349" i="1"/>
  <c r="G2349" i="1"/>
  <c r="H2349" i="1"/>
  <c r="I2349" i="1"/>
  <c r="J2349" i="1"/>
  <c r="K2349" i="1"/>
  <c r="M2349" i="1"/>
  <c r="N2349" i="1"/>
  <c r="P2349" i="1"/>
  <c r="Q2349" i="1"/>
  <c r="R2349" i="1"/>
  <c r="S2349" i="1"/>
  <c r="T2349" i="1"/>
  <c r="Z2349" i="1"/>
  <c r="AL2349" i="1"/>
  <c r="A2350" i="1"/>
  <c r="B2350" i="1"/>
  <c r="C2350" i="1"/>
  <c r="G2350" i="1"/>
  <c r="H2350" i="1"/>
  <c r="I2350" i="1"/>
  <c r="J2350" i="1"/>
  <c r="K2350" i="1"/>
  <c r="M2350" i="1"/>
  <c r="N2350" i="1"/>
  <c r="P2350" i="1"/>
  <c r="Q2350" i="1"/>
  <c r="R2350" i="1"/>
  <c r="S2350" i="1"/>
  <c r="T2350" i="1"/>
  <c r="AL2350" i="1"/>
  <c r="A2351" i="1"/>
  <c r="B2351" i="1"/>
  <c r="C2351" i="1"/>
  <c r="G2351" i="1"/>
  <c r="H2351" i="1"/>
  <c r="I2351" i="1"/>
  <c r="J2351" i="1"/>
  <c r="K2351" i="1"/>
  <c r="M2351" i="1"/>
  <c r="N2351" i="1"/>
  <c r="P2351" i="1"/>
  <c r="Q2351" i="1"/>
  <c r="R2351" i="1"/>
  <c r="S2351" i="1"/>
  <c r="T2351" i="1"/>
  <c r="Z2351" i="1"/>
  <c r="AL2351" i="1"/>
  <c r="A2352" i="1"/>
  <c r="B2352" i="1"/>
  <c r="C2352" i="1"/>
  <c r="G2352" i="1"/>
  <c r="H2352" i="1"/>
  <c r="I2352" i="1"/>
  <c r="J2352" i="1"/>
  <c r="K2352" i="1"/>
  <c r="M2352" i="1"/>
  <c r="N2352" i="1"/>
  <c r="P2352" i="1"/>
  <c r="Q2352" i="1"/>
  <c r="R2352" i="1"/>
  <c r="S2352" i="1"/>
  <c r="T2352" i="1"/>
  <c r="Z2352" i="1"/>
  <c r="AL2352" i="1"/>
  <c r="A2353" i="1"/>
  <c r="B2353" i="1"/>
  <c r="C2353" i="1"/>
  <c r="G2353" i="1"/>
  <c r="H2353" i="1"/>
  <c r="I2353" i="1"/>
  <c r="J2353" i="1"/>
  <c r="K2353" i="1"/>
  <c r="M2353" i="1"/>
  <c r="N2353" i="1"/>
  <c r="P2353" i="1"/>
  <c r="Q2353" i="1"/>
  <c r="R2353" i="1"/>
  <c r="S2353" i="1"/>
  <c r="T2353" i="1"/>
  <c r="Z2353" i="1"/>
  <c r="AL2353" i="1"/>
  <c r="A2354" i="1"/>
  <c r="B2354" i="1"/>
  <c r="C2354" i="1"/>
  <c r="G2354" i="1"/>
  <c r="H2354" i="1"/>
  <c r="I2354" i="1"/>
  <c r="J2354" i="1"/>
  <c r="K2354" i="1"/>
  <c r="M2354" i="1"/>
  <c r="N2354" i="1"/>
  <c r="P2354" i="1"/>
  <c r="Q2354" i="1"/>
  <c r="R2354" i="1"/>
  <c r="S2354" i="1"/>
  <c r="T2354" i="1"/>
  <c r="Z2354" i="1"/>
  <c r="AL2354" i="1"/>
  <c r="A2355" i="1"/>
  <c r="B2355" i="1"/>
  <c r="C2355" i="1"/>
  <c r="G2355" i="1"/>
  <c r="H2355" i="1"/>
  <c r="I2355" i="1"/>
  <c r="J2355" i="1"/>
  <c r="K2355" i="1"/>
  <c r="M2355" i="1"/>
  <c r="N2355" i="1"/>
  <c r="P2355" i="1"/>
  <c r="Q2355" i="1"/>
  <c r="R2355" i="1"/>
  <c r="S2355" i="1"/>
  <c r="T2355" i="1"/>
  <c r="Z2355" i="1"/>
  <c r="AL2355" i="1"/>
  <c r="A2356" i="1"/>
  <c r="B2356" i="1"/>
  <c r="C2356" i="1"/>
  <c r="G2356" i="1"/>
  <c r="H2356" i="1"/>
  <c r="I2356" i="1"/>
  <c r="J2356" i="1"/>
  <c r="K2356" i="1"/>
  <c r="M2356" i="1"/>
  <c r="N2356" i="1"/>
  <c r="P2356" i="1"/>
  <c r="Q2356" i="1"/>
  <c r="R2356" i="1"/>
  <c r="S2356" i="1"/>
  <c r="T2356" i="1"/>
  <c r="Z2356" i="1"/>
  <c r="AL2356" i="1"/>
  <c r="A2357" i="1"/>
  <c r="B2357" i="1"/>
  <c r="C2357" i="1"/>
  <c r="G2357" i="1"/>
  <c r="H2357" i="1"/>
  <c r="I2357" i="1"/>
  <c r="J2357" i="1"/>
  <c r="K2357" i="1"/>
  <c r="M2357" i="1"/>
  <c r="N2357" i="1"/>
  <c r="P2357" i="1"/>
  <c r="Q2357" i="1"/>
  <c r="R2357" i="1"/>
  <c r="S2357" i="1"/>
  <c r="T2357" i="1"/>
  <c r="Z2357" i="1"/>
  <c r="AL2357" i="1"/>
  <c r="A2358" i="1"/>
  <c r="B2358" i="1"/>
  <c r="C2358" i="1"/>
  <c r="G2358" i="1"/>
  <c r="H2358" i="1"/>
  <c r="I2358" i="1"/>
  <c r="J2358" i="1"/>
  <c r="K2358" i="1"/>
  <c r="M2358" i="1"/>
  <c r="N2358" i="1"/>
  <c r="P2358" i="1"/>
  <c r="Q2358" i="1"/>
  <c r="R2358" i="1"/>
  <c r="S2358" i="1"/>
  <c r="T2358" i="1"/>
  <c r="Z2358" i="1"/>
  <c r="AL2358" i="1"/>
  <c r="A2359" i="1"/>
  <c r="B2359" i="1"/>
  <c r="C2359" i="1"/>
  <c r="G2359" i="1"/>
  <c r="H2359" i="1"/>
  <c r="I2359" i="1"/>
  <c r="J2359" i="1"/>
  <c r="K2359" i="1"/>
  <c r="M2359" i="1"/>
  <c r="N2359" i="1"/>
  <c r="P2359" i="1"/>
  <c r="Q2359" i="1"/>
  <c r="R2359" i="1"/>
  <c r="S2359" i="1"/>
  <c r="T2359" i="1"/>
  <c r="Z2359" i="1"/>
  <c r="AL2359" i="1"/>
  <c r="A2360" i="1"/>
  <c r="B2360" i="1"/>
  <c r="C2360" i="1"/>
  <c r="G2360" i="1"/>
  <c r="H2360" i="1"/>
  <c r="I2360" i="1"/>
  <c r="J2360" i="1"/>
  <c r="K2360" i="1"/>
  <c r="M2360" i="1"/>
  <c r="N2360" i="1"/>
  <c r="P2360" i="1"/>
  <c r="Q2360" i="1"/>
  <c r="R2360" i="1"/>
  <c r="S2360" i="1"/>
  <c r="T2360" i="1"/>
  <c r="Z2360" i="1"/>
  <c r="AL2360" i="1"/>
  <c r="A2361" i="1"/>
  <c r="B2361" i="1"/>
  <c r="C2361" i="1"/>
  <c r="G2361" i="1"/>
  <c r="H2361" i="1"/>
  <c r="I2361" i="1"/>
  <c r="J2361" i="1"/>
  <c r="K2361" i="1"/>
  <c r="M2361" i="1"/>
  <c r="N2361" i="1"/>
  <c r="P2361" i="1"/>
  <c r="Q2361" i="1"/>
  <c r="R2361" i="1"/>
  <c r="S2361" i="1"/>
  <c r="T2361" i="1"/>
  <c r="AL2361" i="1"/>
  <c r="A2362" i="1"/>
  <c r="B2362" i="1"/>
  <c r="C2362" i="1"/>
  <c r="G2362" i="1"/>
  <c r="H2362" i="1"/>
  <c r="I2362" i="1"/>
  <c r="J2362" i="1"/>
  <c r="K2362" i="1"/>
  <c r="M2362" i="1"/>
  <c r="N2362" i="1"/>
  <c r="P2362" i="1"/>
  <c r="Q2362" i="1"/>
  <c r="R2362" i="1"/>
  <c r="S2362" i="1"/>
  <c r="T2362" i="1"/>
  <c r="AL2362" i="1"/>
  <c r="A2363" i="1"/>
  <c r="B2363" i="1"/>
  <c r="C2363" i="1"/>
  <c r="G2363" i="1"/>
  <c r="H2363" i="1"/>
  <c r="I2363" i="1"/>
  <c r="J2363" i="1"/>
  <c r="K2363" i="1"/>
  <c r="M2363" i="1"/>
  <c r="N2363" i="1"/>
  <c r="P2363" i="1"/>
  <c r="Q2363" i="1"/>
  <c r="R2363" i="1"/>
  <c r="S2363" i="1"/>
  <c r="T2363" i="1"/>
  <c r="AL2363" i="1"/>
  <c r="A2364" i="1"/>
  <c r="B2364" i="1"/>
  <c r="C2364" i="1"/>
  <c r="G2364" i="1"/>
  <c r="H2364" i="1"/>
  <c r="I2364" i="1"/>
  <c r="J2364" i="1"/>
  <c r="K2364" i="1"/>
  <c r="M2364" i="1"/>
  <c r="N2364" i="1"/>
  <c r="P2364" i="1"/>
  <c r="Q2364" i="1"/>
  <c r="R2364" i="1"/>
  <c r="S2364" i="1"/>
  <c r="T2364" i="1"/>
  <c r="AL2364" i="1"/>
  <c r="A2365" i="1"/>
  <c r="B2365" i="1"/>
  <c r="C2365" i="1"/>
  <c r="G2365" i="1"/>
  <c r="H2365" i="1"/>
  <c r="I2365" i="1"/>
  <c r="J2365" i="1"/>
  <c r="K2365" i="1"/>
  <c r="M2365" i="1"/>
  <c r="N2365" i="1"/>
  <c r="P2365" i="1"/>
  <c r="Q2365" i="1"/>
  <c r="R2365" i="1"/>
  <c r="S2365" i="1"/>
  <c r="T2365" i="1"/>
  <c r="Z2365" i="1"/>
  <c r="AL2365" i="1"/>
  <c r="A2366" i="1"/>
  <c r="B2366" i="1"/>
  <c r="C2366" i="1"/>
  <c r="G2366" i="1"/>
  <c r="H2366" i="1"/>
  <c r="I2366" i="1"/>
  <c r="J2366" i="1"/>
  <c r="K2366" i="1"/>
  <c r="M2366" i="1"/>
  <c r="N2366" i="1"/>
  <c r="P2366" i="1"/>
  <c r="Q2366" i="1"/>
  <c r="R2366" i="1"/>
  <c r="S2366" i="1"/>
  <c r="T2366" i="1"/>
  <c r="Z2366" i="1"/>
  <c r="AL2366" i="1"/>
  <c r="A2367" i="1"/>
  <c r="B2367" i="1"/>
  <c r="C2367" i="1"/>
  <c r="G2367" i="1"/>
  <c r="H2367" i="1"/>
  <c r="I2367" i="1"/>
  <c r="J2367" i="1"/>
  <c r="K2367" i="1"/>
  <c r="M2367" i="1"/>
  <c r="N2367" i="1"/>
  <c r="P2367" i="1"/>
  <c r="Q2367" i="1"/>
  <c r="R2367" i="1"/>
  <c r="S2367" i="1"/>
  <c r="T2367" i="1"/>
  <c r="Z2367" i="1"/>
  <c r="AL2367" i="1"/>
  <c r="A2368" i="1"/>
  <c r="B2368" i="1"/>
  <c r="C2368" i="1"/>
  <c r="G2368" i="1"/>
  <c r="H2368" i="1"/>
  <c r="I2368" i="1"/>
  <c r="J2368" i="1"/>
  <c r="K2368" i="1"/>
  <c r="M2368" i="1"/>
  <c r="N2368" i="1"/>
  <c r="P2368" i="1"/>
  <c r="Q2368" i="1"/>
  <c r="R2368" i="1"/>
  <c r="S2368" i="1"/>
  <c r="T2368" i="1"/>
  <c r="AL2368" i="1"/>
  <c r="A2369" i="1"/>
  <c r="B2369" i="1"/>
  <c r="C2369" i="1"/>
  <c r="G2369" i="1"/>
  <c r="H2369" i="1"/>
  <c r="I2369" i="1"/>
  <c r="J2369" i="1"/>
  <c r="K2369" i="1"/>
  <c r="M2369" i="1"/>
  <c r="N2369" i="1"/>
  <c r="P2369" i="1"/>
  <c r="Q2369" i="1"/>
  <c r="R2369" i="1"/>
  <c r="S2369" i="1"/>
  <c r="T2369" i="1"/>
  <c r="Z2369" i="1"/>
  <c r="AL2369" i="1"/>
  <c r="A2370" i="1"/>
  <c r="B2370" i="1"/>
  <c r="C2370" i="1"/>
  <c r="G2370" i="1"/>
  <c r="H2370" i="1"/>
  <c r="I2370" i="1"/>
  <c r="J2370" i="1"/>
  <c r="K2370" i="1"/>
  <c r="M2370" i="1"/>
  <c r="N2370" i="1"/>
  <c r="P2370" i="1"/>
  <c r="Q2370" i="1"/>
  <c r="R2370" i="1"/>
  <c r="S2370" i="1"/>
  <c r="T2370" i="1"/>
  <c r="Z2370" i="1"/>
  <c r="AL2370" i="1"/>
  <c r="A2371" i="1"/>
  <c r="B2371" i="1"/>
  <c r="C2371" i="1"/>
  <c r="G2371" i="1"/>
  <c r="H2371" i="1"/>
  <c r="I2371" i="1"/>
  <c r="J2371" i="1"/>
  <c r="K2371" i="1"/>
  <c r="M2371" i="1"/>
  <c r="N2371" i="1"/>
  <c r="P2371" i="1"/>
  <c r="Q2371" i="1"/>
  <c r="R2371" i="1"/>
  <c r="S2371" i="1"/>
  <c r="T2371" i="1"/>
  <c r="Z2371" i="1"/>
  <c r="AL2371" i="1"/>
  <c r="A2372" i="1"/>
  <c r="B2372" i="1"/>
  <c r="C2372" i="1"/>
  <c r="G2372" i="1"/>
  <c r="H2372" i="1"/>
  <c r="I2372" i="1"/>
  <c r="J2372" i="1"/>
  <c r="K2372" i="1"/>
  <c r="M2372" i="1"/>
  <c r="N2372" i="1"/>
  <c r="P2372" i="1"/>
  <c r="Q2372" i="1"/>
  <c r="R2372" i="1"/>
  <c r="S2372" i="1"/>
  <c r="T2372" i="1"/>
  <c r="Z2372" i="1"/>
  <c r="AL2372" i="1"/>
  <c r="A2373" i="1"/>
  <c r="B2373" i="1"/>
  <c r="C2373" i="1"/>
  <c r="G2373" i="1"/>
  <c r="H2373" i="1"/>
  <c r="I2373" i="1"/>
  <c r="J2373" i="1"/>
  <c r="K2373" i="1"/>
  <c r="M2373" i="1"/>
  <c r="N2373" i="1"/>
  <c r="P2373" i="1"/>
  <c r="Q2373" i="1"/>
  <c r="R2373" i="1"/>
  <c r="S2373" i="1"/>
  <c r="T2373" i="1"/>
  <c r="Z2373" i="1"/>
  <c r="AL2373" i="1"/>
  <c r="A2374" i="1"/>
  <c r="B2374" i="1"/>
  <c r="C2374" i="1"/>
  <c r="G2374" i="1"/>
  <c r="H2374" i="1"/>
  <c r="I2374" i="1"/>
  <c r="J2374" i="1"/>
  <c r="K2374" i="1"/>
  <c r="M2374" i="1"/>
  <c r="N2374" i="1"/>
  <c r="P2374" i="1"/>
  <c r="Q2374" i="1"/>
  <c r="R2374" i="1"/>
  <c r="S2374" i="1"/>
  <c r="T2374" i="1"/>
  <c r="Z2374" i="1"/>
  <c r="AL2374" i="1"/>
  <c r="A2375" i="1"/>
  <c r="B2375" i="1"/>
  <c r="C2375" i="1"/>
  <c r="G2375" i="1"/>
  <c r="H2375" i="1"/>
  <c r="I2375" i="1"/>
  <c r="J2375" i="1"/>
  <c r="K2375" i="1"/>
  <c r="M2375" i="1"/>
  <c r="N2375" i="1"/>
  <c r="P2375" i="1"/>
  <c r="Q2375" i="1"/>
  <c r="R2375" i="1"/>
  <c r="S2375" i="1"/>
  <c r="T2375" i="1"/>
  <c r="AL2375" i="1"/>
  <c r="A2376" i="1"/>
  <c r="B2376" i="1"/>
  <c r="C2376" i="1"/>
  <c r="G2376" i="1"/>
  <c r="H2376" i="1"/>
  <c r="I2376" i="1"/>
  <c r="J2376" i="1"/>
  <c r="K2376" i="1"/>
  <c r="M2376" i="1"/>
  <c r="N2376" i="1"/>
  <c r="P2376" i="1"/>
  <c r="Q2376" i="1"/>
  <c r="R2376" i="1"/>
  <c r="S2376" i="1"/>
  <c r="T2376" i="1"/>
  <c r="Z2376" i="1"/>
  <c r="AL2376" i="1"/>
  <c r="A2377" i="1"/>
  <c r="B2377" i="1"/>
  <c r="C2377" i="1"/>
  <c r="G2377" i="1"/>
  <c r="H2377" i="1"/>
  <c r="I2377" i="1"/>
  <c r="J2377" i="1"/>
  <c r="K2377" i="1"/>
  <c r="M2377" i="1"/>
  <c r="N2377" i="1"/>
  <c r="P2377" i="1"/>
  <c r="Q2377" i="1"/>
  <c r="R2377" i="1"/>
  <c r="S2377" i="1"/>
  <c r="T2377" i="1"/>
  <c r="AL2377" i="1"/>
  <c r="A2378" i="1"/>
  <c r="B2378" i="1"/>
  <c r="C2378" i="1"/>
  <c r="G2378" i="1"/>
  <c r="H2378" i="1"/>
  <c r="I2378" i="1"/>
  <c r="J2378" i="1"/>
  <c r="K2378" i="1"/>
  <c r="P2378" i="1"/>
  <c r="Q2378" i="1"/>
  <c r="R2378" i="1"/>
  <c r="S2378" i="1"/>
  <c r="T2378" i="1"/>
  <c r="Z2378" i="1"/>
  <c r="AL2378" i="1"/>
  <c r="A2379" i="1"/>
  <c r="B2379" i="1"/>
  <c r="C2379" i="1"/>
  <c r="G2379" i="1"/>
  <c r="H2379" i="1"/>
  <c r="I2379" i="1"/>
  <c r="J2379" i="1"/>
  <c r="K2379" i="1"/>
  <c r="P2379" i="1"/>
  <c r="Q2379" i="1"/>
  <c r="R2379" i="1"/>
  <c r="S2379" i="1"/>
  <c r="T2379" i="1"/>
  <c r="Z2379" i="1"/>
  <c r="AL2379" i="1"/>
  <c r="A2380" i="1"/>
  <c r="B2380" i="1"/>
  <c r="C2380" i="1"/>
  <c r="G2380" i="1"/>
  <c r="H2380" i="1"/>
  <c r="I2380" i="1"/>
  <c r="J2380" i="1"/>
  <c r="K2380" i="1"/>
  <c r="M2380" i="1"/>
  <c r="N2380" i="1"/>
  <c r="P2380" i="1"/>
  <c r="Q2380" i="1"/>
  <c r="R2380" i="1"/>
  <c r="S2380" i="1"/>
  <c r="T2380" i="1"/>
  <c r="Z2380" i="1"/>
  <c r="AL2380" i="1"/>
  <c r="A2381" i="1"/>
  <c r="B2381" i="1"/>
  <c r="C2381" i="1"/>
  <c r="G2381" i="1"/>
  <c r="H2381" i="1"/>
  <c r="I2381" i="1"/>
  <c r="J2381" i="1"/>
  <c r="K2381" i="1"/>
  <c r="M2381" i="1"/>
  <c r="N2381" i="1"/>
  <c r="P2381" i="1"/>
  <c r="Q2381" i="1"/>
  <c r="R2381" i="1"/>
  <c r="S2381" i="1"/>
  <c r="T2381" i="1"/>
  <c r="Z2381" i="1"/>
  <c r="AL2381" i="1"/>
  <c r="A2382" i="1"/>
  <c r="B2382" i="1"/>
  <c r="C2382" i="1"/>
  <c r="G2382" i="1"/>
  <c r="H2382" i="1"/>
  <c r="I2382" i="1"/>
  <c r="J2382" i="1"/>
  <c r="K2382" i="1"/>
  <c r="P2382" i="1"/>
  <c r="Q2382" i="1"/>
  <c r="R2382" i="1"/>
  <c r="S2382" i="1"/>
  <c r="T2382" i="1"/>
  <c r="AL2382" i="1"/>
  <c r="A2383" i="1"/>
  <c r="B2383" i="1"/>
  <c r="C2383" i="1"/>
  <c r="G2383" i="1"/>
  <c r="H2383" i="1"/>
  <c r="I2383" i="1"/>
  <c r="J2383" i="1"/>
  <c r="K2383" i="1"/>
  <c r="M2383" i="1"/>
  <c r="N2383" i="1"/>
  <c r="P2383" i="1"/>
  <c r="Q2383" i="1"/>
  <c r="R2383" i="1"/>
  <c r="S2383" i="1"/>
  <c r="T2383" i="1"/>
  <c r="Z2383" i="1"/>
  <c r="AL2383" i="1"/>
  <c r="A2384" i="1"/>
  <c r="B2384" i="1"/>
  <c r="C2384" i="1"/>
  <c r="G2384" i="1"/>
  <c r="H2384" i="1"/>
  <c r="I2384" i="1"/>
  <c r="J2384" i="1"/>
  <c r="K2384" i="1"/>
  <c r="P2384" i="1"/>
  <c r="Q2384" i="1"/>
  <c r="R2384" i="1"/>
  <c r="S2384" i="1"/>
  <c r="T2384" i="1"/>
  <c r="AL2384" i="1"/>
  <c r="A2385" i="1"/>
  <c r="B2385" i="1"/>
  <c r="C2385" i="1"/>
  <c r="G2385" i="1"/>
  <c r="H2385" i="1"/>
  <c r="I2385" i="1"/>
  <c r="J2385" i="1"/>
  <c r="K2385" i="1"/>
  <c r="M2385" i="1"/>
  <c r="N2385" i="1"/>
  <c r="P2385" i="1"/>
  <c r="Q2385" i="1"/>
  <c r="R2385" i="1"/>
  <c r="S2385" i="1"/>
  <c r="T2385" i="1"/>
  <c r="Z2385" i="1"/>
  <c r="AL2385" i="1"/>
  <c r="A2386" i="1"/>
  <c r="B2386" i="1"/>
  <c r="C2386" i="1"/>
  <c r="G2386" i="1"/>
  <c r="H2386" i="1"/>
  <c r="I2386" i="1"/>
  <c r="J2386" i="1"/>
  <c r="K2386" i="1"/>
  <c r="M2386" i="1"/>
  <c r="N2386" i="1"/>
  <c r="P2386" i="1"/>
  <c r="Q2386" i="1"/>
  <c r="R2386" i="1"/>
  <c r="S2386" i="1"/>
  <c r="T2386" i="1"/>
  <c r="Z2386" i="1"/>
  <c r="AL2386" i="1"/>
  <c r="A2387" i="1"/>
  <c r="B2387" i="1"/>
  <c r="C2387" i="1"/>
  <c r="G2387" i="1"/>
  <c r="H2387" i="1"/>
  <c r="I2387" i="1"/>
  <c r="J2387" i="1"/>
  <c r="K2387" i="1"/>
  <c r="M2387" i="1"/>
  <c r="N2387" i="1"/>
  <c r="P2387" i="1"/>
  <c r="Q2387" i="1"/>
  <c r="R2387" i="1"/>
  <c r="S2387" i="1"/>
  <c r="T2387" i="1"/>
  <c r="Z2387" i="1"/>
  <c r="AL2387" i="1"/>
  <c r="A2388" i="1"/>
  <c r="B2388" i="1"/>
  <c r="C2388" i="1"/>
  <c r="G2388" i="1"/>
  <c r="H2388" i="1"/>
  <c r="I2388" i="1"/>
  <c r="J2388" i="1"/>
  <c r="K2388" i="1"/>
  <c r="M2388" i="1"/>
  <c r="N2388" i="1"/>
  <c r="P2388" i="1"/>
  <c r="Q2388" i="1"/>
  <c r="R2388" i="1"/>
  <c r="S2388" i="1"/>
  <c r="T2388" i="1"/>
  <c r="Z2388" i="1"/>
  <c r="AL2388" i="1"/>
  <c r="A2389" i="1"/>
  <c r="B2389" i="1"/>
  <c r="C2389" i="1"/>
  <c r="G2389" i="1"/>
  <c r="H2389" i="1"/>
  <c r="I2389" i="1"/>
  <c r="J2389" i="1"/>
  <c r="K2389" i="1"/>
  <c r="M2389" i="1"/>
  <c r="N2389" i="1"/>
  <c r="P2389" i="1"/>
  <c r="Q2389" i="1"/>
  <c r="R2389" i="1"/>
  <c r="S2389" i="1"/>
  <c r="T2389" i="1"/>
  <c r="Z2389" i="1"/>
  <c r="AL2389" i="1"/>
  <c r="A2390" i="1"/>
  <c r="B2390" i="1"/>
  <c r="C2390" i="1"/>
  <c r="G2390" i="1"/>
  <c r="H2390" i="1"/>
  <c r="I2390" i="1"/>
  <c r="J2390" i="1"/>
  <c r="K2390" i="1"/>
  <c r="M2390" i="1"/>
  <c r="N2390" i="1"/>
  <c r="P2390" i="1"/>
  <c r="Q2390" i="1"/>
  <c r="R2390" i="1"/>
  <c r="S2390" i="1"/>
  <c r="T2390" i="1"/>
  <c r="Z2390" i="1"/>
  <c r="AL2390" i="1"/>
  <c r="A2391" i="1"/>
  <c r="B2391" i="1"/>
  <c r="C2391" i="1"/>
  <c r="G2391" i="1"/>
  <c r="H2391" i="1"/>
  <c r="I2391" i="1"/>
  <c r="J2391" i="1"/>
  <c r="K2391" i="1"/>
  <c r="M2391" i="1"/>
  <c r="N2391" i="1"/>
  <c r="P2391" i="1"/>
  <c r="Q2391" i="1"/>
  <c r="R2391" i="1"/>
  <c r="S2391" i="1"/>
  <c r="T2391" i="1"/>
  <c r="Z2391" i="1"/>
  <c r="AL2391" i="1"/>
  <c r="A2392" i="1"/>
  <c r="B2392" i="1"/>
  <c r="C2392" i="1"/>
  <c r="G2392" i="1"/>
  <c r="H2392" i="1"/>
  <c r="I2392" i="1"/>
  <c r="J2392" i="1"/>
  <c r="K2392" i="1"/>
  <c r="M2392" i="1"/>
  <c r="N2392" i="1"/>
  <c r="P2392" i="1"/>
  <c r="Q2392" i="1"/>
  <c r="R2392" i="1"/>
  <c r="S2392" i="1"/>
  <c r="T2392" i="1"/>
  <c r="Z2392" i="1"/>
  <c r="AL2392" i="1"/>
  <c r="A2393" i="1"/>
  <c r="B2393" i="1"/>
  <c r="C2393" i="1"/>
  <c r="G2393" i="1"/>
  <c r="H2393" i="1"/>
  <c r="I2393" i="1"/>
  <c r="J2393" i="1"/>
  <c r="K2393" i="1"/>
  <c r="M2393" i="1"/>
  <c r="N2393" i="1"/>
  <c r="P2393" i="1"/>
  <c r="Q2393" i="1"/>
  <c r="R2393" i="1"/>
  <c r="S2393" i="1"/>
  <c r="T2393" i="1"/>
  <c r="Z2393" i="1"/>
  <c r="AL2393" i="1"/>
  <c r="A2394" i="1"/>
  <c r="B2394" i="1"/>
  <c r="C2394" i="1"/>
  <c r="G2394" i="1"/>
  <c r="H2394" i="1"/>
  <c r="I2394" i="1"/>
  <c r="J2394" i="1"/>
  <c r="K2394" i="1"/>
  <c r="M2394" i="1"/>
  <c r="N2394" i="1"/>
  <c r="P2394" i="1"/>
  <c r="Q2394" i="1"/>
  <c r="R2394" i="1"/>
  <c r="S2394" i="1"/>
  <c r="T2394" i="1"/>
  <c r="Z2394" i="1"/>
  <c r="AL2394" i="1"/>
  <c r="A2395" i="1"/>
  <c r="B2395" i="1"/>
  <c r="C2395" i="1"/>
  <c r="G2395" i="1"/>
  <c r="H2395" i="1"/>
  <c r="I2395" i="1"/>
  <c r="J2395" i="1"/>
  <c r="K2395" i="1"/>
  <c r="M2395" i="1"/>
  <c r="N2395" i="1"/>
  <c r="P2395" i="1"/>
  <c r="Q2395" i="1"/>
  <c r="R2395" i="1"/>
  <c r="S2395" i="1"/>
  <c r="T2395" i="1"/>
  <c r="Z2395" i="1"/>
  <c r="AL2395" i="1"/>
  <c r="A2396" i="1"/>
  <c r="B2396" i="1"/>
  <c r="C2396" i="1"/>
  <c r="G2396" i="1"/>
  <c r="H2396" i="1"/>
  <c r="I2396" i="1"/>
  <c r="J2396" i="1"/>
  <c r="K2396" i="1"/>
  <c r="M2396" i="1"/>
  <c r="N2396" i="1"/>
  <c r="P2396" i="1"/>
  <c r="Q2396" i="1"/>
  <c r="R2396" i="1"/>
  <c r="S2396" i="1"/>
  <c r="T2396" i="1"/>
  <c r="Z2396" i="1"/>
  <c r="AL2396" i="1"/>
  <c r="A2397" i="1"/>
  <c r="B2397" i="1"/>
  <c r="C2397" i="1"/>
  <c r="G2397" i="1"/>
  <c r="H2397" i="1"/>
  <c r="I2397" i="1"/>
  <c r="J2397" i="1"/>
  <c r="K2397" i="1"/>
  <c r="M2397" i="1"/>
  <c r="N2397" i="1"/>
  <c r="P2397" i="1"/>
  <c r="Q2397" i="1"/>
  <c r="R2397" i="1"/>
  <c r="S2397" i="1"/>
  <c r="T2397" i="1"/>
  <c r="Z2397" i="1"/>
  <c r="AL2397" i="1"/>
  <c r="A2398" i="1"/>
  <c r="B2398" i="1"/>
  <c r="C2398" i="1"/>
  <c r="G2398" i="1"/>
  <c r="H2398" i="1"/>
  <c r="I2398" i="1"/>
  <c r="J2398" i="1"/>
  <c r="K2398" i="1"/>
  <c r="M2398" i="1"/>
  <c r="N2398" i="1"/>
  <c r="P2398" i="1"/>
  <c r="Q2398" i="1"/>
  <c r="R2398" i="1"/>
  <c r="S2398" i="1"/>
  <c r="T2398" i="1"/>
  <c r="Z2398" i="1"/>
  <c r="AL2398" i="1"/>
  <c r="A2399" i="1"/>
  <c r="B2399" i="1"/>
  <c r="C2399" i="1"/>
  <c r="G2399" i="1"/>
  <c r="H2399" i="1"/>
  <c r="I2399" i="1"/>
  <c r="J2399" i="1"/>
  <c r="K2399" i="1"/>
  <c r="M2399" i="1"/>
  <c r="N2399" i="1"/>
  <c r="P2399" i="1"/>
  <c r="Q2399" i="1"/>
  <c r="R2399" i="1"/>
  <c r="S2399" i="1"/>
  <c r="T2399" i="1"/>
  <c r="Z2399" i="1"/>
  <c r="AL2399" i="1"/>
  <c r="A2400" i="1"/>
  <c r="B2400" i="1"/>
  <c r="C2400" i="1"/>
  <c r="G2400" i="1"/>
  <c r="H2400" i="1"/>
  <c r="I2400" i="1"/>
  <c r="J2400" i="1"/>
  <c r="K2400" i="1"/>
  <c r="M2400" i="1"/>
  <c r="N2400" i="1"/>
  <c r="P2400" i="1"/>
  <c r="Q2400" i="1"/>
  <c r="R2400" i="1"/>
  <c r="S2400" i="1"/>
  <c r="T2400" i="1"/>
  <c r="Z2400" i="1"/>
  <c r="AL2400" i="1"/>
  <c r="A2401" i="1"/>
  <c r="B2401" i="1"/>
  <c r="C2401" i="1"/>
  <c r="G2401" i="1"/>
  <c r="H2401" i="1"/>
  <c r="I2401" i="1"/>
  <c r="J2401" i="1"/>
  <c r="K2401" i="1"/>
  <c r="M2401" i="1"/>
  <c r="N2401" i="1"/>
  <c r="P2401" i="1"/>
  <c r="Q2401" i="1"/>
  <c r="R2401" i="1"/>
  <c r="S2401" i="1"/>
  <c r="T2401" i="1"/>
  <c r="Z2401" i="1"/>
  <c r="AL2401" i="1"/>
  <c r="A2402" i="1"/>
  <c r="B2402" i="1"/>
  <c r="C2402" i="1"/>
  <c r="G2402" i="1"/>
  <c r="H2402" i="1"/>
  <c r="I2402" i="1"/>
  <c r="J2402" i="1"/>
  <c r="K2402" i="1"/>
  <c r="M2402" i="1"/>
  <c r="N2402" i="1"/>
  <c r="P2402" i="1"/>
  <c r="Q2402" i="1"/>
  <c r="R2402" i="1"/>
  <c r="S2402" i="1"/>
  <c r="T2402" i="1"/>
  <c r="Z2402" i="1"/>
  <c r="AL2402" i="1"/>
  <c r="A2403" i="1"/>
  <c r="B2403" i="1"/>
  <c r="C2403" i="1"/>
  <c r="G2403" i="1"/>
  <c r="H2403" i="1"/>
  <c r="I2403" i="1"/>
  <c r="J2403" i="1"/>
  <c r="K2403" i="1"/>
  <c r="M2403" i="1"/>
  <c r="N2403" i="1"/>
  <c r="P2403" i="1"/>
  <c r="Q2403" i="1"/>
  <c r="R2403" i="1"/>
  <c r="S2403" i="1"/>
  <c r="T2403" i="1"/>
  <c r="Z2403" i="1"/>
  <c r="AL2403" i="1"/>
  <c r="A2404" i="1"/>
  <c r="B2404" i="1"/>
  <c r="C2404" i="1"/>
  <c r="G2404" i="1"/>
  <c r="H2404" i="1"/>
  <c r="I2404" i="1"/>
  <c r="J2404" i="1"/>
  <c r="K2404" i="1"/>
  <c r="M2404" i="1"/>
  <c r="N2404" i="1"/>
  <c r="P2404" i="1"/>
  <c r="Q2404" i="1"/>
  <c r="R2404" i="1"/>
  <c r="S2404" i="1"/>
  <c r="T2404" i="1"/>
  <c r="Z2404" i="1"/>
  <c r="AL2404" i="1"/>
  <c r="A2405" i="1"/>
  <c r="B2405" i="1"/>
  <c r="C2405" i="1"/>
  <c r="G2405" i="1"/>
  <c r="H2405" i="1"/>
  <c r="I2405" i="1"/>
  <c r="J2405" i="1"/>
  <c r="K2405" i="1"/>
  <c r="M2405" i="1"/>
  <c r="N2405" i="1"/>
  <c r="P2405" i="1"/>
  <c r="Q2405" i="1"/>
  <c r="R2405" i="1"/>
  <c r="S2405" i="1"/>
  <c r="T2405" i="1"/>
  <c r="Z2405" i="1"/>
  <c r="AL2405" i="1"/>
  <c r="A2406" i="1"/>
  <c r="B2406" i="1"/>
  <c r="C2406" i="1"/>
  <c r="G2406" i="1"/>
  <c r="H2406" i="1"/>
  <c r="I2406" i="1"/>
  <c r="J2406" i="1"/>
  <c r="K2406" i="1"/>
  <c r="P2406" i="1"/>
  <c r="Q2406" i="1"/>
  <c r="R2406" i="1"/>
  <c r="S2406" i="1"/>
  <c r="T2406" i="1"/>
  <c r="Z2406" i="1"/>
  <c r="AL2406" i="1"/>
  <c r="A2407" i="1"/>
  <c r="B2407" i="1"/>
  <c r="C2407" i="1"/>
  <c r="G2407" i="1"/>
  <c r="H2407" i="1"/>
  <c r="I2407" i="1"/>
  <c r="J2407" i="1"/>
  <c r="K2407" i="1"/>
  <c r="P2407" i="1"/>
  <c r="Q2407" i="1"/>
  <c r="R2407" i="1"/>
  <c r="S2407" i="1"/>
  <c r="T2407" i="1"/>
  <c r="Z2407" i="1"/>
  <c r="AL2407" i="1"/>
  <c r="A2408" i="1"/>
  <c r="B2408" i="1"/>
  <c r="C2408" i="1"/>
  <c r="G2408" i="1"/>
  <c r="H2408" i="1"/>
  <c r="I2408" i="1"/>
  <c r="J2408" i="1"/>
  <c r="K2408" i="1"/>
  <c r="M2408" i="1"/>
  <c r="N2408" i="1"/>
  <c r="P2408" i="1"/>
  <c r="Q2408" i="1"/>
  <c r="R2408" i="1"/>
  <c r="S2408" i="1"/>
  <c r="T2408" i="1"/>
  <c r="AL2408" i="1"/>
  <c r="A2409" i="1"/>
  <c r="B2409" i="1"/>
  <c r="C2409" i="1"/>
  <c r="G2409" i="1"/>
  <c r="H2409" i="1"/>
  <c r="I2409" i="1"/>
  <c r="J2409" i="1"/>
  <c r="K2409" i="1"/>
  <c r="P2409" i="1"/>
  <c r="Q2409" i="1"/>
  <c r="R2409" i="1"/>
  <c r="S2409" i="1"/>
  <c r="T2409" i="1"/>
  <c r="AL2409" i="1"/>
  <c r="A2410" i="1"/>
  <c r="B2410" i="1"/>
  <c r="C2410" i="1"/>
  <c r="G2410" i="1"/>
  <c r="H2410" i="1"/>
  <c r="I2410" i="1"/>
  <c r="J2410" i="1"/>
  <c r="K2410" i="1"/>
  <c r="M2410" i="1"/>
  <c r="N2410" i="1"/>
  <c r="P2410" i="1"/>
  <c r="Q2410" i="1"/>
  <c r="R2410" i="1"/>
  <c r="S2410" i="1"/>
  <c r="T2410" i="1"/>
  <c r="AL2410" i="1"/>
  <c r="A2411" i="1"/>
  <c r="B2411" i="1"/>
  <c r="C2411" i="1"/>
  <c r="G2411" i="1"/>
  <c r="H2411" i="1"/>
  <c r="I2411" i="1"/>
  <c r="J2411" i="1"/>
  <c r="K2411" i="1"/>
  <c r="M2411" i="1"/>
  <c r="N2411" i="1"/>
  <c r="P2411" i="1"/>
  <c r="Q2411" i="1"/>
  <c r="R2411" i="1"/>
  <c r="S2411" i="1"/>
  <c r="T2411" i="1"/>
  <c r="AL2411" i="1"/>
  <c r="A2412" i="1"/>
  <c r="B2412" i="1"/>
  <c r="C2412" i="1"/>
  <c r="G2412" i="1"/>
  <c r="H2412" i="1"/>
  <c r="I2412" i="1"/>
  <c r="J2412" i="1"/>
  <c r="K2412" i="1"/>
  <c r="M2412" i="1"/>
  <c r="N2412" i="1"/>
  <c r="P2412" i="1"/>
  <c r="Q2412" i="1"/>
  <c r="R2412" i="1"/>
  <c r="S2412" i="1"/>
  <c r="T2412" i="1"/>
  <c r="Z2412" i="1"/>
  <c r="AL2412" i="1"/>
  <c r="A2413" i="1"/>
  <c r="B2413" i="1"/>
  <c r="C2413" i="1"/>
  <c r="G2413" i="1"/>
  <c r="H2413" i="1"/>
  <c r="I2413" i="1"/>
  <c r="J2413" i="1"/>
  <c r="K2413" i="1"/>
  <c r="M2413" i="1"/>
  <c r="N2413" i="1"/>
  <c r="P2413" i="1"/>
  <c r="Q2413" i="1"/>
  <c r="R2413" i="1"/>
  <c r="S2413" i="1"/>
  <c r="T2413" i="1"/>
  <c r="AL2413" i="1"/>
  <c r="A2414" i="1"/>
  <c r="B2414" i="1"/>
  <c r="C2414" i="1"/>
  <c r="G2414" i="1"/>
  <c r="H2414" i="1"/>
  <c r="I2414" i="1"/>
  <c r="J2414" i="1"/>
  <c r="K2414" i="1"/>
  <c r="M2414" i="1"/>
  <c r="N2414" i="1"/>
  <c r="P2414" i="1"/>
  <c r="Q2414" i="1"/>
  <c r="R2414" i="1"/>
  <c r="S2414" i="1"/>
  <c r="T2414" i="1"/>
  <c r="AL2414" i="1"/>
  <c r="A2415" i="1"/>
  <c r="B2415" i="1"/>
  <c r="C2415" i="1"/>
  <c r="G2415" i="1"/>
  <c r="H2415" i="1"/>
  <c r="I2415" i="1"/>
  <c r="J2415" i="1"/>
  <c r="K2415" i="1"/>
  <c r="M2415" i="1"/>
  <c r="N2415" i="1"/>
  <c r="P2415" i="1"/>
  <c r="Q2415" i="1"/>
  <c r="R2415" i="1"/>
  <c r="S2415" i="1"/>
  <c r="T2415" i="1"/>
  <c r="AL2415" i="1"/>
  <c r="A2416" i="1"/>
  <c r="B2416" i="1"/>
  <c r="C2416" i="1"/>
  <c r="G2416" i="1"/>
  <c r="H2416" i="1"/>
  <c r="I2416" i="1"/>
  <c r="J2416" i="1"/>
  <c r="K2416" i="1"/>
  <c r="M2416" i="1"/>
  <c r="N2416" i="1"/>
  <c r="P2416" i="1"/>
  <c r="Q2416" i="1"/>
  <c r="R2416" i="1"/>
  <c r="S2416" i="1"/>
  <c r="T2416" i="1"/>
  <c r="AL2416" i="1"/>
  <c r="A2417" i="1"/>
  <c r="B2417" i="1"/>
  <c r="C2417" i="1"/>
  <c r="G2417" i="1"/>
  <c r="H2417" i="1"/>
  <c r="I2417" i="1"/>
  <c r="J2417" i="1"/>
  <c r="K2417" i="1"/>
  <c r="M2417" i="1"/>
  <c r="N2417" i="1"/>
  <c r="P2417" i="1"/>
  <c r="Q2417" i="1"/>
  <c r="R2417" i="1"/>
  <c r="S2417" i="1"/>
  <c r="T2417" i="1"/>
  <c r="AL2417" i="1"/>
  <c r="A2418" i="1"/>
  <c r="B2418" i="1"/>
  <c r="C2418" i="1"/>
  <c r="G2418" i="1"/>
  <c r="H2418" i="1"/>
  <c r="I2418" i="1"/>
  <c r="J2418" i="1"/>
  <c r="K2418" i="1"/>
  <c r="M2418" i="1"/>
  <c r="N2418" i="1"/>
  <c r="P2418" i="1"/>
  <c r="Q2418" i="1"/>
  <c r="R2418" i="1"/>
  <c r="S2418" i="1"/>
  <c r="T2418" i="1"/>
  <c r="AL2418" i="1"/>
  <c r="A2419" i="1"/>
  <c r="B2419" i="1"/>
  <c r="C2419" i="1"/>
  <c r="G2419" i="1"/>
  <c r="H2419" i="1"/>
  <c r="I2419" i="1"/>
  <c r="J2419" i="1"/>
  <c r="K2419" i="1"/>
  <c r="M2419" i="1"/>
  <c r="N2419" i="1"/>
  <c r="P2419" i="1"/>
  <c r="Q2419" i="1"/>
  <c r="R2419" i="1"/>
  <c r="S2419" i="1"/>
  <c r="T2419" i="1"/>
  <c r="AL2419" i="1"/>
  <c r="A2420" i="1"/>
  <c r="B2420" i="1"/>
  <c r="C2420" i="1"/>
  <c r="G2420" i="1"/>
  <c r="H2420" i="1"/>
  <c r="I2420" i="1"/>
  <c r="J2420" i="1"/>
  <c r="K2420" i="1"/>
  <c r="M2420" i="1"/>
  <c r="N2420" i="1"/>
  <c r="P2420" i="1"/>
  <c r="Q2420" i="1"/>
  <c r="R2420" i="1"/>
  <c r="S2420" i="1"/>
  <c r="T2420" i="1"/>
  <c r="AL2420" i="1"/>
  <c r="A2421" i="1"/>
  <c r="B2421" i="1"/>
  <c r="C2421" i="1"/>
  <c r="G2421" i="1"/>
  <c r="H2421" i="1"/>
  <c r="I2421" i="1"/>
  <c r="J2421" i="1"/>
  <c r="K2421" i="1"/>
  <c r="P2421" i="1"/>
  <c r="Q2421" i="1"/>
  <c r="R2421" i="1"/>
  <c r="S2421" i="1"/>
  <c r="T2421" i="1"/>
  <c r="AL2421" i="1"/>
  <c r="A2422" i="1"/>
  <c r="B2422" i="1"/>
  <c r="C2422" i="1"/>
  <c r="G2422" i="1"/>
  <c r="H2422" i="1"/>
  <c r="I2422" i="1"/>
  <c r="J2422" i="1"/>
  <c r="K2422" i="1"/>
  <c r="M2422" i="1"/>
  <c r="N2422" i="1"/>
  <c r="P2422" i="1"/>
  <c r="Q2422" i="1"/>
  <c r="R2422" i="1"/>
  <c r="S2422" i="1"/>
  <c r="T2422" i="1"/>
  <c r="AL2422" i="1"/>
  <c r="A2423" i="1"/>
  <c r="B2423" i="1"/>
  <c r="C2423" i="1"/>
  <c r="G2423" i="1"/>
  <c r="H2423" i="1"/>
  <c r="I2423" i="1"/>
  <c r="J2423" i="1"/>
  <c r="K2423" i="1"/>
  <c r="M2423" i="1"/>
  <c r="N2423" i="1"/>
  <c r="P2423" i="1"/>
  <c r="Q2423" i="1"/>
  <c r="R2423" i="1"/>
  <c r="S2423" i="1"/>
  <c r="T2423" i="1"/>
  <c r="Z2423" i="1"/>
  <c r="AL2423" i="1"/>
  <c r="A2424" i="1"/>
  <c r="B2424" i="1"/>
  <c r="C2424" i="1"/>
  <c r="G2424" i="1"/>
  <c r="H2424" i="1"/>
  <c r="I2424" i="1"/>
  <c r="J2424" i="1"/>
  <c r="K2424" i="1"/>
  <c r="M2424" i="1"/>
  <c r="N2424" i="1"/>
  <c r="P2424" i="1"/>
  <c r="Q2424" i="1"/>
  <c r="R2424" i="1"/>
  <c r="S2424" i="1"/>
  <c r="T2424" i="1"/>
  <c r="Z2424" i="1"/>
  <c r="AL2424" i="1"/>
  <c r="A2425" i="1"/>
  <c r="B2425" i="1"/>
  <c r="C2425" i="1"/>
  <c r="G2425" i="1"/>
  <c r="H2425" i="1"/>
  <c r="I2425" i="1"/>
  <c r="J2425" i="1"/>
  <c r="K2425" i="1"/>
  <c r="M2425" i="1"/>
  <c r="N2425" i="1"/>
  <c r="P2425" i="1"/>
  <c r="Q2425" i="1"/>
  <c r="R2425" i="1"/>
  <c r="S2425" i="1"/>
  <c r="T2425" i="1"/>
  <c r="Z2425" i="1"/>
  <c r="AL2425" i="1"/>
  <c r="A2426" i="1"/>
  <c r="B2426" i="1"/>
  <c r="C2426" i="1"/>
  <c r="G2426" i="1"/>
  <c r="H2426" i="1"/>
  <c r="I2426" i="1"/>
  <c r="J2426" i="1"/>
  <c r="K2426" i="1"/>
  <c r="M2426" i="1"/>
  <c r="N2426" i="1"/>
  <c r="P2426" i="1"/>
  <c r="Q2426" i="1"/>
  <c r="R2426" i="1"/>
  <c r="S2426" i="1"/>
  <c r="T2426" i="1"/>
  <c r="Z2426" i="1"/>
  <c r="AL2426" i="1"/>
  <c r="A2427" i="1"/>
  <c r="B2427" i="1"/>
  <c r="C2427" i="1"/>
  <c r="G2427" i="1"/>
  <c r="H2427" i="1"/>
  <c r="I2427" i="1"/>
  <c r="J2427" i="1"/>
  <c r="K2427" i="1"/>
  <c r="M2427" i="1"/>
  <c r="N2427" i="1"/>
  <c r="P2427" i="1"/>
  <c r="Q2427" i="1"/>
  <c r="R2427" i="1"/>
  <c r="S2427" i="1"/>
  <c r="T2427" i="1"/>
  <c r="AL2427" i="1"/>
  <c r="A2428" i="1"/>
  <c r="B2428" i="1"/>
  <c r="C2428" i="1"/>
  <c r="G2428" i="1"/>
  <c r="H2428" i="1"/>
  <c r="I2428" i="1"/>
  <c r="J2428" i="1"/>
  <c r="K2428" i="1"/>
  <c r="M2428" i="1"/>
  <c r="N2428" i="1"/>
  <c r="P2428" i="1"/>
  <c r="Q2428" i="1"/>
  <c r="R2428" i="1"/>
  <c r="S2428" i="1"/>
  <c r="T2428" i="1"/>
  <c r="AL2428" i="1"/>
  <c r="A2429" i="1"/>
  <c r="B2429" i="1"/>
  <c r="C2429" i="1"/>
  <c r="G2429" i="1"/>
  <c r="H2429" i="1"/>
  <c r="I2429" i="1"/>
  <c r="J2429" i="1"/>
  <c r="K2429" i="1"/>
  <c r="M2429" i="1"/>
  <c r="N2429" i="1"/>
  <c r="P2429" i="1"/>
  <c r="Q2429" i="1"/>
  <c r="R2429" i="1"/>
  <c r="S2429" i="1"/>
  <c r="T2429" i="1"/>
  <c r="AL2429" i="1"/>
  <c r="A2430" i="1"/>
  <c r="B2430" i="1"/>
  <c r="C2430" i="1"/>
  <c r="G2430" i="1"/>
  <c r="H2430" i="1"/>
  <c r="I2430" i="1"/>
  <c r="J2430" i="1"/>
  <c r="K2430" i="1"/>
  <c r="M2430" i="1"/>
  <c r="N2430" i="1"/>
  <c r="P2430" i="1"/>
  <c r="Q2430" i="1"/>
  <c r="R2430" i="1"/>
  <c r="S2430" i="1"/>
  <c r="T2430" i="1"/>
  <c r="AL2430" i="1"/>
  <c r="A2431" i="1"/>
  <c r="B2431" i="1"/>
  <c r="C2431" i="1"/>
  <c r="G2431" i="1"/>
  <c r="H2431" i="1"/>
  <c r="I2431" i="1"/>
  <c r="J2431" i="1"/>
  <c r="K2431" i="1"/>
  <c r="M2431" i="1"/>
  <c r="N2431" i="1"/>
  <c r="P2431" i="1"/>
  <c r="Q2431" i="1"/>
  <c r="R2431" i="1"/>
  <c r="S2431" i="1"/>
  <c r="T2431" i="1"/>
  <c r="Z2431" i="1"/>
  <c r="AL2431" i="1"/>
  <c r="A2432" i="1"/>
  <c r="B2432" i="1"/>
  <c r="C2432" i="1"/>
  <c r="G2432" i="1"/>
  <c r="H2432" i="1"/>
  <c r="I2432" i="1"/>
  <c r="J2432" i="1"/>
  <c r="K2432" i="1"/>
  <c r="M2432" i="1"/>
  <c r="N2432" i="1"/>
  <c r="P2432" i="1"/>
  <c r="Q2432" i="1"/>
  <c r="R2432" i="1"/>
  <c r="S2432" i="1"/>
  <c r="T2432" i="1"/>
  <c r="Z2432" i="1"/>
  <c r="AL2432" i="1"/>
  <c r="A2433" i="1"/>
  <c r="B2433" i="1"/>
  <c r="C2433" i="1"/>
  <c r="G2433" i="1"/>
  <c r="H2433" i="1"/>
  <c r="I2433" i="1"/>
  <c r="J2433" i="1"/>
  <c r="K2433" i="1"/>
  <c r="M2433" i="1"/>
  <c r="N2433" i="1"/>
  <c r="P2433" i="1"/>
  <c r="Q2433" i="1"/>
  <c r="R2433" i="1"/>
  <c r="S2433" i="1"/>
  <c r="T2433" i="1"/>
  <c r="Z2433" i="1"/>
  <c r="AL2433" i="1"/>
  <c r="A2434" i="1"/>
  <c r="B2434" i="1"/>
  <c r="C2434" i="1"/>
  <c r="G2434" i="1"/>
  <c r="H2434" i="1"/>
  <c r="I2434" i="1"/>
  <c r="J2434" i="1"/>
  <c r="K2434" i="1"/>
  <c r="M2434" i="1"/>
  <c r="N2434" i="1"/>
  <c r="P2434" i="1"/>
  <c r="Q2434" i="1"/>
  <c r="R2434" i="1"/>
  <c r="S2434" i="1"/>
  <c r="T2434" i="1"/>
  <c r="Z2434" i="1"/>
  <c r="AL2434" i="1"/>
  <c r="A2435" i="1"/>
  <c r="B2435" i="1"/>
  <c r="C2435" i="1"/>
  <c r="G2435" i="1"/>
  <c r="H2435" i="1"/>
  <c r="I2435" i="1"/>
  <c r="J2435" i="1"/>
  <c r="K2435" i="1"/>
  <c r="M2435" i="1"/>
  <c r="N2435" i="1"/>
  <c r="P2435" i="1"/>
  <c r="Q2435" i="1"/>
  <c r="R2435" i="1"/>
  <c r="S2435" i="1"/>
  <c r="T2435" i="1"/>
  <c r="Z2435" i="1"/>
  <c r="AL2435" i="1"/>
  <c r="A2436" i="1"/>
  <c r="B2436" i="1"/>
  <c r="C2436" i="1"/>
  <c r="G2436" i="1"/>
  <c r="H2436" i="1"/>
  <c r="I2436" i="1"/>
  <c r="J2436" i="1"/>
  <c r="K2436" i="1"/>
  <c r="M2436" i="1"/>
  <c r="N2436" i="1"/>
  <c r="P2436" i="1"/>
  <c r="Q2436" i="1"/>
  <c r="R2436" i="1"/>
  <c r="S2436" i="1"/>
  <c r="T2436" i="1"/>
  <c r="Z2436" i="1"/>
  <c r="AL2436" i="1"/>
  <c r="A2437" i="1"/>
  <c r="B2437" i="1"/>
  <c r="C2437" i="1"/>
  <c r="G2437" i="1"/>
  <c r="H2437" i="1"/>
  <c r="I2437" i="1"/>
  <c r="J2437" i="1"/>
  <c r="K2437" i="1"/>
  <c r="M2437" i="1"/>
  <c r="N2437" i="1"/>
  <c r="P2437" i="1"/>
  <c r="Q2437" i="1"/>
  <c r="R2437" i="1"/>
  <c r="S2437" i="1"/>
  <c r="T2437" i="1"/>
  <c r="Z2437" i="1"/>
  <c r="AL2437" i="1"/>
  <c r="A2438" i="1"/>
  <c r="B2438" i="1"/>
  <c r="C2438" i="1"/>
  <c r="G2438" i="1"/>
  <c r="H2438" i="1"/>
  <c r="I2438" i="1"/>
  <c r="J2438" i="1"/>
  <c r="K2438" i="1"/>
  <c r="M2438" i="1"/>
  <c r="N2438" i="1"/>
  <c r="P2438" i="1"/>
  <c r="Q2438" i="1"/>
  <c r="R2438" i="1"/>
  <c r="S2438" i="1"/>
  <c r="T2438" i="1"/>
  <c r="Z2438" i="1"/>
  <c r="AL2438" i="1"/>
  <c r="A2439" i="1"/>
  <c r="B2439" i="1"/>
  <c r="C2439" i="1"/>
  <c r="G2439" i="1"/>
  <c r="H2439" i="1"/>
  <c r="I2439" i="1"/>
  <c r="J2439" i="1"/>
  <c r="K2439" i="1"/>
  <c r="M2439" i="1"/>
  <c r="N2439" i="1"/>
  <c r="P2439" i="1"/>
  <c r="Q2439" i="1"/>
  <c r="R2439" i="1"/>
  <c r="S2439" i="1"/>
  <c r="T2439" i="1"/>
  <c r="Z2439" i="1"/>
  <c r="AL2439" i="1"/>
  <c r="A2440" i="1"/>
  <c r="B2440" i="1"/>
  <c r="C2440" i="1"/>
  <c r="G2440" i="1"/>
  <c r="H2440" i="1"/>
  <c r="I2440" i="1"/>
  <c r="J2440" i="1"/>
  <c r="K2440" i="1"/>
  <c r="M2440" i="1"/>
  <c r="N2440" i="1"/>
  <c r="P2440" i="1"/>
  <c r="Q2440" i="1"/>
  <c r="R2440" i="1"/>
  <c r="S2440" i="1"/>
  <c r="T2440" i="1"/>
  <c r="Z2440" i="1"/>
  <c r="AL2440" i="1"/>
  <c r="A2441" i="1"/>
  <c r="B2441" i="1"/>
  <c r="C2441" i="1"/>
  <c r="G2441" i="1"/>
  <c r="H2441" i="1"/>
  <c r="I2441" i="1"/>
  <c r="J2441" i="1"/>
  <c r="K2441" i="1"/>
  <c r="M2441" i="1"/>
  <c r="N2441" i="1"/>
  <c r="P2441" i="1"/>
  <c r="Q2441" i="1"/>
  <c r="R2441" i="1"/>
  <c r="S2441" i="1"/>
  <c r="T2441" i="1"/>
  <c r="Z2441" i="1"/>
  <c r="AL2441" i="1"/>
  <c r="A2442" i="1"/>
  <c r="B2442" i="1"/>
  <c r="C2442" i="1"/>
  <c r="G2442" i="1"/>
  <c r="H2442" i="1"/>
  <c r="I2442" i="1"/>
  <c r="J2442" i="1"/>
  <c r="K2442" i="1"/>
  <c r="M2442" i="1"/>
  <c r="N2442" i="1"/>
  <c r="P2442" i="1"/>
  <c r="Q2442" i="1"/>
  <c r="R2442" i="1"/>
  <c r="S2442" i="1"/>
  <c r="T2442" i="1"/>
  <c r="Z2442" i="1"/>
  <c r="AL2442" i="1"/>
  <c r="A2443" i="1"/>
  <c r="B2443" i="1"/>
  <c r="C2443" i="1"/>
  <c r="G2443" i="1"/>
  <c r="H2443" i="1"/>
  <c r="I2443" i="1"/>
  <c r="J2443" i="1"/>
  <c r="K2443" i="1"/>
  <c r="M2443" i="1"/>
  <c r="N2443" i="1"/>
  <c r="P2443" i="1"/>
  <c r="Q2443" i="1"/>
  <c r="R2443" i="1"/>
  <c r="S2443" i="1"/>
  <c r="T2443" i="1"/>
  <c r="Z2443" i="1"/>
  <c r="AL2443" i="1"/>
  <c r="A2444" i="1"/>
  <c r="B2444" i="1"/>
  <c r="C2444" i="1"/>
  <c r="G2444" i="1"/>
  <c r="H2444" i="1"/>
  <c r="I2444" i="1"/>
  <c r="J2444" i="1"/>
  <c r="K2444" i="1"/>
  <c r="M2444" i="1"/>
  <c r="N2444" i="1"/>
  <c r="P2444" i="1"/>
  <c r="Q2444" i="1"/>
  <c r="R2444" i="1"/>
  <c r="S2444" i="1"/>
  <c r="T2444" i="1"/>
  <c r="Z2444" i="1"/>
  <c r="AL2444" i="1"/>
  <c r="A2445" i="1"/>
  <c r="B2445" i="1"/>
  <c r="C2445" i="1"/>
  <c r="G2445" i="1"/>
  <c r="H2445" i="1"/>
  <c r="I2445" i="1"/>
  <c r="J2445" i="1"/>
  <c r="K2445" i="1"/>
  <c r="M2445" i="1"/>
  <c r="N2445" i="1"/>
  <c r="P2445" i="1"/>
  <c r="Q2445" i="1"/>
  <c r="R2445" i="1"/>
  <c r="S2445" i="1"/>
  <c r="T2445" i="1"/>
  <c r="Z2445" i="1"/>
  <c r="AL2445" i="1"/>
  <c r="A2446" i="1"/>
  <c r="B2446" i="1"/>
  <c r="C2446" i="1"/>
  <c r="G2446" i="1"/>
  <c r="H2446" i="1"/>
  <c r="I2446" i="1"/>
  <c r="J2446" i="1"/>
  <c r="K2446" i="1"/>
  <c r="M2446" i="1"/>
  <c r="N2446" i="1"/>
  <c r="P2446" i="1"/>
  <c r="Q2446" i="1"/>
  <c r="R2446" i="1"/>
  <c r="S2446" i="1"/>
  <c r="T2446" i="1"/>
  <c r="Z2446" i="1"/>
  <c r="AL2446" i="1"/>
  <c r="A2447" i="1"/>
  <c r="B2447" i="1"/>
  <c r="C2447" i="1"/>
  <c r="G2447" i="1"/>
  <c r="H2447" i="1"/>
  <c r="I2447" i="1"/>
  <c r="J2447" i="1"/>
  <c r="K2447" i="1"/>
  <c r="M2447" i="1"/>
  <c r="N2447" i="1"/>
  <c r="P2447" i="1"/>
  <c r="Q2447" i="1"/>
  <c r="R2447" i="1"/>
  <c r="S2447" i="1"/>
  <c r="T2447" i="1"/>
  <c r="Z2447" i="1"/>
  <c r="AL2447" i="1"/>
  <c r="A2448" i="1"/>
  <c r="B2448" i="1"/>
  <c r="C2448" i="1"/>
  <c r="G2448" i="1"/>
  <c r="H2448" i="1"/>
  <c r="I2448" i="1"/>
  <c r="J2448" i="1"/>
  <c r="K2448" i="1"/>
  <c r="M2448" i="1"/>
  <c r="N2448" i="1"/>
  <c r="P2448" i="1"/>
  <c r="Q2448" i="1"/>
  <c r="R2448" i="1"/>
  <c r="S2448" i="1"/>
  <c r="T2448" i="1"/>
  <c r="Z2448" i="1"/>
  <c r="AL2448" i="1"/>
  <c r="A2449" i="1"/>
  <c r="B2449" i="1"/>
  <c r="C2449" i="1"/>
  <c r="G2449" i="1"/>
  <c r="H2449" i="1"/>
  <c r="I2449" i="1"/>
  <c r="J2449" i="1"/>
  <c r="K2449" i="1"/>
  <c r="M2449" i="1"/>
  <c r="N2449" i="1"/>
  <c r="P2449" i="1"/>
  <c r="Q2449" i="1"/>
  <c r="R2449" i="1"/>
  <c r="S2449" i="1"/>
  <c r="T2449" i="1"/>
  <c r="AL2449" i="1"/>
  <c r="A2450" i="1"/>
  <c r="B2450" i="1"/>
  <c r="C2450" i="1"/>
  <c r="G2450" i="1"/>
  <c r="H2450" i="1"/>
  <c r="I2450" i="1"/>
  <c r="J2450" i="1"/>
  <c r="K2450" i="1"/>
  <c r="M2450" i="1"/>
  <c r="N2450" i="1"/>
  <c r="P2450" i="1"/>
  <c r="Q2450" i="1"/>
  <c r="R2450" i="1"/>
  <c r="S2450" i="1"/>
  <c r="T2450" i="1"/>
  <c r="AL2450" i="1"/>
  <c r="A2451" i="1"/>
  <c r="B2451" i="1"/>
  <c r="C2451" i="1"/>
  <c r="G2451" i="1"/>
  <c r="H2451" i="1"/>
  <c r="I2451" i="1"/>
  <c r="J2451" i="1"/>
  <c r="K2451" i="1"/>
  <c r="M2451" i="1"/>
  <c r="N2451" i="1"/>
  <c r="P2451" i="1"/>
  <c r="Q2451" i="1"/>
  <c r="R2451" i="1"/>
  <c r="S2451" i="1"/>
  <c r="T2451" i="1"/>
  <c r="AL2451" i="1"/>
  <c r="A2452" i="1"/>
  <c r="B2452" i="1"/>
  <c r="C2452" i="1"/>
  <c r="G2452" i="1"/>
  <c r="H2452" i="1"/>
  <c r="I2452" i="1"/>
  <c r="J2452" i="1"/>
  <c r="K2452" i="1"/>
  <c r="M2452" i="1"/>
  <c r="N2452" i="1"/>
  <c r="P2452" i="1"/>
  <c r="Q2452" i="1"/>
  <c r="R2452" i="1"/>
  <c r="S2452" i="1"/>
  <c r="T2452" i="1"/>
  <c r="AL2452" i="1"/>
  <c r="A2453" i="1"/>
  <c r="B2453" i="1"/>
  <c r="C2453" i="1"/>
  <c r="G2453" i="1"/>
  <c r="H2453" i="1"/>
  <c r="I2453" i="1"/>
  <c r="J2453" i="1"/>
  <c r="K2453" i="1"/>
  <c r="M2453" i="1"/>
  <c r="N2453" i="1"/>
  <c r="P2453" i="1"/>
  <c r="Q2453" i="1"/>
  <c r="R2453" i="1"/>
  <c r="S2453" i="1"/>
  <c r="T2453" i="1"/>
  <c r="AL2453" i="1"/>
  <c r="A2454" i="1"/>
  <c r="B2454" i="1"/>
  <c r="C2454" i="1"/>
  <c r="G2454" i="1"/>
  <c r="H2454" i="1"/>
  <c r="I2454" i="1"/>
  <c r="J2454" i="1"/>
  <c r="K2454" i="1"/>
  <c r="M2454" i="1"/>
  <c r="N2454" i="1"/>
  <c r="P2454" i="1"/>
  <c r="Q2454" i="1"/>
  <c r="R2454" i="1"/>
  <c r="S2454" i="1"/>
  <c r="T2454" i="1"/>
  <c r="AL2454" i="1"/>
  <c r="A2455" i="1"/>
  <c r="B2455" i="1"/>
  <c r="C2455" i="1"/>
  <c r="G2455" i="1"/>
  <c r="H2455" i="1"/>
  <c r="I2455" i="1"/>
  <c r="J2455" i="1"/>
  <c r="K2455" i="1"/>
  <c r="M2455" i="1"/>
  <c r="N2455" i="1"/>
  <c r="P2455" i="1"/>
  <c r="Q2455" i="1"/>
  <c r="R2455" i="1"/>
  <c r="S2455" i="1"/>
  <c r="T2455" i="1"/>
  <c r="AL2455" i="1"/>
  <c r="A2456" i="1"/>
  <c r="B2456" i="1"/>
  <c r="C2456" i="1"/>
  <c r="G2456" i="1"/>
  <c r="H2456" i="1"/>
  <c r="I2456" i="1"/>
  <c r="J2456" i="1"/>
  <c r="K2456" i="1"/>
  <c r="P2456" i="1"/>
  <c r="Q2456" i="1"/>
  <c r="R2456" i="1"/>
  <c r="S2456" i="1"/>
  <c r="T2456" i="1"/>
  <c r="Z2456" i="1"/>
  <c r="AL2456" i="1"/>
  <c r="A2457" i="1"/>
  <c r="B2457" i="1"/>
  <c r="C2457" i="1"/>
  <c r="G2457" i="1"/>
  <c r="H2457" i="1"/>
  <c r="I2457" i="1"/>
  <c r="J2457" i="1"/>
  <c r="K2457" i="1"/>
  <c r="M2457" i="1"/>
  <c r="N2457" i="1"/>
  <c r="P2457" i="1"/>
  <c r="Q2457" i="1"/>
  <c r="R2457" i="1"/>
  <c r="S2457" i="1"/>
  <c r="T2457" i="1"/>
  <c r="Z2457" i="1"/>
  <c r="AL2457" i="1"/>
  <c r="A2458" i="1"/>
  <c r="B2458" i="1"/>
  <c r="C2458" i="1"/>
  <c r="G2458" i="1"/>
  <c r="H2458" i="1"/>
  <c r="I2458" i="1"/>
  <c r="J2458" i="1"/>
  <c r="K2458" i="1"/>
  <c r="M2458" i="1"/>
  <c r="N2458" i="1"/>
  <c r="P2458" i="1"/>
  <c r="Q2458" i="1"/>
  <c r="R2458" i="1"/>
  <c r="S2458" i="1"/>
  <c r="T2458" i="1"/>
  <c r="Z2458" i="1"/>
  <c r="AL2458" i="1"/>
  <c r="A2459" i="1"/>
  <c r="B2459" i="1"/>
  <c r="C2459" i="1"/>
  <c r="G2459" i="1"/>
  <c r="H2459" i="1"/>
  <c r="I2459" i="1"/>
  <c r="J2459" i="1"/>
  <c r="K2459" i="1"/>
  <c r="M2459" i="1"/>
  <c r="N2459" i="1"/>
  <c r="P2459" i="1"/>
  <c r="Q2459" i="1"/>
  <c r="R2459" i="1"/>
  <c r="S2459" i="1"/>
  <c r="T2459" i="1"/>
  <c r="AL2459" i="1"/>
  <c r="A2460" i="1"/>
  <c r="B2460" i="1"/>
  <c r="C2460" i="1"/>
  <c r="G2460" i="1"/>
  <c r="H2460" i="1"/>
  <c r="I2460" i="1"/>
  <c r="J2460" i="1"/>
  <c r="K2460" i="1"/>
  <c r="M2460" i="1"/>
  <c r="N2460" i="1"/>
  <c r="P2460" i="1"/>
  <c r="Q2460" i="1"/>
  <c r="R2460" i="1"/>
  <c r="S2460" i="1"/>
  <c r="T2460" i="1"/>
  <c r="Z2460" i="1"/>
  <c r="AL2460" i="1"/>
  <c r="A2461" i="1"/>
  <c r="B2461" i="1"/>
  <c r="C2461" i="1"/>
  <c r="G2461" i="1"/>
  <c r="H2461" i="1"/>
  <c r="I2461" i="1"/>
  <c r="J2461" i="1"/>
  <c r="K2461" i="1"/>
  <c r="M2461" i="1"/>
  <c r="N2461" i="1"/>
  <c r="P2461" i="1"/>
  <c r="Q2461" i="1"/>
  <c r="R2461" i="1"/>
  <c r="S2461" i="1"/>
  <c r="T2461" i="1"/>
  <c r="Z2461" i="1"/>
  <c r="AL2461" i="1"/>
  <c r="A2462" i="1"/>
  <c r="B2462" i="1"/>
  <c r="C2462" i="1"/>
  <c r="G2462" i="1"/>
  <c r="H2462" i="1"/>
  <c r="I2462" i="1"/>
  <c r="J2462" i="1"/>
  <c r="K2462" i="1"/>
  <c r="M2462" i="1"/>
  <c r="N2462" i="1"/>
  <c r="P2462" i="1"/>
  <c r="Q2462" i="1"/>
  <c r="R2462" i="1"/>
  <c r="S2462" i="1"/>
  <c r="T2462" i="1"/>
  <c r="AL2462" i="1"/>
  <c r="A2463" i="1"/>
  <c r="B2463" i="1"/>
  <c r="C2463" i="1"/>
  <c r="G2463" i="1"/>
  <c r="H2463" i="1"/>
  <c r="I2463" i="1"/>
  <c r="J2463" i="1"/>
  <c r="K2463" i="1"/>
  <c r="M2463" i="1"/>
  <c r="N2463" i="1"/>
  <c r="P2463" i="1"/>
  <c r="Q2463" i="1"/>
  <c r="R2463" i="1"/>
  <c r="S2463" i="1"/>
  <c r="T2463" i="1"/>
  <c r="AL2463" i="1"/>
  <c r="A2464" i="1"/>
  <c r="B2464" i="1"/>
  <c r="C2464" i="1"/>
  <c r="G2464" i="1"/>
  <c r="H2464" i="1"/>
  <c r="I2464" i="1"/>
  <c r="J2464" i="1"/>
  <c r="K2464" i="1"/>
  <c r="M2464" i="1"/>
  <c r="N2464" i="1"/>
  <c r="P2464" i="1"/>
  <c r="Q2464" i="1"/>
  <c r="R2464" i="1"/>
  <c r="S2464" i="1"/>
  <c r="T2464" i="1"/>
  <c r="AL2464" i="1"/>
  <c r="A2465" i="1"/>
  <c r="B2465" i="1"/>
  <c r="C2465" i="1"/>
  <c r="G2465" i="1"/>
  <c r="H2465" i="1"/>
  <c r="I2465" i="1"/>
  <c r="J2465" i="1"/>
  <c r="K2465" i="1"/>
  <c r="M2465" i="1"/>
  <c r="N2465" i="1"/>
  <c r="P2465" i="1"/>
  <c r="Q2465" i="1"/>
  <c r="R2465" i="1"/>
  <c r="S2465" i="1"/>
  <c r="T2465" i="1"/>
  <c r="Z2465" i="1"/>
  <c r="AL2465" i="1"/>
  <c r="A2466" i="1"/>
  <c r="B2466" i="1"/>
  <c r="C2466" i="1"/>
  <c r="G2466" i="1"/>
  <c r="H2466" i="1"/>
  <c r="I2466" i="1"/>
  <c r="J2466" i="1"/>
  <c r="K2466" i="1"/>
  <c r="M2466" i="1"/>
  <c r="N2466" i="1"/>
  <c r="P2466" i="1"/>
  <c r="Q2466" i="1"/>
  <c r="R2466" i="1"/>
  <c r="S2466" i="1"/>
  <c r="T2466" i="1"/>
  <c r="Z2466" i="1"/>
  <c r="AL2466" i="1"/>
  <c r="A2467" i="1"/>
  <c r="B2467" i="1"/>
  <c r="C2467" i="1"/>
  <c r="G2467" i="1"/>
  <c r="H2467" i="1"/>
  <c r="I2467" i="1"/>
  <c r="J2467" i="1"/>
  <c r="K2467" i="1"/>
  <c r="M2467" i="1"/>
  <c r="N2467" i="1"/>
  <c r="P2467" i="1"/>
  <c r="Q2467" i="1"/>
  <c r="R2467" i="1"/>
  <c r="S2467" i="1"/>
  <c r="T2467" i="1"/>
  <c r="AL2467" i="1"/>
  <c r="A2468" i="1"/>
  <c r="B2468" i="1"/>
  <c r="C2468" i="1"/>
  <c r="G2468" i="1"/>
  <c r="H2468" i="1"/>
  <c r="I2468" i="1"/>
  <c r="J2468" i="1"/>
  <c r="K2468" i="1"/>
  <c r="M2468" i="1"/>
  <c r="N2468" i="1"/>
  <c r="P2468" i="1"/>
  <c r="Q2468" i="1"/>
  <c r="R2468" i="1"/>
  <c r="S2468" i="1"/>
  <c r="T2468" i="1"/>
  <c r="AL2468" i="1"/>
  <c r="A2469" i="1"/>
  <c r="B2469" i="1"/>
  <c r="C2469" i="1"/>
  <c r="G2469" i="1"/>
  <c r="H2469" i="1"/>
  <c r="I2469" i="1"/>
  <c r="J2469" i="1"/>
  <c r="K2469" i="1"/>
  <c r="M2469" i="1"/>
  <c r="N2469" i="1"/>
  <c r="P2469" i="1"/>
  <c r="Q2469" i="1"/>
  <c r="R2469" i="1"/>
  <c r="S2469" i="1"/>
  <c r="T2469" i="1"/>
  <c r="AL2469" i="1"/>
  <c r="A2470" i="1"/>
  <c r="B2470" i="1"/>
  <c r="C2470" i="1"/>
  <c r="G2470" i="1"/>
  <c r="H2470" i="1"/>
  <c r="I2470" i="1"/>
  <c r="J2470" i="1"/>
  <c r="K2470" i="1"/>
  <c r="P2470" i="1"/>
  <c r="Q2470" i="1"/>
  <c r="R2470" i="1"/>
  <c r="S2470" i="1"/>
  <c r="T2470" i="1"/>
  <c r="AL2470" i="1"/>
  <c r="A2471" i="1"/>
  <c r="B2471" i="1"/>
  <c r="C2471" i="1"/>
  <c r="G2471" i="1"/>
  <c r="H2471" i="1"/>
  <c r="I2471" i="1"/>
  <c r="J2471" i="1"/>
  <c r="K2471" i="1"/>
  <c r="M2471" i="1"/>
  <c r="N2471" i="1"/>
  <c r="P2471" i="1"/>
  <c r="Q2471" i="1"/>
  <c r="R2471" i="1"/>
  <c r="S2471" i="1"/>
  <c r="T2471" i="1"/>
  <c r="Z2471" i="1"/>
  <c r="AL2471" i="1"/>
  <c r="A2472" i="1"/>
  <c r="B2472" i="1"/>
  <c r="C2472" i="1"/>
  <c r="G2472" i="1"/>
  <c r="H2472" i="1"/>
  <c r="I2472" i="1"/>
  <c r="J2472" i="1"/>
  <c r="K2472" i="1"/>
  <c r="M2472" i="1"/>
  <c r="N2472" i="1"/>
  <c r="P2472" i="1"/>
  <c r="Q2472" i="1"/>
  <c r="R2472" i="1"/>
  <c r="S2472" i="1"/>
  <c r="T2472" i="1"/>
  <c r="Z2472" i="1"/>
  <c r="AL2472" i="1"/>
  <c r="A2473" i="1"/>
  <c r="B2473" i="1"/>
  <c r="C2473" i="1"/>
  <c r="G2473" i="1"/>
  <c r="H2473" i="1"/>
  <c r="I2473" i="1"/>
  <c r="J2473" i="1"/>
  <c r="K2473" i="1"/>
  <c r="M2473" i="1"/>
  <c r="N2473" i="1"/>
  <c r="P2473" i="1"/>
  <c r="Q2473" i="1"/>
  <c r="R2473" i="1"/>
  <c r="S2473" i="1"/>
  <c r="T2473" i="1"/>
  <c r="AL2473" i="1"/>
  <c r="A2474" i="1"/>
  <c r="B2474" i="1"/>
  <c r="C2474" i="1"/>
  <c r="G2474" i="1"/>
  <c r="H2474" i="1"/>
  <c r="I2474" i="1"/>
  <c r="J2474" i="1"/>
  <c r="K2474" i="1"/>
  <c r="M2474" i="1"/>
  <c r="N2474" i="1"/>
  <c r="P2474" i="1"/>
  <c r="Q2474" i="1"/>
  <c r="R2474" i="1"/>
  <c r="S2474" i="1"/>
  <c r="T2474" i="1"/>
  <c r="Z2474" i="1"/>
  <c r="AL2474" i="1"/>
  <c r="A2475" i="1"/>
  <c r="B2475" i="1"/>
  <c r="C2475" i="1"/>
  <c r="G2475" i="1"/>
  <c r="H2475" i="1"/>
  <c r="I2475" i="1"/>
  <c r="J2475" i="1"/>
  <c r="K2475" i="1"/>
  <c r="M2475" i="1"/>
  <c r="N2475" i="1"/>
  <c r="P2475" i="1"/>
  <c r="Q2475" i="1"/>
  <c r="R2475" i="1"/>
  <c r="S2475" i="1"/>
  <c r="T2475" i="1"/>
  <c r="Z2475" i="1"/>
  <c r="AL2475" i="1"/>
  <c r="A2476" i="1"/>
  <c r="B2476" i="1"/>
  <c r="C2476" i="1"/>
  <c r="G2476" i="1"/>
  <c r="H2476" i="1"/>
  <c r="I2476" i="1"/>
  <c r="J2476" i="1"/>
  <c r="K2476" i="1"/>
  <c r="M2476" i="1"/>
  <c r="N2476" i="1"/>
  <c r="P2476" i="1"/>
  <c r="Q2476" i="1"/>
  <c r="R2476" i="1"/>
  <c r="S2476" i="1"/>
  <c r="T2476" i="1"/>
  <c r="Z2476" i="1"/>
  <c r="AL2476" i="1"/>
  <c r="A2477" i="1"/>
  <c r="B2477" i="1"/>
  <c r="C2477" i="1"/>
  <c r="G2477" i="1"/>
  <c r="H2477" i="1"/>
  <c r="I2477" i="1"/>
  <c r="J2477" i="1"/>
  <c r="K2477" i="1"/>
  <c r="M2477" i="1"/>
  <c r="N2477" i="1"/>
  <c r="P2477" i="1"/>
  <c r="Q2477" i="1"/>
  <c r="R2477" i="1"/>
  <c r="S2477" i="1"/>
  <c r="T2477" i="1"/>
  <c r="AL2477" i="1"/>
  <c r="A2478" i="1"/>
  <c r="B2478" i="1"/>
  <c r="C2478" i="1"/>
  <c r="G2478" i="1"/>
  <c r="H2478" i="1"/>
  <c r="I2478" i="1"/>
  <c r="J2478" i="1"/>
  <c r="K2478" i="1"/>
  <c r="M2478" i="1"/>
  <c r="N2478" i="1"/>
  <c r="P2478" i="1"/>
  <c r="Q2478" i="1"/>
  <c r="R2478" i="1"/>
  <c r="S2478" i="1"/>
  <c r="T2478" i="1"/>
  <c r="Z2478" i="1"/>
  <c r="AL2478" i="1"/>
  <c r="A2479" i="1"/>
  <c r="B2479" i="1"/>
  <c r="C2479" i="1"/>
  <c r="G2479" i="1"/>
  <c r="H2479" i="1"/>
  <c r="I2479" i="1"/>
  <c r="J2479" i="1"/>
  <c r="K2479" i="1"/>
  <c r="M2479" i="1"/>
  <c r="N2479" i="1"/>
  <c r="P2479" i="1"/>
  <c r="Q2479" i="1"/>
  <c r="R2479" i="1"/>
  <c r="S2479" i="1"/>
  <c r="T2479" i="1"/>
  <c r="Z2479" i="1"/>
  <c r="AL2479" i="1"/>
  <c r="A2480" i="1"/>
  <c r="B2480" i="1"/>
  <c r="C2480" i="1"/>
  <c r="G2480" i="1"/>
  <c r="H2480" i="1"/>
  <c r="I2480" i="1"/>
  <c r="J2480" i="1"/>
  <c r="K2480" i="1"/>
  <c r="M2480" i="1"/>
  <c r="N2480" i="1"/>
  <c r="P2480" i="1"/>
  <c r="Q2480" i="1"/>
  <c r="R2480" i="1"/>
  <c r="S2480" i="1"/>
  <c r="T2480" i="1"/>
  <c r="Z2480" i="1"/>
  <c r="AL2480" i="1"/>
  <c r="A2481" i="1"/>
  <c r="B2481" i="1"/>
  <c r="C2481" i="1"/>
  <c r="G2481" i="1"/>
  <c r="H2481" i="1"/>
  <c r="I2481" i="1"/>
  <c r="J2481" i="1"/>
  <c r="K2481" i="1"/>
  <c r="M2481" i="1"/>
  <c r="N2481" i="1"/>
  <c r="P2481" i="1"/>
  <c r="Q2481" i="1"/>
  <c r="R2481" i="1"/>
  <c r="S2481" i="1"/>
  <c r="T2481" i="1"/>
  <c r="Z2481" i="1"/>
  <c r="AL2481" i="1"/>
  <c r="A2482" i="1"/>
  <c r="B2482" i="1"/>
  <c r="C2482" i="1"/>
  <c r="G2482" i="1"/>
  <c r="H2482" i="1"/>
  <c r="I2482" i="1"/>
  <c r="J2482" i="1"/>
  <c r="K2482" i="1"/>
  <c r="M2482" i="1"/>
  <c r="N2482" i="1"/>
  <c r="P2482" i="1"/>
  <c r="Q2482" i="1"/>
  <c r="R2482" i="1"/>
  <c r="S2482" i="1"/>
  <c r="T2482" i="1"/>
  <c r="Z2482" i="1"/>
  <c r="AL2482" i="1"/>
  <c r="A2483" i="1"/>
  <c r="B2483" i="1"/>
  <c r="C2483" i="1"/>
  <c r="G2483" i="1"/>
  <c r="H2483" i="1"/>
  <c r="I2483" i="1"/>
  <c r="J2483" i="1"/>
  <c r="K2483" i="1"/>
  <c r="M2483" i="1"/>
  <c r="N2483" i="1"/>
  <c r="P2483" i="1"/>
  <c r="Q2483" i="1"/>
  <c r="R2483" i="1"/>
  <c r="S2483" i="1"/>
  <c r="T2483" i="1"/>
  <c r="Z2483" i="1"/>
  <c r="AL2483" i="1"/>
  <c r="A2484" i="1"/>
  <c r="B2484" i="1"/>
  <c r="C2484" i="1"/>
  <c r="G2484" i="1"/>
  <c r="H2484" i="1"/>
  <c r="I2484" i="1"/>
  <c r="J2484" i="1"/>
  <c r="K2484" i="1"/>
  <c r="M2484" i="1"/>
  <c r="N2484" i="1"/>
  <c r="P2484" i="1"/>
  <c r="Q2484" i="1"/>
  <c r="R2484" i="1"/>
  <c r="S2484" i="1"/>
  <c r="T2484" i="1"/>
  <c r="Z2484" i="1"/>
  <c r="AL2484" i="1"/>
  <c r="A2485" i="1"/>
  <c r="B2485" i="1"/>
  <c r="C2485" i="1"/>
  <c r="G2485" i="1"/>
  <c r="H2485" i="1"/>
  <c r="I2485" i="1"/>
  <c r="J2485" i="1"/>
  <c r="K2485" i="1"/>
  <c r="M2485" i="1"/>
  <c r="N2485" i="1"/>
  <c r="P2485" i="1"/>
  <c r="Q2485" i="1"/>
  <c r="R2485" i="1"/>
  <c r="S2485" i="1"/>
  <c r="T2485" i="1"/>
  <c r="Z2485" i="1"/>
  <c r="AL2485" i="1"/>
  <c r="A2486" i="1"/>
  <c r="B2486" i="1"/>
  <c r="C2486" i="1"/>
  <c r="G2486" i="1"/>
  <c r="H2486" i="1"/>
  <c r="I2486" i="1"/>
  <c r="J2486" i="1"/>
  <c r="K2486" i="1"/>
  <c r="M2486" i="1"/>
  <c r="N2486" i="1"/>
  <c r="P2486" i="1"/>
  <c r="Q2486" i="1"/>
  <c r="R2486" i="1"/>
  <c r="S2486" i="1"/>
  <c r="T2486" i="1"/>
  <c r="AL2486" i="1"/>
  <c r="A2487" i="1"/>
  <c r="B2487" i="1"/>
  <c r="C2487" i="1"/>
  <c r="G2487" i="1"/>
  <c r="H2487" i="1"/>
  <c r="I2487" i="1"/>
  <c r="J2487" i="1"/>
  <c r="K2487" i="1"/>
  <c r="M2487" i="1"/>
  <c r="N2487" i="1"/>
  <c r="P2487" i="1"/>
  <c r="Q2487" i="1"/>
  <c r="R2487" i="1"/>
  <c r="S2487" i="1"/>
  <c r="T2487" i="1"/>
  <c r="Z2487" i="1"/>
  <c r="AL2487" i="1"/>
  <c r="A2488" i="1"/>
  <c r="B2488" i="1"/>
  <c r="C2488" i="1"/>
  <c r="G2488" i="1"/>
  <c r="H2488" i="1"/>
  <c r="I2488" i="1"/>
  <c r="J2488" i="1"/>
  <c r="K2488" i="1"/>
  <c r="M2488" i="1"/>
  <c r="N2488" i="1"/>
  <c r="P2488" i="1"/>
  <c r="Q2488" i="1"/>
  <c r="R2488" i="1"/>
  <c r="S2488" i="1"/>
  <c r="T2488" i="1"/>
  <c r="Z2488" i="1"/>
  <c r="AL2488" i="1"/>
  <c r="A2489" i="1"/>
  <c r="B2489" i="1"/>
  <c r="C2489" i="1"/>
  <c r="G2489" i="1"/>
  <c r="H2489" i="1"/>
  <c r="I2489" i="1"/>
  <c r="J2489" i="1"/>
  <c r="K2489" i="1"/>
  <c r="M2489" i="1"/>
  <c r="N2489" i="1"/>
  <c r="P2489" i="1"/>
  <c r="Q2489" i="1"/>
  <c r="R2489" i="1"/>
  <c r="S2489" i="1"/>
  <c r="T2489" i="1"/>
  <c r="Z2489" i="1"/>
  <c r="AL2489" i="1"/>
  <c r="A2490" i="1"/>
  <c r="B2490" i="1"/>
  <c r="C2490" i="1"/>
  <c r="G2490" i="1"/>
  <c r="H2490" i="1"/>
  <c r="I2490" i="1"/>
  <c r="J2490" i="1"/>
  <c r="K2490" i="1"/>
  <c r="M2490" i="1"/>
  <c r="N2490" i="1"/>
  <c r="P2490" i="1"/>
  <c r="Q2490" i="1"/>
  <c r="R2490" i="1"/>
  <c r="S2490" i="1"/>
  <c r="T2490" i="1"/>
  <c r="Z2490" i="1"/>
  <c r="AL2490" i="1"/>
  <c r="A2491" i="1"/>
  <c r="B2491" i="1"/>
  <c r="C2491" i="1"/>
  <c r="G2491" i="1"/>
  <c r="H2491" i="1"/>
  <c r="I2491" i="1"/>
  <c r="J2491" i="1"/>
  <c r="K2491" i="1"/>
  <c r="M2491" i="1"/>
  <c r="N2491" i="1"/>
  <c r="P2491" i="1"/>
  <c r="Q2491" i="1"/>
  <c r="R2491" i="1"/>
  <c r="S2491" i="1"/>
  <c r="T2491" i="1"/>
  <c r="Z2491" i="1"/>
  <c r="AL2491" i="1"/>
  <c r="A2492" i="1"/>
  <c r="B2492" i="1"/>
  <c r="C2492" i="1"/>
  <c r="G2492" i="1"/>
  <c r="H2492" i="1"/>
  <c r="I2492" i="1"/>
  <c r="J2492" i="1"/>
  <c r="K2492" i="1"/>
  <c r="M2492" i="1"/>
  <c r="N2492" i="1"/>
  <c r="P2492" i="1"/>
  <c r="Q2492" i="1"/>
  <c r="R2492" i="1"/>
  <c r="S2492" i="1"/>
  <c r="T2492" i="1"/>
  <c r="Z2492" i="1"/>
  <c r="AL2492" i="1"/>
  <c r="A2493" i="1"/>
  <c r="B2493" i="1"/>
  <c r="C2493" i="1"/>
  <c r="G2493" i="1"/>
  <c r="H2493" i="1"/>
  <c r="I2493" i="1"/>
  <c r="J2493" i="1"/>
  <c r="K2493" i="1"/>
  <c r="M2493" i="1"/>
  <c r="N2493" i="1"/>
  <c r="P2493" i="1"/>
  <c r="Q2493" i="1"/>
  <c r="R2493" i="1"/>
  <c r="S2493" i="1"/>
  <c r="T2493" i="1"/>
  <c r="Z2493" i="1"/>
  <c r="AL2493" i="1"/>
  <c r="A2494" i="1"/>
  <c r="B2494" i="1"/>
  <c r="C2494" i="1"/>
  <c r="G2494" i="1"/>
  <c r="H2494" i="1"/>
  <c r="I2494" i="1"/>
  <c r="J2494" i="1"/>
  <c r="K2494" i="1"/>
  <c r="M2494" i="1"/>
  <c r="N2494" i="1"/>
  <c r="P2494" i="1"/>
  <c r="Q2494" i="1"/>
  <c r="R2494" i="1"/>
  <c r="S2494" i="1"/>
  <c r="T2494" i="1"/>
  <c r="Z2494" i="1"/>
  <c r="AL2494" i="1"/>
  <c r="A2495" i="1"/>
  <c r="B2495" i="1"/>
  <c r="C2495" i="1"/>
  <c r="G2495" i="1"/>
  <c r="H2495" i="1"/>
  <c r="I2495" i="1"/>
  <c r="J2495" i="1"/>
  <c r="K2495" i="1"/>
  <c r="M2495" i="1"/>
  <c r="N2495" i="1"/>
  <c r="P2495" i="1"/>
  <c r="Q2495" i="1"/>
  <c r="R2495" i="1"/>
  <c r="S2495" i="1"/>
  <c r="T2495" i="1"/>
  <c r="Z2495" i="1"/>
  <c r="AL2495" i="1"/>
  <c r="A2496" i="1"/>
  <c r="B2496" i="1"/>
  <c r="C2496" i="1"/>
  <c r="G2496" i="1"/>
  <c r="H2496" i="1"/>
  <c r="I2496" i="1"/>
  <c r="J2496" i="1"/>
  <c r="K2496" i="1"/>
  <c r="M2496" i="1"/>
  <c r="N2496" i="1"/>
  <c r="P2496" i="1"/>
  <c r="Q2496" i="1"/>
  <c r="R2496" i="1"/>
  <c r="S2496" i="1"/>
  <c r="T2496" i="1"/>
  <c r="Z2496" i="1"/>
  <c r="AL2496" i="1"/>
  <c r="A2497" i="1"/>
  <c r="B2497" i="1"/>
  <c r="C2497" i="1"/>
  <c r="G2497" i="1"/>
  <c r="H2497" i="1"/>
  <c r="I2497" i="1"/>
  <c r="J2497" i="1"/>
  <c r="K2497" i="1"/>
  <c r="M2497" i="1"/>
  <c r="N2497" i="1"/>
  <c r="P2497" i="1"/>
  <c r="Q2497" i="1"/>
  <c r="R2497" i="1"/>
  <c r="S2497" i="1"/>
  <c r="T2497" i="1"/>
  <c r="Z2497" i="1"/>
  <c r="AL2497" i="1"/>
  <c r="A2498" i="1"/>
  <c r="B2498" i="1"/>
  <c r="C2498" i="1"/>
  <c r="G2498" i="1"/>
  <c r="H2498" i="1"/>
  <c r="I2498" i="1"/>
  <c r="J2498" i="1"/>
  <c r="K2498" i="1"/>
  <c r="M2498" i="1"/>
  <c r="N2498" i="1"/>
  <c r="P2498" i="1"/>
  <c r="Q2498" i="1"/>
  <c r="R2498" i="1"/>
  <c r="S2498" i="1"/>
  <c r="T2498" i="1"/>
  <c r="Z2498" i="1"/>
  <c r="AL2498" i="1"/>
  <c r="A2499" i="1"/>
  <c r="B2499" i="1"/>
  <c r="C2499" i="1"/>
  <c r="G2499" i="1"/>
  <c r="H2499" i="1"/>
  <c r="I2499" i="1"/>
  <c r="J2499" i="1"/>
  <c r="K2499" i="1"/>
  <c r="M2499" i="1"/>
  <c r="N2499" i="1"/>
  <c r="P2499" i="1"/>
  <c r="Q2499" i="1"/>
  <c r="R2499" i="1"/>
  <c r="S2499" i="1"/>
  <c r="T2499" i="1"/>
  <c r="Z2499" i="1"/>
  <c r="AL2499" i="1"/>
  <c r="A2500" i="1"/>
  <c r="B2500" i="1"/>
  <c r="C2500" i="1"/>
  <c r="G2500" i="1"/>
  <c r="H2500" i="1"/>
  <c r="I2500" i="1"/>
  <c r="J2500" i="1"/>
  <c r="K2500" i="1"/>
  <c r="M2500" i="1"/>
  <c r="N2500" i="1"/>
  <c r="P2500" i="1"/>
  <c r="Q2500" i="1"/>
  <c r="R2500" i="1"/>
  <c r="S2500" i="1"/>
  <c r="T2500" i="1"/>
  <c r="Z2500" i="1"/>
  <c r="AL2500" i="1"/>
  <c r="A2501" i="1"/>
  <c r="B2501" i="1"/>
  <c r="C2501" i="1"/>
  <c r="G2501" i="1"/>
  <c r="H2501" i="1"/>
  <c r="I2501" i="1"/>
  <c r="J2501" i="1"/>
  <c r="K2501" i="1"/>
  <c r="M2501" i="1"/>
  <c r="N2501" i="1"/>
  <c r="P2501" i="1"/>
  <c r="Q2501" i="1"/>
  <c r="R2501" i="1"/>
  <c r="S2501" i="1"/>
  <c r="T2501" i="1"/>
  <c r="Z2501" i="1"/>
  <c r="AL2501" i="1"/>
  <c r="A2502" i="1"/>
  <c r="B2502" i="1"/>
  <c r="C2502" i="1"/>
  <c r="G2502" i="1"/>
  <c r="H2502" i="1"/>
  <c r="I2502" i="1"/>
  <c r="J2502" i="1"/>
  <c r="K2502" i="1"/>
  <c r="M2502" i="1"/>
  <c r="N2502" i="1"/>
  <c r="P2502" i="1"/>
  <c r="Q2502" i="1"/>
  <c r="R2502" i="1"/>
  <c r="S2502" i="1"/>
  <c r="T2502" i="1"/>
  <c r="Z2502" i="1"/>
  <c r="AL2502" i="1"/>
  <c r="A2503" i="1"/>
  <c r="B2503" i="1"/>
  <c r="C2503" i="1"/>
  <c r="G2503" i="1"/>
  <c r="H2503" i="1"/>
  <c r="I2503" i="1"/>
  <c r="J2503" i="1"/>
  <c r="K2503" i="1"/>
  <c r="M2503" i="1"/>
  <c r="N2503" i="1"/>
  <c r="P2503" i="1"/>
  <c r="Q2503" i="1"/>
  <c r="R2503" i="1"/>
  <c r="S2503" i="1"/>
  <c r="T2503" i="1"/>
  <c r="Z2503" i="1"/>
  <c r="AL2503" i="1"/>
  <c r="A2504" i="1"/>
  <c r="B2504" i="1"/>
  <c r="C2504" i="1"/>
  <c r="G2504" i="1"/>
  <c r="H2504" i="1"/>
  <c r="I2504" i="1"/>
  <c r="J2504" i="1"/>
  <c r="K2504" i="1"/>
  <c r="M2504" i="1"/>
  <c r="N2504" i="1"/>
  <c r="P2504" i="1"/>
  <c r="Q2504" i="1"/>
  <c r="R2504" i="1"/>
  <c r="S2504" i="1"/>
  <c r="T2504" i="1"/>
  <c r="Z2504" i="1"/>
  <c r="AL2504" i="1"/>
  <c r="A2505" i="1"/>
  <c r="B2505" i="1"/>
  <c r="C2505" i="1"/>
  <c r="G2505" i="1"/>
  <c r="H2505" i="1"/>
  <c r="I2505" i="1"/>
  <c r="J2505" i="1"/>
  <c r="K2505" i="1"/>
  <c r="M2505" i="1"/>
  <c r="N2505" i="1"/>
  <c r="P2505" i="1"/>
  <c r="Q2505" i="1"/>
  <c r="R2505" i="1"/>
  <c r="S2505" i="1"/>
  <c r="T2505" i="1"/>
  <c r="Z2505" i="1"/>
  <c r="AL2505" i="1"/>
  <c r="A2506" i="1"/>
  <c r="B2506" i="1"/>
  <c r="C2506" i="1"/>
  <c r="G2506" i="1"/>
  <c r="H2506" i="1"/>
  <c r="I2506" i="1"/>
  <c r="J2506" i="1"/>
  <c r="K2506" i="1"/>
  <c r="M2506" i="1"/>
  <c r="N2506" i="1"/>
  <c r="P2506" i="1"/>
  <c r="Q2506" i="1"/>
  <c r="R2506" i="1"/>
  <c r="S2506" i="1"/>
  <c r="T2506" i="1"/>
  <c r="Z2506" i="1"/>
  <c r="AL2506" i="1"/>
  <c r="A2507" i="1"/>
  <c r="B2507" i="1"/>
  <c r="C2507" i="1"/>
  <c r="G2507" i="1"/>
  <c r="H2507" i="1"/>
  <c r="I2507" i="1"/>
  <c r="J2507" i="1"/>
  <c r="K2507" i="1"/>
  <c r="M2507" i="1"/>
  <c r="N2507" i="1"/>
  <c r="P2507" i="1"/>
  <c r="Q2507" i="1"/>
  <c r="R2507" i="1"/>
  <c r="S2507" i="1"/>
  <c r="T2507" i="1"/>
  <c r="Z2507" i="1"/>
  <c r="AL2507" i="1"/>
  <c r="A2508" i="1"/>
  <c r="B2508" i="1"/>
  <c r="C2508" i="1"/>
  <c r="G2508" i="1"/>
  <c r="H2508" i="1"/>
  <c r="I2508" i="1"/>
  <c r="J2508" i="1"/>
  <c r="K2508" i="1"/>
  <c r="M2508" i="1"/>
  <c r="N2508" i="1"/>
  <c r="P2508" i="1"/>
  <c r="Q2508" i="1"/>
  <c r="R2508" i="1"/>
  <c r="S2508" i="1"/>
  <c r="T2508" i="1"/>
  <c r="Z2508" i="1"/>
  <c r="AL2508" i="1"/>
  <c r="A2509" i="1"/>
  <c r="B2509" i="1"/>
  <c r="C2509" i="1"/>
  <c r="G2509" i="1"/>
  <c r="H2509" i="1"/>
  <c r="I2509" i="1"/>
  <c r="J2509" i="1"/>
  <c r="K2509" i="1"/>
  <c r="M2509" i="1"/>
  <c r="N2509" i="1"/>
  <c r="P2509" i="1"/>
  <c r="Q2509" i="1"/>
  <c r="R2509" i="1"/>
  <c r="S2509" i="1"/>
  <c r="T2509" i="1"/>
  <c r="Z2509" i="1"/>
  <c r="AL2509" i="1"/>
  <c r="A2510" i="1"/>
  <c r="B2510" i="1"/>
  <c r="C2510" i="1"/>
  <c r="G2510" i="1"/>
  <c r="H2510" i="1"/>
  <c r="I2510" i="1"/>
  <c r="J2510" i="1"/>
  <c r="K2510" i="1"/>
  <c r="M2510" i="1"/>
  <c r="N2510" i="1"/>
  <c r="P2510" i="1"/>
  <c r="Q2510" i="1"/>
  <c r="R2510" i="1"/>
  <c r="S2510" i="1"/>
  <c r="T2510" i="1"/>
  <c r="Z2510" i="1"/>
  <c r="AL2510" i="1"/>
  <c r="A2511" i="1"/>
  <c r="B2511" i="1"/>
  <c r="C2511" i="1"/>
  <c r="G2511" i="1"/>
  <c r="H2511" i="1"/>
  <c r="I2511" i="1"/>
  <c r="J2511" i="1"/>
  <c r="K2511" i="1"/>
  <c r="M2511" i="1"/>
  <c r="N2511" i="1"/>
  <c r="P2511" i="1"/>
  <c r="Q2511" i="1"/>
  <c r="R2511" i="1"/>
  <c r="S2511" i="1"/>
  <c r="T2511" i="1"/>
  <c r="Z2511" i="1"/>
  <c r="AL2511" i="1"/>
  <c r="A2512" i="1"/>
  <c r="B2512" i="1"/>
  <c r="C2512" i="1"/>
  <c r="G2512" i="1"/>
  <c r="H2512" i="1"/>
  <c r="I2512" i="1"/>
  <c r="J2512" i="1"/>
  <c r="K2512" i="1"/>
  <c r="M2512" i="1"/>
  <c r="N2512" i="1"/>
  <c r="P2512" i="1"/>
  <c r="Q2512" i="1"/>
  <c r="R2512" i="1"/>
  <c r="S2512" i="1"/>
  <c r="T2512" i="1"/>
  <c r="Z2512" i="1"/>
  <c r="AL2512" i="1"/>
  <c r="A2513" i="1"/>
  <c r="B2513" i="1"/>
  <c r="C2513" i="1"/>
  <c r="G2513" i="1"/>
  <c r="H2513" i="1"/>
  <c r="I2513" i="1"/>
  <c r="J2513" i="1"/>
  <c r="K2513" i="1"/>
  <c r="M2513" i="1"/>
  <c r="N2513" i="1"/>
  <c r="P2513" i="1"/>
  <c r="Q2513" i="1"/>
  <c r="R2513" i="1"/>
  <c r="S2513" i="1"/>
  <c r="T2513" i="1"/>
  <c r="Z2513" i="1"/>
  <c r="AL2513" i="1"/>
  <c r="A2514" i="1"/>
  <c r="B2514" i="1"/>
  <c r="C2514" i="1"/>
  <c r="G2514" i="1"/>
  <c r="H2514" i="1"/>
  <c r="I2514" i="1"/>
  <c r="J2514" i="1"/>
  <c r="K2514" i="1"/>
  <c r="M2514" i="1"/>
  <c r="N2514" i="1"/>
  <c r="P2514" i="1"/>
  <c r="Q2514" i="1"/>
  <c r="R2514" i="1"/>
  <c r="S2514" i="1"/>
  <c r="T2514" i="1"/>
  <c r="Z2514" i="1"/>
  <c r="AL2514" i="1"/>
  <c r="A2515" i="1"/>
  <c r="B2515" i="1"/>
  <c r="C2515" i="1"/>
  <c r="G2515" i="1"/>
  <c r="H2515" i="1"/>
  <c r="I2515" i="1"/>
  <c r="J2515" i="1"/>
  <c r="K2515" i="1"/>
  <c r="M2515" i="1"/>
  <c r="N2515" i="1"/>
  <c r="P2515" i="1"/>
  <c r="Q2515" i="1"/>
  <c r="R2515" i="1"/>
  <c r="S2515" i="1"/>
  <c r="T2515" i="1"/>
  <c r="Z2515" i="1"/>
  <c r="AL2515" i="1"/>
  <c r="A2516" i="1"/>
  <c r="B2516" i="1"/>
  <c r="C2516" i="1"/>
  <c r="G2516" i="1"/>
  <c r="H2516" i="1"/>
  <c r="I2516" i="1"/>
  <c r="J2516" i="1"/>
  <c r="K2516" i="1"/>
  <c r="M2516" i="1"/>
  <c r="N2516" i="1"/>
  <c r="P2516" i="1"/>
  <c r="Q2516" i="1"/>
  <c r="R2516" i="1"/>
  <c r="S2516" i="1"/>
  <c r="T2516" i="1"/>
  <c r="Z2516" i="1"/>
  <c r="AL2516" i="1"/>
  <c r="A2517" i="1"/>
  <c r="B2517" i="1"/>
  <c r="C2517" i="1"/>
  <c r="G2517" i="1"/>
  <c r="H2517" i="1"/>
  <c r="I2517" i="1"/>
  <c r="J2517" i="1"/>
  <c r="K2517" i="1"/>
  <c r="M2517" i="1"/>
  <c r="N2517" i="1"/>
  <c r="P2517" i="1"/>
  <c r="Q2517" i="1"/>
  <c r="R2517" i="1"/>
  <c r="S2517" i="1"/>
  <c r="T2517" i="1"/>
  <c r="Z2517" i="1"/>
  <c r="AL2517" i="1"/>
  <c r="A2518" i="1"/>
  <c r="B2518" i="1"/>
  <c r="C2518" i="1"/>
  <c r="G2518" i="1"/>
  <c r="H2518" i="1"/>
  <c r="I2518" i="1"/>
  <c r="J2518" i="1"/>
  <c r="K2518" i="1"/>
  <c r="M2518" i="1"/>
  <c r="N2518" i="1"/>
  <c r="P2518" i="1"/>
  <c r="Q2518" i="1"/>
  <c r="R2518" i="1"/>
  <c r="S2518" i="1"/>
  <c r="T2518" i="1"/>
  <c r="Z2518" i="1"/>
  <c r="AL2518" i="1"/>
  <c r="A2519" i="1"/>
  <c r="B2519" i="1"/>
  <c r="C2519" i="1"/>
  <c r="G2519" i="1"/>
  <c r="H2519" i="1"/>
  <c r="I2519" i="1"/>
  <c r="J2519" i="1"/>
  <c r="K2519" i="1"/>
  <c r="M2519" i="1"/>
  <c r="N2519" i="1"/>
  <c r="P2519" i="1"/>
  <c r="Q2519" i="1"/>
  <c r="R2519" i="1"/>
  <c r="S2519" i="1"/>
  <c r="T2519" i="1"/>
  <c r="Z2519" i="1"/>
  <c r="AL2519" i="1"/>
  <c r="A2520" i="1"/>
  <c r="B2520" i="1"/>
  <c r="C2520" i="1"/>
  <c r="G2520" i="1"/>
  <c r="H2520" i="1"/>
  <c r="I2520" i="1"/>
  <c r="J2520" i="1"/>
  <c r="K2520" i="1"/>
  <c r="M2520" i="1"/>
  <c r="N2520" i="1"/>
  <c r="P2520" i="1"/>
  <c r="Q2520" i="1"/>
  <c r="R2520" i="1"/>
  <c r="S2520" i="1"/>
  <c r="T2520" i="1"/>
  <c r="Z2520" i="1"/>
  <c r="AL2520" i="1"/>
  <c r="A2521" i="1"/>
  <c r="B2521" i="1"/>
  <c r="C2521" i="1"/>
  <c r="G2521" i="1"/>
  <c r="H2521" i="1"/>
  <c r="I2521" i="1"/>
  <c r="J2521" i="1"/>
  <c r="K2521" i="1"/>
  <c r="M2521" i="1"/>
  <c r="N2521" i="1"/>
  <c r="P2521" i="1"/>
  <c r="Q2521" i="1"/>
  <c r="R2521" i="1"/>
  <c r="S2521" i="1"/>
  <c r="T2521" i="1"/>
  <c r="AL2521" i="1"/>
  <c r="A2522" i="1"/>
  <c r="B2522" i="1"/>
  <c r="C2522" i="1"/>
  <c r="G2522" i="1"/>
  <c r="H2522" i="1"/>
  <c r="I2522" i="1"/>
  <c r="J2522" i="1"/>
  <c r="K2522" i="1"/>
  <c r="M2522" i="1"/>
  <c r="N2522" i="1"/>
  <c r="P2522" i="1"/>
  <c r="Q2522" i="1"/>
  <c r="R2522" i="1"/>
  <c r="S2522" i="1"/>
  <c r="T2522" i="1"/>
  <c r="Z2522" i="1"/>
  <c r="AL2522" i="1"/>
  <c r="A2523" i="1"/>
  <c r="B2523" i="1"/>
  <c r="C2523" i="1"/>
  <c r="G2523" i="1"/>
  <c r="H2523" i="1"/>
  <c r="I2523" i="1"/>
  <c r="J2523" i="1"/>
  <c r="K2523" i="1"/>
  <c r="M2523" i="1"/>
  <c r="N2523" i="1"/>
  <c r="P2523" i="1"/>
  <c r="Q2523" i="1"/>
  <c r="R2523" i="1"/>
  <c r="S2523" i="1"/>
  <c r="T2523" i="1"/>
  <c r="AL2523" i="1"/>
  <c r="A2524" i="1"/>
  <c r="B2524" i="1"/>
  <c r="C2524" i="1"/>
  <c r="G2524" i="1"/>
  <c r="H2524" i="1"/>
  <c r="I2524" i="1"/>
  <c r="J2524" i="1"/>
  <c r="K2524" i="1"/>
  <c r="M2524" i="1"/>
  <c r="N2524" i="1"/>
  <c r="P2524" i="1"/>
  <c r="Q2524" i="1"/>
  <c r="R2524" i="1"/>
  <c r="S2524" i="1"/>
  <c r="T2524" i="1"/>
  <c r="Z2524" i="1"/>
  <c r="AL2524" i="1"/>
  <c r="A2525" i="1"/>
  <c r="B2525" i="1"/>
  <c r="C2525" i="1"/>
  <c r="G2525" i="1"/>
  <c r="H2525" i="1"/>
  <c r="I2525" i="1"/>
  <c r="J2525" i="1"/>
  <c r="K2525" i="1"/>
  <c r="M2525" i="1"/>
  <c r="N2525" i="1"/>
  <c r="P2525" i="1"/>
  <c r="Q2525" i="1"/>
  <c r="R2525" i="1"/>
  <c r="S2525" i="1"/>
  <c r="T2525" i="1"/>
  <c r="Z2525" i="1"/>
  <c r="AL2525" i="1"/>
  <c r="A2526" i="1"/>
  <c r="B2526" i="1"/>
  <c r="C2526" i="1"/>
  <c r="G2526" i="1"/>
  <c r="H2526" i="1"/>
  <c r="I2526" i="1"/>
  <c r="J2526" i="1"/>
  <c r="K2526" i="1"/>
  <c r="M2526" i="1"/>
  <c r="N2526" i="1"/>
  <c r="P2526" i="1"/>
  <c r="Q2526" i="1"/>
  <c r="R2526" i="1"/>
  <c r="S2526" i="1"/>
  <c r="T2526" i="1"/>
  <c r="Z2526" i="1"/>
  <c r="AL2526" i="1"/>
  <c r="A2527" i="1"/>
  <c r="B2527" i="1"/>
  <c r="C2527" i="1"/>
  <c r="G2527" i="1"/>
  <c r="H2527" i="1"/>
  <c r="I2527" i="1"/>
  <c r="J2527" i="1"/>
  <c r="K2527" i="1"/>
  <c r="M2527" i="1"/>
  <c r="N2527" i="1"/>
  <c r="P2527" i="1"/>
  <c r="Q2527" i="1"/>
  <c r="R2527" i="1"/>
  <c r="S2527" i="1"/>
  <c r="T2527" i="1"/>
  <c r="Z2527" i="1"/>
  <c r="AL2527" i="1"/>
  <c r="A2528" i="1"/>
  <c r="B2528" i="1"/>
  <c r="C2528" i="1"/>
  <c r="G2528" i="1"/>
  <c r="H2528" i="1"/>
  <c r="I2528" i="1"/>
  <c r="J2528" i="1"/>
  <c r="K2528" i="1"/>
  <c r="M2528" i="1"/>
  <c r="N2528" i="1"/>
  <c r="P2528" i="1"/>
  <c r="Q2528" i="1"/>
  <c r="R2528" i="1"/>
  <c r="S2528" i="1"/>
  <c r="T2528" i="1"/>
  <c r="Z2528" i="1"/>
  <c r="AL2528" i="1"/>
  <c r="A2529" i="1"/>
  <c r="B2529" i="1"/>
  <c r="C2529" i="1"/>
  <c r="G2529" i="1"/>
  <c r="H2529" i="1"/>
  <c r="I2529" i="1"/>
  <c r="J2529" i="1"/>
  <c r="K2529" i="1"/>
  <c r="M2529" i="1"/>
  <c r="N2529" i="1"/>
  <c r="P2529" i="1"/>
  <c r="Q2529" i="1"/>
  <c r="R2529" i="1"/>
  <c r="S2529" i="1"/>
  <c r="T2529" i="1"/>
  <c r="Z2529" i="1"/>
  <c r="AL2529" i="1"/>
  <c r="A2530" i="1"/>
  <c r="B2530" i="1"/>
  <c r="C2530" i="1"/>
  <c r="G2530" i="1"/>
  <c r="H2530" i="1"/>
  <c r="I2530" i="1"/>
  <c r="J2530" i="1"/>
  <c r="K2530" i="1"/>
  <c r="M2530" i="1"/>
  <c r="N2530" i="1"/>
  <c r="P2530" i="1"/>
  <c r="Q2530" i="1"/>
  <c r="R2530" i="1"/>
  <c r="S2530" i="1"/>
  <c r="T2530" i="1"/>
  <c r="Z2530" i="1"/>
  <c r="AL2530" i="1"/>
  <c r="A2531" i="1"/>
  <c r="B2531" i="1"/>
  <c r="C2531" i="1"/>
  <c r="G2531" i="1"/>
  <c r="H2531" i="1"/>
  <c r="I2531" i="1"/>
  <c r="J2531" i="1"/>
  <c r="K2531" i="1"/>
  <c r="M2531" i="1"/>
  <c r="N2531" i="1"/>
  <c r="P2531" i="1"/>
  <c r="Q2531" i="1"/>
  <c r="R2531" i="1"/>
  <c r="S2531" i="1"/>
  <c r="T2531" i="1"/>
  <c r="Z2531" i="1"/>
  <c r="AL2531" i="1"/>
  <c r="A2532" i="1"/>
  <c r="B2532" i="1"/>
  <c r="C2532" i="1"/>
  <c r="G2532" i="1"/>
  <c r="H2532" i="1"/>
  <c r="I2532" i="1"/>
  <c r="J2532" i="1"/>
  <c r="K2532" i="1"/>
  <c r="M2532" i="1"/>
  <c r="N2532" i="1"/>
  <c r="P2532" i="1"/>
  <c r="Q2532" i="1"/>
  <c r="R2532" i="1"/>
  <c r="S2532" i="1"/>
  <c r="T2532" i="1"/>
  <c r="Z2532" i="1"/>
  <c r="AL2532" i="1"/>
  <c r="A2533" i="1"/>
  <c r="B2533" i="1"/>
  <c r="C2533" i="1"/>
  <c r="G2533" i="1"/>
  <c r="H2533" i="1"/>
  <c r="I2533" i="1"/>
  <c r="J2533" i="1"/>
  <c r="K2533" i="1"/>
  <c r="M2533" i="1"/>
  <c r="N2533" i="1"/>
  <c r="P2533" i="1"/>
  <c r="Q2533" i="1"/>
  <c r="R2533" i="1"/>
  <c r="S2533" i="1"/>
  <c r="T2533" i="1"/>
  <c r="AL2533" i="1"/>
  <c r="A2534" i="1"/>
  <c r="B2534" i="1"/>
  <c r="C2534" i="1"/>
  <c r="G2534" i="1"/>
  <c r="H2534" i="1"/>
  <c r="I2534" i="1"/>
  <c r="J2534" i="1"/>
  <c r="K2534" i="1"/>
  <c r="M2534" i="1"/>
  <c r="N2534" i="1"/>
  <c r="P2534" i="1"/>
  <c r="Q2534" i="1"/>
  <c r="R2534" i="1"/>
  <c r="S2534" i="1"/>
  <c r="T2534" i="1"/>
  <c r="AL2534" i="1"/>
  <c r="A2535" i="1"/>
  <c r="B2535" i="1"/>
  <c r="C2535" i="1"/>
  <c r="G2535" i="1"/>
  <c r="H2535" i="1"/>
  <c r="I2535" i="1"/>
  <c r="J2535" i="1"/>
  <c r="K2535" i="1"/>
  <c r="M2535" i="1"/>
  <c r="N2535" i="1"/>
  <c r="P2535" i="1"/>
  <c r="Q2535" i="1"/>
  <c r="R2535" i="1"/>
  <c r="S2535" i="1"/>
  <c r="T2535" i="1"/>
  <c r="Z2535" i="1"/>
  <c r="AL2535" i="1"/>
  <c r="A2536" i="1"/>
  <c r="B2536" i="1"/>
  <c r="C2536" i="1"/>
  <c r="G2536" i="1"/>
  <c r="H2536" i="1"/>
  <c r="I2536" i="1"/>
  <c r="J2536" i="1"/>
  <c r="K2536" i="1"/>
  <c r="M2536" i="1"/>
  <c r="N2536" i="1"/>
  <c r="P2536" i="1"/>
  <c r="Q2536" i="1"/>
  <c r="R2536" i="1"/>
  <c r="S2536" i="1"/>
  <c r="T2536" i="1"/>
  <c r="Z2536" i="1"/>
  <c r="AL2536" i="1"/>
  <c r="A2537" i="1"/>
  <c r="B2537" i="1"/>
  <c r="C2537" i="1"/>
  <c r="G2537" i="1"/>
  <c r="H2537" i="1"/>
  <c r="I2537" i="1"/>
  <c r="J2537" i="1"/>
  <c r="K2537" i="1"/>
  <c r="M2537" i="1"/>
  <c r="N2537" i="1"/>
  <c r="P2537" i="1"/>
  <c r="Q2537" i="1"/>
  <c r="R2537" i="1"/>
  <c r="S2537" i="1"/>
  <c r="T2537" i="1"/>
  <c r="Z2537" i="1"/>
  <c r="AL2537" i="1"/>
  <c r="A2538" i="1"/>
  <c r="B2538" i="1"/>
  <c r="C2538" i="1"/>
  <c r="G2538" i="1"/>
  <c r="H2538" i="1"/>
  <c r="I2538" i="1"/>
  <c r="J2538" i="1"/>
  <c r="K2538" i="1"/>
  <c r="M2538" i="1"/>
  <c r="N2538" i="1"/>
  <c r="P2538" i="1"/>
  <c r="Q2538" i="1"/>
  <c r="R2538" i="1"/>
  <c r="S2538" i="1"/>
  <c r="T2538" i="1"/>
  <c r="Z2538" i="1"/>
  <c r="AL2538" i="1"/>
  <c r="A2539" i="1"/>
  <c r="B2539" i="1"/>
  <c r="C2539" i="1"/>
  <c r="G2539" i="1"/>
  <c r="H2539" i="1"/>
  <c r="I2539" i="1"/>
  <c r="J2539" i="1"/>
  <c r="K2539" i="1"/>
  <c r="M2539" i="1"/>
  <c r="N2539" i="1"/>
  <c r="P2539" i="1"/>
  <c r="Q2539" i="1"/>
  <c r="R2539" i="1"/>
  <c r="S2539" i="1"/>
  <c r="T2539" i="1"/>
  <c r="AL2539" i="1"/>
  <c r="A2540" i="1"/>
  <c r="B2540" i="1"/>
  <c r="C2540" i="1"/>
  <c r="G2540" i="1"/>
  <c r="H2540" i="1"/>
  <c r="I2540" i="1"/>
  <c r="J2540" i="1"/>
  <c r="K2540" i="1"/>
  <c r="M2540" i="1"/>
  <c r="N2540" i="1"/>
  <c r="P2540" i="1"/>
  <c r="Q2540" i="1"/>
  <c r="R2540" i="1"/>
  <c r="S2540" i="1"/>
  <c r="T2540" i="1"/>
  <c r="AL2540" i="1"/>
  <c r="A2541" i="1"/>
  <c r="B2541" i="1"/>
  <c r="C2541" i="1"/>
  <c r="G2541" i="1"/>
  <c r="H2541" i="1"/>
  <c r="I2541" i="1"/>
  <c r="J2541" i="1"/>
  <c r="K2541" i="1"/>
  <c r="M2541" i="1"/>
  <c r="N2541" i="1"/>
  <c r="P2541" i="1"/>
  <c r="Q2541" i="1"/>
  <c r="R2541" i="1"/>
  <c r="S2541" i="1"/>
  <c r="T2541" i="1"/>
  <c r="AL2541" i="1"/>
  <c r="A2542" i="1"/>
  <c r="B2542" i="1"/>
  <c r="C2542" i="1"/>
  <c r="G2542" i="1"/>
  <c r="H2542" i="1"/>
  <c r="I2542" i="1"/>
  <c r="J2542" i="1"/>
  <c r="K2542" i="1"/>
  <c r="M2542" i="1"/>
  <c r="N2542" i="1"/>
  <c r="P2542" i="1"/>
  <c r="Q2542" i="1"/>
  <c r="R2542" i="1"/>
  <c r="S2542" i="1"/>
  <c r="T2542" i="1"/>
  <c r="AL2542" i="1"/>
  <c r="A2543" i="1"/>
  <c r="B2543" i="1"/>
  <c r="C2543" i="1"/>
  <c r="G2543" i="1"/>
  <c r="H2543" i="1"/>
  <c r="I2543" i="1"/>
  <c r="J2543" i="1"/>
  <c r="K2543" i="1"/>
  <c r="M2543" i="1"/>
  <c r="N2543" i="1"/>
  <c r="P2543" i="1"/>
  <c r="Q2543" i="1"/>
  <c r="R2543" i="1"/>
  <c r="S2543" i="1"/>
  <c r="T2543" i="1"/>
  <c r="AL2543" i="1"/>
  <c r="A2544" i="1"/>
  <c r="B2544" i="1"/>
  <c r="C2544" i="1"/>
  <c r="G2544" i="1"/>
  <c r="H2544" i="1"/>
  <c r="I2544" i="1"/>
  <c r="J2544" i="1"/>
  <c r="K2544" i="1"/>
  <c r="M2544" i="1"/>
  <c r="N2544" i="1"/>
  <c r="P2544" i="1"/>
  <c r="Q2544" i="1"/>
  <c r="R2544" i="1"/>
  <c r="S2544" i="1"/>
  <c r="T2544" i="1"/>
  <c r="AL2544" i="1"/>
  <c r="A2545" i="1"/>
  <c r="B2545" i="1"/>
  <c r="C2545" i="1"/>
  <c r="G2545" i="1"/>
  <c r="H2545" i="1"/>
  <c r="I2545" i="1"/>
  <c r="J2545" i="1"/>
  <c r="K2545" i="1"/>
  <c r="M2545" i="1"/>
  <c r="N2545" i="1"/>
  <c r="P2545" i="1"/>
  <c r="Q2545" i="1"/>
  <c r="R2545" i="1"/>
  <c r="S2545" i="1"/>
  <c r="T2545" i="1"/>
  <c r="AL2545" i="1"/>
  <c r="A2546" i="1"/>
  <c r="B2546" i="1"/>
  <c r="C2546" i="1"/>
  <c r="G2546" i="1"/>
  <c r="H2546" i="1"/>
  <c r="I2546" i="1"/>
  <c r="J2546" i="1"/>
  <c r="K2546" i="1"/>
  <c r="M2546" i="1"/>
  <c r="N2546" i="1"/>
  <c r="P2546" i="1"/>
  <c r="Q2546" i="1"/>
  <c r="R2546" i="1"/>
  <c r="S2546" i="1"/>
  <c r="T2546" i="1"/>
  <c r="AL2546" i="1"/>
  <c r="A2547" i="1"/>
  <c r="B2547" i="1"/>
  <c r="C2547" i="1"/>
  <c r="G2547" i="1"/>
  <c r="H2547" i="1"/>
  <c r="I2547" i="1"/>
  <c r="J2547" i="1"/>
  <c r="K2547" i="1"/>
  <c r="M2547" i="1"/>
  <c r="N2547" i="1"/>
  <c r="P2547" i="1"/>
  <c r="Q2547" i="1"/>
  <c r="R2547" i="1"/>
  <c r="S2547" i="1"/>
  <c r="T2547" i="1"/>
  <c r="AL2547" i="1"/>
  <c r="A2548" i="1"/>
  <c r="B2548" i="1"/>
  <c r="C2548" i="1"/>
  <c r="G2548" i="1"/>
  <c r="H2548" i="1"/>
  <c r="I2548" i="1"/>
  <c r="J2548" i="1"/>
  <c r="K2548" i="1"/>
  <c r="M2548" i="1"/>
  <c r="N2548" i="1"/>
  <c r="P2548" i="1"/>
  <c r="Q2548" i="1"/>
  <c r="R2548" i="1"/>
  <c r="S2548" i="1"/>
  <c r="T2548" i="1"/>
  <c r="AL2548" i="1"/>
  <c r="A2549" i="1"/>
  <c r="B2549" i="1"/>
  <c r="C2549" i="1"/>
  <c r="G2549" i="1"/>
  <c r="H2549" i="1"/>
  <c r="I2549" i="1"/>
  <c r="J2549" i="1"/>
  <c r="K2549" i="1"/>
  <c r="M2549" i="1"/>
  <c r="N2549" i="1"/>
  <c r="P2549" i="1"/>
  <c r="Q2549" i="1"/>
  <c r="R2549" i="1"/>
  <c r="S2549" i="1"/>
  <c r="T2549" i="1"/>
  <c r="AL2549" i="1"/>
  <c r="A2550" i="1"/>
  <c r="B2550" i="1"/>
  <c r="C2550" i="1"/>
  <c r="G2550" i="1"/>
  <c r="H2550" i="1"/>
  <c r="I2550" i="1"/>
  <c r="J2550" i="1"/>
  <c r="K2550" i="1"/>
  <c r="M2550" i="1"/>
  <c r="N2550" i="1"/>
  <c r="P2550" i="1"/>
  <c r="Q2550" i="1"/>
  <c r="R2550" i="1"/>
  <c r="S2550" i="1"/>
  <c r="T2550" i="1"/>
  <c r="AL2550" i="1"/>
  <c r="A2551" i="1"/>
  <c r="B2551" i="1"/>
  <c r="C2551" i="1"/>
  <c r="G2551" i="1"/>
  <c r="H2551" i="1"/>
  <c r="I2551" i="1"/>
  <c r="J2551" i="1"/>
  <c r="K2551" i="1"/>
  <c r="M2551" i="1"/>
  <c r="N2551" i="1"/>
  <c r="P2551" i="1"/>
  <c r="Q2551" i="1"/>
  <c r="R2551" i="1"/>
  <c r="S2551" i="1"/>
  <c r="T2551" i="1"/>
  <c r="AL2551" i="1"/>
  <c r="A2552" i="1"/>
  <c r="B2552" i="1"/>
  <c r="C2552" i="1"/>
  <c r="G2552" i="1"/>
  <c r="H2552" i="1"/>
  <c r="I2552" i="1"/>
  <c r="J2552" i="1"/>
  <c r="K2552" i="1"/>
  <c r="M2552" i="1"/>
  <c r="N2552" i="1"/>
  <c r="P2552" i="1"/>
  <c r="Q2552" i="1"/>
  <c r="R2552" i="1"/>
  <c r="S2552" i="1"/>
  <c r="T2552" i="1"/>
  <c r="AL2552" i="1"/>
  <c r="A2553" i="1"/>
  <c r="B2553" i="1"/>
  <c r="C2553" i="1"/>
  <c r="G2553" i="1"/>
  <c r="H2553" i="1"/>
  <c r="I2553" i="1"/>
  <c r="J2553" i="1"/>
  <c r="K2553" i="1"/>
  <c r="M2553" i="1"/>
  <c r="N2553" i="1"/>
  <c r="P2553" i="1"/>
  <c r="Q2553" i="1"/>
  <c r="R2553" i="1"/>
  <c r="S2553" i="1"/>
  <c r="T2553" i="1"/>
  <c r="AL2553" i="1"/>
  <c r="A2554" i="1"/>
  <c r="B2554" i="1"/>
  <c r="C2554" i="1"/>
  <c r="G2554" i="1"/>
  <c r="H2554" i="1"/>
  <c r="I2554" i="1"/>
  <c r="J2554" i="1"/>
  <c r="K2554" i="1"/>
  <c r="M2554" i="1"/>
  <c r="N2554" i="1"/>
  <c r="P2554" i="1"/>
  <c r="Q2554" i="1"/>
  <c r="R2554" i="1"/>
  <c r="S2554" i="1"/>
  <c r="T2554" i="1"/>
  <c r="AL2554" i="1"/>
  <c r="A2555" i="1"/>
  <c r="B2555" i="1"/>
  <c r="C2555" i="1"/>
  <c r="G2555" i="1"/>
  <c r="H2555" i="1"/>
  <c r="I2555" i="1"/>
  <c r="J2555" i="1"/>
  <c r="K2555" i="1"/>
  <c r="M2555" i="1"/>
  <c r="N2555" i="1"/>
  <c r="P2555" i="1"/>
  <c r="Q2555" i="1"/>
  <c r="R2555" i="1"/>
  <c r="S2555" i="1"/>
  <c r="T2555" i="1"/>
  <c r="AL2555" i="1"/>
  <c r="A2556" i="1"/>
  <c r="B2556" i="1"/>
  <c r="C2556" i="1"/>
  <c r="G2556" i="1"/>
  <c r="H2556" i="1"/>
  <c r="I2556" i="1"/>
  <c r="J2556" i="1"/>
  <c r="K2556" i="1"/>
  <c r="M2556" i="1"/>
  <c r="N2556" i="1"/>
  <c r="P2556" i="1"/>
  <c r="Q2556" i="1"/>
  <c r="R2556" i="1"/>
  <c r="S2556" i="1"/>
  <c r="T2556" i="1"/>
  <c r="AL2556" i="1"/>
  <c r="A2557" i="1"/>
  <c r="B2557" i="1"/>
  <c r="C2557" i="1"/>
  <c r="G2557" i="1"/>
  <c r="H2557" i="1"/>
  <c r="I2557" i="1"/>
  <c r="J2557" i="1"/>
  <c r="K2557" i="1"/>
  <c r="M2557" i="1"/>
  <c r="N2557" i="1"/>
  <c r="P2557" i="1"/>
  <c r="Q2557" i="1"/>
  <c r="R2557" i="1"/>
  <c r="S2557" i="1"/>
  <c r="T2557" i="1"/>
  <c r="AL2557" i="1"/>
  <c r="A2558" i="1"/>
  <c r="B2558" i="1"/>
  <c r="C2558" i="1"/>
  <c r="G2558" i="1"/>
  <c r="H2558" i="1"/>
  <c r="I2558" i="1"/>
  <c r="J2558" i="1"/>
  <c r="K2558" i="1"/>
  <c r="M2558" i="1"/>
  <c r="N2558" i="1"/>
  <c r="P2558" i="1"/>
  <c r="Q2558" i="1"/>
  <c r="R2558" i="1"/>
  <c r="S2558" i="1"/>
  <c r="T2558" i="1"/>
  <c r="AL2558" i="1"/>
  <c r="A2559" i="1"/>
  <c r="B2559" i="1"/>
  <c r="C2559" i="1"/>
  <c r="G2559" i="1"/>
  <c r="H2559" i="1"/>
  <c r="I2559" i="1"/>
  <c r="J2559" i="1"/>
  <c r="K2559" i="1"/>
  <c r="M2559" i="1"/>
  <c r="N2559" i="1"/>
  <c r="P2559" i="1"/>
  <c r="Q2559" i="1"/>
  <c r="R2559" i="1"/>
  <c r="S2559" i="1"/>
  <c r="T2559" i="1"/>
  <c r="AL2559" i="1"/>
  <c r="A2560" i="1"/>
  <c r="B2560" i="1"/>
  <c r="C2560" i="1"/>
  <c r="G2560" i="1"/>
  <c r="H2560" i="1"/>
  <c r="I2560" i="1"/>
  <c r="J2560" i="1"/>
  <c r="K2560" i="1"/>
  <c r="M2560" i="1"/>
  <c r="N2560" i="1"/>
  <c r="P2560" i="1"/>
  <c r="Q2560" i="1"/>
  <c r="R2560" i="1"/>
  <c r="S2560" i="1"/>
  <c r="T2560" i="1"/>
  <c r="AL2560" i="1"/>
  <c r="A2561" i="1"/>
  <c r="B2561" i="1"/>
  <c r="C2561" i="1"/>
  <c r="G2561" i="1"/>
  <c r="H2561" i="1"/>
  <c r="I2561" i="1"/>
  <c r="J2561" i="1"/>
  <c r="K2561" i="1"/>
  <c r="M2561" i="1"/>
  <c r="N2561" i="1"/>
  <c r="P2561" i="1"/>
  <c r="Q2561" i="1"/>
  <c r="R2561" i="1"/>
  <c r="S2561" i="1"/>
  <c r="T2561" i="1"/>
  <c r="AL2561" i="1"/>
  <c r="A2562" i="1"/>
  <c r="B2562" i="1"/>
  <c r="C2562" i="1"/>
  <c r="G2562" i="1"/>
  <c r="H2562" i="1"/>
  <c r="I2562" i="1"/>
  <c r="J2562" i="1"/>
  <c r="K2562" i="1"/>
  <c r="M2562" i="1"/>
  <c r="N2562" i="1"/>
  <c r="P2562" i="1"/>
  <c r="Q2562" i="1"/>
  <c r="R2562" i="1"/>
  <c r="S2562" i="1"/>
  <c r="T2562" i="1"/>
  <c r="AL2562" i="1"/>
  <c r="A2563" i="1"/>
  <c r="B2563" i="1"/>
  <c r="C2563" i="1"/>
  <c r="G2563" i="1"/>
  <c r="H2563" i="1"/>
  <c r="I2563" i="1"/>
  <c r="J2563" i="1"/>
  <c r="K2563" i="1"/>
  <c r="M2563" i="1"/>
  <c r="N2563" i="1"/>
  <c r="P2563" i="1"/>
  <c r="Q2563" i="1"/>
  <c r="R2563" i="1"/>
  <c r="S2563" i="1"/>
  <c r="T2563" i="1"/>
  <c r="AL2563" i="1"/>
  <c r="A2564" i="1"/>
  <c r="B2564" i="1"/>
  <c r="C2564" i="1"/>
  <c r="G2564" i="1"/>
  <c r="H2564" i="1"/>
  <c r="I2564" i="1"/>
  <c r="J2564" i="1"/>
  <c r="K2564" i="1"/>
  <c r="M2564" i="1"/>
  <c r="N2564" i="1"/>
  <c r="P2564" i="1"/>
  <c r="Q2564" i="1"/>
  <c r="R2564" i="1"/>
  <c r="S2564" i="1"/>
  <c r="T2564" i="1"/>
  <c r="AL2564" i="1"/>
  <c r="A2565" i="1"/>
  <c r="B2565" i="1"/>
  <c r="C2565" i="1"/>
  <c r="G2565" i="1"/>
  <c r="H2565" i="1"/>
  <c r="I2565" i="1"/>
  <c r="J2565" i="1"/>
  <c r="K2565" i="1"/>
  <c r="M2565" i="1"/>
  <c r="N2565" i="1"/>
  <c r="P2565" i="1"/>
  <c r="Q2565" i="1"/>
  <c r="R2565" i="1"/>
  <c r="S2565" i="1"/>
  <c r="T2565" i="1"/>
  <c r="AL2565" i="1"/>
  <c r="A2566" i="1"/>
  <c r="B2566" i="1"/>
  <c r="C2566" i="1"/>
  <c r="G2566" i="1"/>
  <c r="H2566" i="1"/>
  <c r="I2566" i="1"/>
  <c r="J2566" i="1"/>
  <c r="K2566" i="1"/>
  <c r="M2566" i="1"/>
  <c r="N2566" i="1"/>
  <c r="P2566" i="1"/>
  <c r="Q2566" i="1"/>
  <c r="R2566" i="1"/>
  <c r="S2566" i="1"/>
  <c r="T2566" i="1"/>
  <c r="AL2566" i="1"/>
  <c r="A2567" i="1"/>
  <c r="B2567" i="1"/>
  <c r="C2567" i="1"/>
  <c r="G2567" i="1"/>
  <c r="H2567" i="1"/>
  <c r="I2567" i="1"/>
  <c r="J2567" i="1"/>
  <c r="K2567" i="1"/>
  <c r="M2567" i="1"/>
  <c r="N2567" i="1"/>
  <c r="P2567" i="1"/>
  <c r="Q2567" i="1"/>
  <c r="R2567" i="1"/>
  <c r="S2567" i="1"/>
  <c r="T2567" i="1"/>
  <c r="AL2567" i="1"/>
  <c r="A2568" i="1"/>
  <c r="B2568" i="1"/>
  <c r="C2568" i="1"/>
  <c r="G2568" i="1"/>
  <c r="H2568" i="1"/>
  <c r="I2568" i="1"/>
  <c r="J2568" i="1"/>
  <c r="K2568" i="1"/>
  <c r="M2568" i="1"/>
  <c r="N2568" i="1"/>
  <c r="P2568" i="1"/>
  <c r="Q2568" i="1"/>
  <c r="R2568" i="1"/>
  <c r="S2568" i="1"/>
  <c r="T2568" i="1"/>
  <c r="AL2568" i="1"/>
  <c r="A2569" i="1"/>
  <c r="B2569" i="1"/>
  <c r="C2569" i="1"/>
  <c r="G2569" i="1"/>
  <c r="H2569" i="1"/>
  <c r="I2569" i="1"/>
  <c r="J2569" i="1"/>
  <c r="K2569" i="1"/>
  <c r="M2569" i="1"/>
  <c r="N2569" i="1"/>
  <c r="P2569" i="1"/>
  <c r="Q2569" i="1"/>
  <c r="R2569" i="1"/>
  <c r="S2569" i="1"/>
  <c r="T2569" i="1"/>
  <c r="AL2569" i="1"/>
  <c r="A2570" i="1"/>
  <c r="B2570" i="1"/>
  <c r="C2570" i="1"/>
  <c r="G2570" i="1"/>
  <c r="H2570" i="1"/>
  <c r="I2570" i="1"/>
  <c r="J2570" i="1"/>
  <c r="K2570" i="1"/>
  <c r="M2570" i="1"/>
  <c r="N2570" i="1"/>
  <c r="P2570" i="1"/>
  <c r="Q2570" i="1"/>
  <c r="R2570" i="1"/>
  <c r="S2570" i="1"/>
  <c r="T2570" i="1"/>
  <c r="AL2570" i="1"/>
  <c r="A2571" i="1"/>
  <c r="B2571" i="1"/>
  <c r="C2571" i="1"/>
  <c r="G2571" i="1"/>
  <c r="H2571" i="1"/>
  <c r="I2571" i="1"/>
  <c r="J2571" i="1"/>
  <c r="K2571" i="1"/>
  <c r="M2571" i="1"/>
  <c r="N2571" i="1"/>
  <c r="P2571" i="1"/>
  <c r="Q2571" i="1"/>
  <c r="R2571" i="1"/>
  <c r="S2571" i="1"/>
  <c r="T2571" i="1"/>
  <c r="AL2571" i="1"/>
  <c r="A2572" i="1"/>
  <c r="B2572" i="1"/>
  <c r="C2572" i="1"/>
  <c r="G2572" i="1"/>
  <c r="H2572" i="1"/>
  <c r="I2572" i="1"/>
  <c r="J2572" i="1"/>
  <c r="K2572" i="1"/>
  <c r="M2572" i="1"/>
  <c r="N2572" i="1"/>
  <c r="P2572" i="1"/>
  <c r="Q2572" i="1"/>
  <c r="R2572" i="1"/>
  <c r="S2572" i="1"/>
  <c r="T2572" i="1"/>
  <c r="AL2572" i="1"/>
  <c r="A2573" i="1"/>
  <c r="B2573" i="1"/>
  <c r="C2573" i="1"/>
  <c r="G2573" i="1"/>
  <c r="H2573" i="1"/>
  <c r="I2573" i="1"/>
  <c r="J2573" i="1"/>
  <c r="K2573" i="1"/>
  <c r="M2573" i="1"/>
  <c r="N2573" i="1"/>
  <c r="P2573" i="1"/>
  <c r="Q2573" i="1"/>
  <c r="R2573" i="1"/>
  <c r="S2573" i="1"/>
  <c r="T2573" i="1"/>
  <c r="AL2573" i="1"/>
  <c r="A2574" i="1"/>
  <c r="B2574" i="1"/>
  <c r="C2574" i="1"/>
  <c r="G2574" i="1"/>
  <c r="H2574" i="1"/>
  <c r="I2574" i="1"/>
  <c r="J2574" i="1"/>
  <c r="K2574" i="1"/>
  <c r="M2574" i="1"/>
  <c r="N2574" i="1"/>
  <c r="P2574" i="1"/>
  <c r="Q2574" i="1"/>
  <c r="R2574" i="1"/>
  <c r="S2574" i="1"/>
  <c r="T2574" i="1"/>
  <c r="AL2574" i="1"/>
  <c r="A2575" i="1"/>
  <c r="B2575" i="1"/>
  <c r="C2575" i="1"/>
  <c r="G2575" i="1"/>
  <c r="H2575" i="1"/>
  <c r="I2575" i="1"/>
  <c r="J2575" i="1"/>
  <c r="K2575" i="1"/>
  <c r="M2575" i="1"/>
  <c r="N2575" i="1"/>
  <c r="P2575" i="1"/>
  <c r="Q2575" i="1"/>
  <c r="R2575" i="1"/>
  <c r="S2575" i="1"/>
  <c r="T2575" i="1"/>
  <c r="AL2575" i="1"/>
  <c r="A2576" i="1"/>
  <c r="B2576" i="1"/>
  <c r="C2576" i="1"/>
  <c r="G2576" i="1"/>
  <c r="H2576" i="1"/>
  <c r="I2576" i="1"/>
  <c r="J2576" i="1"/>
  <c r="K2576" i="1"/>
  <c r="M2576" i="1"/>
  <c r="N2576" i="1"/>
  <c r="P2576" i="1"/>
  <c r="Q2576" i="1"/>
  <c r="R2576" i="1"/>
  <c r="S2576" i="1"/>
  <c r="T2576" i="1"/>
  <c r="AL2576" i="1"/>
  <c r="A2577" i="1"/>
  <c r="B2577" i="1"/>
  <c r="C2577" i="1"/>
  <c r="G2577" i="1"/>
  <c r="H2577" i="1"/>
  <c r="I2577" i="1"/>
  <c r="J2577" i="1"/>
  <c r="K2577" i="1"/>
  <c r="M2577" i="1"/>
  <c r="N2577" i="1"/>
  <c r="P2577" i="1"/>
  <c r="Q2577" i="1"/>
  <c r="R2577" i="1"/>
  <c r="S2577" i="1"/>
  <c r="T2577" i="1"/>
  <c r="AL2577" i="1"/>
  <c r="A2578" i="1"/>
  <c r="B2578" i="1"/>
  <c r="C2578" i="1"/>
  <c r="G2578" i="1"/>
  <c r="H2578" i="1"/>
  <c r="I2578" i="1"/>
  <c r="J2578" i="1"/>
  <c r="K2578" i="1"/>
  <c r="M2578" i="1"/>
  <c r="N2578" i="1"/>
  <c r="P2578" i="1"/>
  <c r="Q2578" i="1"/>
  <c r="R2578" i="1"/>
  <c r="S2578" i="1"/>
  <c r="T2578" i="1"/>
  <c r="AL2578" i="1"/>
  <c r="A2579" i="1"/>
  <c r="B2579" i="1"/>
  <c r="C2579" i="1"/>
  <c r="G2579" i="1"/>
  <c r="H2579" i="1"/>
  <c r="I2579" i="1"/>
  <c r="J2579" i="1"/>
  <c r="K2579" i="1"/>
  <c r="M2579" i="1"/>
  <c r="N2579" i="1"/>
  <c r="P2579" i="1"/>
  <c r="Q2579" i="1"/>
  <c r="R2579" i="1"/>
  <c r="S2579" i="1"/>
  <c r="T2579" i="1"/>
  <c r="Z2579" i="1"/>
  <c r="AL2579" i="1"/>
  <c r="A2580" i="1"/>
  <c r="B2580" i="1"/>
  <c r="C2580" i="1"/>
  <c r="G2580" i="1"/>
  <c r="H2580" i="1"/>
  <c r="I2580" i="1"/>
  <c r="J2580" i="1"/>
  <c r="K2580" i="1"/>
  <c r="M2580" i="1"/>
  <c r="N2580" i="1"/>
  <c r="P2580" i="1"/>
  <c r="Q2580" i="1"/>
  <c r="R2580" i="1"/>
  <c r="S2580" i="1"/>
  <c r="T2580" i="1"/>
  <c r="Z2580" i="1"/>
  <c r="AL2580" i="1"/>
  <c r="A2581" i="1"/>
  <c r="B2581" i="1"/>
  <c r="C2581" i="1"/>
  <c r="G2581" i="1"/>
  <c r="H2581" i="1"/>
  <c r="I2581" i="1"/>
  <c r="J2581" i="1"/>
  <c r="K2581" i="1"/>
  <c r="M2581" i="1"/>
  <c r="N2581" i="1"/>
  <c r="P2581" i="1"/>
  <c r="Q2581" i="1"/>
  <c r="R2581" i="1"/>
  <c r="S2581" i="1"/>
  <c r="T2581" i="1"/>
  <c r="Z2581" i="1"/>
  <c r="AL2581" i="1"/>
  <c r="A2582" i="1"/>
  <c r="B2582" i="1"/>
  <c r="C2582" i="1"/>
  <c r="G2582" i="1"/>
  <c r="H2582" i="1"/>
  <c r="I2582" i="1"/>
  <c r="J2582" i="1"/>
  <c r="K2582" i="1"/>
  <c r="M2582" i="1"/>
  <c r="N2582" i="1"/>
  <c r="P2582" i="1"/>
  <c r="Q2582" i="1"/>
  <c r="R2582" i="1"/>
  <c r="S2582" i="1"/>
  <c r="T2582" i="1"/>
  <c r="Z2582" i="1"/>
  <c r="AL2582" i="1"/>
  <c r="A2583" i="1"/>
  <c r="B2583" i="1"/>
  <c r="C2583" i="1"/>
  <c r="G2583" i="1"/>
  <c r="H2583" i="1"/>
  <c r="I2583" i="1"/>
  <c r="J2583" i="1"/>
  <c r="K2583" i="1"/>
  <c r="M2583" i="1"/>
  <c r="N2583" i="1"/>
  <c r="P2583" i="1"/>
  <c r="Q2583" i="1"/>
  <c r="R2583" i="1"/>
  <c r="S2583" i="1"/>
  <c r="T2583" i="1"/>
  <c r="AL2583" i="1"/>
  <c r="A2584" i="1"/>
  <c r="B2584" i="1"/>
  <c r="C2584" i="1"/>
  <c r="G2584" i="1"/>
  <c r="H2584" i="1"/>
  <c r="I2584" i="1"/>
  <c r="J2584" i="1"/>
  <c r="K2584" i="1"/>
  <c r="M2584" i="1"/>
  <c r="N2584" i="1"/>
  <c r="P2584" i="1"/>
  <c r="Q2584" i="1"/>
  <c r="R2584" i="1"/>
  <c r="S2584" i="1"/>
  <c r="T2584" i="1"/>
  <c r="AL2584" i="1"/>
  <c r="A2585" i="1"/>
  <c r="B2585" i="1"/>
  <c r="C2585" i="1"/>
  <c r="G2585" i="1"/>
  <c r="H2585" i="1"/>
  <c r="I2585" i="1"/>
  <c r="J2585" i="1"/>
  <c r="K2585" i="1"/>
  <c r="M2585" i="1"/>
  <c r="N2585" i="1"/>
  <c r="P2585" i="1"/>
  <c r="Q2585" i="1"/>
  <c r="R2585" i="1"/>
  <c r="S2585" i="1"/>
  <c r="T2585" i="1"/>
  <c r="AL2585" i="1"/>
  <c r="A2586" i="1"/>
  <c r="B2586" i="1"/>
  <c r="C2586" i="1"/>
  <c r="G2586" i="1"/>
  <c r="H2586" i="1"/>
  <c r="I2586" i="1"/>
  <c r="J2586" i="1"/>
  <c r="K2586" i="1"/>
  <c r="M2586" i="1"/>
  <c r="N2586" i="1"/>
  <c r="P2586" i="1"/>
  <c r="Q2586" i="1"/>
  <c r="R2586" i="1"/>
  <c r="S2586" i="1"/>
  <c r="T2586" i="1"/>
  <c r="AL2586" i="1"/>
  <c r="A2587" i="1"/>
  <c r="B2587" i="1"/>
  <c r="C2587" i="1"/>
  <c r="G2587" i="1"/>
  <c r="H2587" i="1"/>
  <c r="I2587" i="1"/>
  <c r="J2587" i="1"/>
  <c r="K2587" i="1"/>
  <c r="M2587" i="1"/>
  <c r="N2587" i="1"/>
  <c r="P2587" i="1"/>
  <c r="Q2587" i="1"/>
  <c r="R2587" i="1"/>
  <c r="S2587" i="1"/>
  <c r="T2587" i="1"/>
  <c r="AL2587" i="1"/>
  <c r="A2588" i="1"/>
  <c r="B2588" i="1"/>
  <c r="C2588" i="1"/>
  <c r="G2588" i="1"/>
  <c r="H2588" i="1"/>
  <c r="I2588" i="1"/>
  <c r="J2588" i="1"/>
  <c r="K2588" i="1"/>
  <c r="M2588" i="1"/>
  <c r="N2588" i="1"/>
  <c r="P2588" i="1"/>
  <c r="Q2588" i="1"/>
  <c r="R2588" i="1"/>
  <c r="S2588" i="1"/>
  <c r="T2588" i="1"/>
  <c r="AL2588" i="1"/>
  <c r="A2589" i="1"/>
  <c r="B2589" i="1"/>
  <c r="C2589" i="1"/>
  <c r="G2589" i="1"/>
  <c r="H2589" i="1"/>
  <c r="I2589" i="1"/>
  <c r="J2589" i="1"/>
  <c r="K2589" i="1"/>
  <c r="M2589" i="1"/>
  <c r="N2589" i="1"/>
  <c r="P2589" i="1"/>
  <c r="Q2589" i="1"/>
  <c r="R2589" i="1"/>
  <c r="S2589" i="1"/>
  <c r="T2589" i="1"/>
  <c r="AL2589" i="1"/>
  <c r="A2590" i="1"/>
  <c r="B2590" i="1"/>
  <c r="C2590" i="1"/>
  <c r="G2590" i="1"/>
  <c r="H2590" i="1"/>
  <c r="I2590" i="1"/>
  <c r="J2590" i="1"/>
  <c r="K2590" i="1"/>
  <c r="M2590" i="1"/>
  <c r="N2590" i="1"/>
  <c r="P2590" i="1"/>
  <c r="Q2590" i="1"/>
  <c r="R2590" i="1"/>
  <c r="S2590" i="1"/>
  <c r="T2590" i="1"/>
  <c r="AL2590" i="1"/>
  <c r="A2591" i="1"/>
  <c r="B2591" i="1"/>
  <c r="C2591" i="1"/>
  <c r="G2591" i="1"/>
  <c r="H2591" i="1"/>
  <c r="I2591" i="1"/>
  <c r="J2591" i="1"/>
  <c r="K2591" i="1"/>
  <c r="M2591" i="1"/>
  <c r="N2591" i="1"/>
  <c r="P2591" i="1"/>
  <c r="Q2591" i="1"/>
  <c r="R2591" i="1"/>
  <c r="S2591" i="1"/>
  <c r="T2591" i="1"/>
  <c r="AL2591" i="1"/>
  <c r="A2592" i="1"/>
  <c r="B2592" i="1"/>
  <c r="C2592" i="1"/>
  <c r="G2592" i="1"/>
  <c r="H2592" i="1"/>
  <c r="I2592" i="1"/>
  <c r="J2592" i="1"/>
  <c r="K2592" i="1"/>
  <c r="M2592" i="1"/>
  <c r="N2592" i="1"/>
  <c r="P2592" i="1"/>
  <c r="Q2592" i="1"/>
  <c r="R2592" i="1"/>
  <c r="S2592" i="1"/>
  <c r="T2592" i="1"/>
  <c r="AL2592" i="1"/>
  <c r="A2593" i="1"/>
  <c r="B2593" i="1"/>
  <c r="C2593" i="1"/>
  <c r="G2593" i="1"/>
  <c r="H2593" i="1"/>
  <c r="I2593" i="1"/>
  <c r="J2593" i="1"/>
  <c r="K2593" i="1"/>
  <c r="M2593" i="1"/>
  <c r="N2593" i="1"/>
  <c r="P2593" i="1"/>
  <c r="Q2593" i="1"/>
  <c r="R2593" i="1"/>
  <c r="S2593" i="1"/>
  <c r="T2593" i="1"/>
  <c r="AL2593" i="1"/>
  <c r="A2594" i="1"/>
  <c r="B2594" i="1"/>
  <c r="C2594" i="1"/>
  <c r="G2594" i="1"/>
  <c r="H2594" i="1"/>
  <c r="I2594" i="1"/>
  <c r="J2594" i="1"/>
  <c r="K2594" i="1"/>
  <c r="M2594" i="1"/>
  <c r="N2594" i="1"/>
  <c r="P2594" i="1"/>
  <c r="Q2594" i="1"/>
  <c r="R2594" i="1"/>
  <c r="S2594" i="1"/>
  <c r="T2594" i="1"/>
  <c r="AL2594" i="1"/>
  <c r="A2595" i="1"/>
  <c r="B2595" i="1"/>
  <c r="C2595" i="1"/>
  <c r="G2595" i="1"/>
  <c r="H2595" i="1"/>
  <c r="I2595" i="1"/>
  <c r="J2595" i="1"/>
  <c r="K2595" i="1"/>
  <c r="M2595" i="1"/>
  <c r="N2595" i="1"/>
  <c r="P2595" i="1"/>
  <c r="Q2595" i="1"/>
  <c r="R2595" i="1"/>
  <c r="S2595" i="1"/>
  <c r="T2595" i="1"/>
  <c r="AL2595" i="1"/>
  <c r="A2596" i="1"/>
  <c r="B2596" i="1"/>
  <c r="C2596" i="1"/>
  <c r="G2596" i="1"/>
  <c r="H2596" i="1"/>
  <c r="I2596" i="1"/>
  <c r="J2596" i="1"/>
  <c r="K2596" i="1"/>
  <c r="M2596" i="1"/>
  <c r="N2596" i="1"/>
  <c r="P2596" i="1"/>
  <c r="Q2596" i="1"/>
  <c r="R2596" i="1"/>
  <c r="S2596" i="1"/>
  <c r="T2596" i="1"/>
  <c r="AL2596" i="1"/>
  <c r="A2597" i="1"/>
  <c r="B2597" i="1"/>
  <c r="C2597" i="1"/>
  <c r="G2597" i="1"/>
  <c r="H2597" i="1"/>
  <c r="I2597" i="1"/>
  <c r="J2597" i="1"/>
  <c r="K2597" i="1"/>
  <c r="M2597" i="1"/>
  <c r="N2597" i="1"/>
  <c r="P2597" i="1"/>
  <c r="Q2597" i="1"/>
  <c r="R2597" i="1"/>
  <c r="S2597" i="1"/>
  <c r="T2597" i="1"/>
  <c r="AL2597" i="1"/>
  <c r="A2598" i="1"/>
  <c r="B2598" i="1"/>
  <c r="C2598" i="1"/>
  <c r="G2598" i="1"/>
  <c r="H2598" i="1"/>
  <c r="I2598" i="1"/>
  <c r="J2598" i="1"/>
  <c r="K2598" i="1"/>
  <c r="M2598" i="1"/>
  <c r="N2598" i="1"/>
  <c r="P2598" i="1"/>
  <c r="Q2598" i="1"/>
  <c r="R2598" i="1"/>
  <c r="S2598" i="1"/>
  <c r="T2598" i="1"/>
  <c r="AL2598" i="1"/>
  <c r="A2599" i="1"/>
  <c r="B2599" i="1"/>
  <c r="C2599" i="1"/>
  <c r="G2599" i="1"/>
  <c r="H2599" i="1"/>
  <c r="I2599" i="1"/>
  <c r="J2599" i="1"/>
  <c r="K2599" i="1"/>
  <c r="M2599" i="1"/>
  <c r="N2599" i="1"/>
  <c r="P2599" i="1"/>
  <c r="Q2599" i="1"/>
  <c r="R2599" i="1"/>
  <c r="S2599" i="1"/>
  <c r="T2599" i="1"/>
  <c r="AL2599" i="1"/>
  <c r="A2600" i="1"/>
  <c r="B2600" i="1"/>
  <c r="C2600" i="1"/>
  <c r="G2600" i="1"/>
  <c r="H2600" i="1"/>
  <c r="I2600" i="1"/>
  <c r="J2600" i="1"/>
  <c r="K2600" i="1"/>
  <c r="M2600" i="1"/>
  <c r="N2600" i="1"/>
  <c r="P2600" i="1"/>
  <c r="Q2600" i="1"/>
  <c r="R2600" i="1"/>
  <c r="S2600" i="1"/>
  <c r="T2600" i="1"/>
  <c r="AL2600" i="1"/>
  <c r="A2601" i="1"/>
  <c r="B2601" i="1"/>
  <c r="C2601" i="1"/>
  <c r="G2601" i="1"/>
  <c r="H2601" i="1"/>
  <c r="I2601" i="1"/>
  <c r="J2601" i="1"/>
  <c r="K2601" i="1"/>
  <c r="M2601" i="1"/>
  <c r="N2601" i="1"/>
  <c r="P2601" i="1"/>
  <c r="Q2601" i="1"/>
  <c r="R2601" i="1"/>
  <c r="S2601" i="1"/>
  <c r="T2601" i="1"/>
  <c r="AL2601" i="1"/>
  <c r="A2602" i="1"/>
  <c r="B2602" i="1"/>
  <c r="C2602" i="1"/>
  <c r="G2602" i="1"/>
  <c r="H2602" i="1"/>
  <c r="I2602" i="1"/>
  <c r="J2602" i="1"/>
  <c r="K2602" i="1"/>
  <c r="M2602" i="1"/>
  <c r="N2602" i="1"/>
  <c r="P2602" i="1"/>
  <c r="Q2602" i="1"/>
  <c r="R2602" i="1"/>
  <c r="S2602" i="1"/>
  <c r="T2602" i="1"/>
  <c r="AL2602" i="1"/>
  <c r="A2603" i="1"/>
  <c r="B2603" i="1"/>
  <c r="C2603" i="1"/>
  <c r="G2603" i="1"/>
  <c r="H2603" i="1"/>
  <c r="I2603" i="1"/>
  <c r="J2603" i="1"/>
  <c r="K2603" i="1"/>
  <c r="M2603" i="1"/>
  <c r="N2603" i="1"/>
  <c r="P2603" i="1"/>
  <c r="Q2603" i="1"/>
  <c r="R2603" i="1"/>
  <c r="S2603" i="1"/>
  <c r="T2603" i="1"/>
  <c r="AL2603" i="1"/>
  <c r="A2604" i="1"/>
  <c r="B2604" i="1"/>
  <c r="C2604" i="1"/>
  <c r="G2604" i="1"/>
  <c r="H2604" i="1"/>
  <c r="I2604" i="1"/>
  <c r="J2604" i="1"/>
  <c r="K2604" i="1"/>
  <c r="M2604" i="1"/>
  <c r="N2604" i="1"/>
  <c r="P2604" i="1"/>
  <c r="Q2604" i="1"/>
  <c r="R2604" i="1"/>
  <c r="S2604" i="1"/>
  <c r="T2604" i="1"/>
  <c r="Z2604" i="1"/>
  <c r="AL2604" i="1"/>
  <c r="A2605" i="1"/>
  <c r="B2605" i="1"/>
  <c r="C2605" i="1"/>
  <c r="G2605" i="1"/>
  <c r="H2605" i="1"/>
  <c r="I2605" i="1"/>
  <c r="J2605" i="1"/>
  <c r="K2605" i="1"/>
  <c r="M2605" i="1"/>
  <c r="N2605" i="1"/>
  <c r="P2605" i="1"/>
  <c r="Q2605" i="1"/>
  <c r="R2605" i="1"/>
  <c r="S2605" i="1"/>
  <c r="T2605" i="1"/>
  <c r="AL2605" i="1"/>
  <c r="A2606" i="1"/>
  <c r="B2606" i="1"/>
  <c r="C2606" i="1"/>
  <c r="G2606" i="1"/>
  <c r="H2606" i="1"/>
  <c r="I2606" i="1"/>
  <c r="J2606" i="1"/>
  <c r="K2606" i="1"/>
  <c r="M2606" i="1"/>
  <c r="N2606" i="1"/>
  <c r="P2606" i="1"/>
  <c r="Q2606" i="1"/>
  <c r="R2606" i="1"/>
  <c r="S2606" i="1"/>
  <c r="T2606" i="1"/>
  <c r="AL2606" i="1"/>
  <c r="A2607" i="1"/>
  <c r="B2607" i="1"/>
  <c r="C2607" i="1"/>
  <c r="G2607" i="1"/>
  <c r="H2607" i="1"/>
  <c r="I2607" i="1"/>
  <c r="J2607" i="1"/>
  <c r="K2607" i="1"/>
  <c r="M2607" i="1"/>
  <c r="N2607" i="1"/>
  <c r="P2607" i="1"/>
  <c r="Q2607" i="1"/>
  <c r="R2607" i="1"/>
  <c r="S2607" i="1"/>
  <c r="T2607" i="1"/>
  <c r="AL2607" i="1"/>
  <c r="A2608" i="1"/>
  <c r="B2608" i="1"/>
  <c r="C2608" i="1"/>
  <c r="G2608" i="1"/>
  <c r="H2608" i="1"/>
  <c r="I2608" i="1"/>
  <c r="J2608" i="1"/>
  <c r="K2608" i="1"/>
  <c r="M2608" i="1"/>
  <c r="N2608" i="1"/>
  <c r="P2608" i="1"/>
  <c r="Q2608" i="1"/>
  <c r="R2608" i="1"/>
  <c r="S2608" i="1"/>
  <c r="T2608" i="1"/>
  <c r="AL2608" i="1"/>
  <c r="A2609" i="1"/>
  <c r="B2609" i="1"/>
  <c r="C2609" i="1"/>
  <c r="G2609" i="1"/>
  <c r="H2609" i="1"/>
  <c r="I2609" i="1"/>
  <c r="J2609" i="1"/>
  <c r="K2609" i="1"/>
  <c r="M2609" i="1"/>
  <c r="N2609" i="1"/>
  <c r="P2609" i="1"/>
  <c r="Q2609" i="1"/>
  <c r="R2609" i="1"/>
  <c r="S2609" i="1"/>
  <c r="T2609" i="1"/>
  <c r="AL2609" i="1"/>
  <c r="A2610" i="1"/>
  <c r="B2610" i="1"/>
  <c r="C2610" i="1"/>
  <c r="G2610" i="1"/>
  <c r="H2610" i="1"/>
  <c r="I2610" i="1"/>
  <c r="J2610" i="1"/>
  <c r="K2610" i="1"/>
  <c r="M2610" i="1"/>
  <c r="N2610" i="1"/>
  <c r="P2610" i="1"/>
  <c r="Q2610" i="1"/>
  <c r="R2610" i="1"/>
  <c r="S2610" i="1"/>
  <c r="T2610" i="1"/>
  <c r="AL2610" i="1"/>
  <c r="A2611" i="1"/>
  <c r="B2611" i="1"/>
  <c r="C2611" i="1"/>
  <c r="G2611" i="1"/>
  <c r="H2611" i="1"/>
  <c r="I2611" i="1"/>
  <c r="J2611" i="1"/>
  <c r="K2611" i="1"/>
  <c r="M2611" i="1"/>
  <c r="N2611" i="1"/>
  <c r="P2611" i="1"/>
  <c r="Q2611" i="1"/>
  <c r="R2611" i="1"/>
  <c r="S2611" i="1"/>
  <c r="T2611" i="1"/>
  <c r="AL2611" i="1"/>
  <c r="A2612" i="1"/>
  <c r="B2612" i="1"/>
  <c r="C2612" i="1"/>
  <c r="G2612" i="1"/>
  <c r="H2612" i="1"/>
  <c r="I2612" i="1"/>
  <c r="J2612" i="1"/>
  <c r="K2612" i="1"/>
  <c r="M2612" i="1"/>
  <c r="N2612" i="1"/>
  <c r="P2612" i="1"/>
  <c r="Q2612" i="1"/>
  <c r="R2612" i="1"/>
  <c r="S2612" i="1"/>
  <c r="T2612" i="1"/>
  <c r="AL2612" i="1"/>
  <c r="A2613" i="1"/>
  <c r="B2613" i="1"/>
  <c r="C2613" i="1"/>
  <c r="G2613" i="1"/>
  <c r="H2613" i="1"/>
  <c r="I2613" i="1"/>
  <c r="J2613" i="1"/>
  <c r="K2613" i="1"/>
  <c r="M2613" i="1"/>
  <c r="N2613" i="1"/>
  <c r="P2613" i="1"/>
  <c r="Q2613" i="1"/>
  <c r="R2613" i="1"/>
  <c r="S2613" i="1"/>
  <c r="T2613" i="1"/>
  <c r="AL2613" i="1"/>
  <c r="A2614" i="1"/>
  <c r="B2614" i="1"/>
  <c r="C2614" i="1"/>
  <c r="G2614" i="1"/>
  <c r="H2614" i="1"/>
  <c r="I2614" i="1"/>
  <c r="J2614" i="1"/>
  <c r="K2614" i="1"/>
  <c r="M2614" i="1"/>
  <c r="N2614" i="1"/>
  <c r="P2614" i="1"/>
  <c r="Q2614" i="1"/>
  <c r="R2614" i="1"/>
  <c r="S2614" i="1"/>
  <c r="T2614" i="1"/>
  <c r="AL2614" i="1"/>
  <c r="A2615" i="1"/>
  <c r="B2615" i="1"/>
  <c r="C2615" i="1"/>
  <c r="G2615" i="1"/>
  <c r="H2615" i="1"/>
  <c r="I2615" i="1"/>
  <c r="J2615" i="1"/>
  <c r="K2615" i="1"/>
  <c r="M2615" i="1"/>
  <c r="N2615" i="1"/>
  <c r="P2615" i="1"/>
  <c r="Q2615" i="1"/>
  <c r="R2615" i="1"/>
  <c r="S2615" i="1"/>
  <c r="T2615" i="1"/>
  <c r="AL2615" i="1"/>
  <c r="A2616" i="1"/>
  <c r="B2616" i="1"/>
  <c r="C2616" i="1"/>
  <c r="G2616" i="1"/>
  <c r="H2616" i="1"/>
  <c r="I2616" i="1"/>
  <c r="J2616" i="1"/>
  <c r="K2616" i="1"/>
  <c r="M2616" i="1"/>
  <c r="N2616" i="1"/>
  <c r="P2616" i="1"/>
  <c r="Q2616" i="1"/>
  <c r="R2616" i="1"/>
  <c r="S2616" i="1"/>
  <c r="T2616" i="1"/>
  <c r="AL2616" i="1"/>
  <c r="A2617" i="1"/>
  <c r="B2617" i="1"/>
  <c r="C2617" i="1"/>
  <c r="G2617" i="1"/>
  <c r="H2617" i="1"/>
  <c r="I2617" i="1"/>
  <c r="J2617" i="1"/>
  <c r="K2617" i="1"/>
  <c r="M2617" i="1"/>
  <c r="N2617" i="1"/>
  <c r="P2617" i="1"/>
  <c r="Q2617" i="1"/>
  <c r="R2617" i="1"/>
  <c r="S2617" i="1"/>
  <c r="T2617" i="1"/>
  <c r="Z2617" i="1"/>
  <c r="AL2617" i="1"/>
  <c r="A2618" i="1"/>
  <c r="B2618" i="1"/>
  <c r="C2618" i="1"/>
  <c r="G2618" i="1"/>
  <c r="H2618" i="1"/>
  <c r="I2618" i="1"/>
  <c r="J2618" i="1"/>
  <c r="K2618" i="1"/>
  <c r="M2618" i="1"/>
  <c r="N2618" i="1"/>
  <c r="P2618" i="1"/>
  <c r="Q2618" i="1"/>
  <c r="R2618" i="1"/>
  <c r="S2618" i="1"/>
  <c r="T2618" i="1"/>
  <c r="Z2618" i="1"/>
  <c r="AL2618" i="1"/>
  <c r="A2619" i="1"/>
  <c r="B2619" i="1"/>
  <c r="C2619" i="1"/>
  <c r="G2619" i="1"/>
  <c r="H2619" i="1"/>
  <c r="I2619" i="1"/>
  <c r="J2619" i="1"/>
  <c r="K2619" i="1"/>
  <c r="M2619" i="1"/>
  <c r="N2619" i="1"/>
  <c r="P2619" i="1"/>
  <c r="Q2619" i="1"/>
  <c r="R2619" i="1"/>
  <c r="S2619" i="1"/>
  <c r="T2619" i="1"/>
  <c r="Z2619" i="1"/>
  <c r="AL2619" i="1"/>
  <c r="A2620" i="1"/>
  <c r="B2620" i="1"/>
  <c r="C2620" i="1"/>
  <c r="G2620" i="1"/>
  <c r="H2620" i="1"/>
  <c r="I2620" i="1"/>
  <c r="J2620" i="1"/>
  <c r="K2620" i="1"/>
  <c r="M2620" i="1"/>
  <c r="N2620" i="1"/>
  <c r="P2620" i="1"/>
  <c r="Q2620" i="1"/>
  <c r="R2620" i="1"/>
  <c r="S2620" i="1"/>
  <c r="T2620" i="1"/>
  <c r="AL2620" i="1"/>
  <c r="A2621" i="1"/>
  <c r="B2621" i="1"/>
  <c r="C2621" i="1"/>
  <c r="G2621" i="1"/>
  <c r="H2621" i="1"/>
  <c r="I2621" i="1"/>
  <c r="J2621" i="1"/>
  <c r="K2621" i="1"/>
  <c r="M2621" i="1"/>
  <c r="N2621" i="1"/>
  <c r="P2621" i="1"/>
  <c r="Q2621" i="1"/>
  <c r="R2621" i="1"/>
  <c r="S2621" i="1"/>
  <c r="T2621" i="1"/>
  <c r="Z2621" i="1"/>
  <c r="AL2621" i="1"/>
  <c r="A2622" i="1"/>
  <c r="B2622" i="1"/>
  <c r="C2622" i="1"/>
  <c r="G2622" i="1"/>
  <c r="H2622" i="1"/>
  <c r="I2622" i="1"/>
  <c r="J2622" i="1"/>
  <c r="K2622" i="1"/>
  <c r="P2622" i="1"/>
  <c r="Q2622" i="1"/>
  <c r="R2622" i="1"/>
  <c r="S2622" i="1"/>
  <c r="T2622" i="1"/>
  <c r="AL2622" i="1"/>
  <c r="A2623" i="1"/>
  <c r="B2623" i="1"/>
  <c r="C2623" i="1"/>
  <c r="G2623" i="1"/>
  <c r="H2623" i="1"/>
  <c r="I2623" i="1"/>
  <c r="J2623" i="1"/>
  <c r="K2623" i="1"/>
  <c r="P2623" i="1"/>
  <c r="Q2623" i="1"/>
  <c r="R2623" i="1"/>
  <c r="S2623" i="1"/>
  <c r="T2623" i="1"/>
  <c r="AL2623" i="1"/>
  <c r="A2624" i="1"/>
  <c r="B2624" i="1"/>
  <c r="C2624" i="1"/>
  <c r="G2624" i="1"/>
  <c r="H2624" i="1"/>
  <c r="I2624" i="1"/>
  <c r="J2624" i="1"/>
  <c r="K2624" i="1"/>
  <c r="P2624" i="1"/>
  <c r="Q2624" i="1"/>
  <c r="R2624" i="1"/>
  <c r="S2624" i="1"/>
  <c r="T2624" i="1"/>
  <c r="AL2624" i="1"/>
  <c r="A2625" i="1"/>
  <c r="B2625" i="1"/>
  <c r="C2625" i="1"/>
  <c r="G2625" i="1"/>
  <c r="H2625" i="1"/>
  <c r="I2625" i="1"/>
  <c r="J2625" i="1"/>
  <c r="K2625" i="1"/>
  <c r="P2625" i="1"/>
  <c r="Q2625" i="1"/>
  <c r="R2625" i="1"/>
  <c r="S2625" i="1"/>
  <c r="T2625" i="1"/>
  <c r="AL2625" i="1"/>
  <c r="A2626" i="1"/>
  <c r="B2626" i="1"/>
  <c r="C2626" i="1"/>
  <c r="G2626" i="1"/>
  <c r="H2626" i="1"/>
  <c r="I2626" i="1"/>
  <c r="J2626" i="1"/>
  <c r="K2626" i="1"/>
  <c r="M2626" i="1"/>
  <c r="N2626" i="1"/>
  <c r="P2626" i="1"/>
  <c r="Q2626" i="1"/>
  <c r="R2626" i="1"/>
  <c r="S2626" i="1"/>
  <c r="T2626" i="1"/>
  <c r="AL2626" i="1"/>
  <c r="A2627" i="1"/>
  <c r="B2627" i="1"/>
  <c r="C2627" i="1"/>
  <c r="G2627" i="1"/>
  <c r="H2627" i="1"/>
  <c r="I2627" i="1"/>
  <c r="J2627" i="1"/>
  <c r="K2627" i="1"/>
  <c r="M2627" i="1"/>
  <c r="N2627" i="1"/>
  <c r="P2627" i="1"/>
  <c r="Q2627" i="1"/>
  <c r="R2627" i="1"/>
  <c r="S2627" i="1"/>
  <c r="T2627" i="1"/>
  <c r="AL2627" i="1"/>
  <c r="A2628" i="1"/>
  <c r="B2628" i="1"/>
  <c r="C2628" i="1"/>
  <c r="G2628" i="1"/>
  <c r="H2628" i="1"/>
  <c r="I2628" i="1"/>
  <c r="J2628" i="1"/>
  <c r="K2628" i="1"/>
  <c r="M2628" i="1"/>
  <c r="N2628" i="1"/>
  <c r="P2628" i="1"/>
  <c r="Q2628" i="1"/>
  <c r="R2628" i="1"/>
  <c r="S2628" i="1"/>
  <c r="T2628" i="1"/>
  <c r="Z2628" i="1"/>
  <c r="AL2628" i="1"/>
  <c r="A2629" i="1"/>
  <c r="B2629" i="1"/>
  <c r="C2629" i="1"/>
  <c r="G2629" i="1"/>
  <c r="H2629" i="1"/>
  <c r="I2629" i="1"/>
  <c r="J2629" i="1"/>
  <c r="K2629" i="1"/>
  <c r="M2629" i="1"/>
  <c r="N2629" i="1"/>
  <c r="P2629" i="1"/>
  <c r="Q2629" i="1"/>
  <c r="R2629" i="1"/>
  <c r="S2629" i="1"/>
  <c r="T2629" i="1"/>
  <c r="Z2629" i="1"/>
  <c r="AL2629" i="1"/>
  <c r="A2630" i="1"/>
  <c r="B2630" i="1"/>
  <c r="C2630" i="1"/>
  <c r="G2630" i="1"/>
  <c r="H2630" i="1"/>
  <c r="I2630" i="1"/>
  <c r="J2630" i="1"/>
  <c r="K2630" i="1"/>
  <c r="M2630" i="1"/>
  <c r="N2630" i="1"/>
  <c r="P2630" i="1"/>
  <c r="Q2630" i="1"/>
  <c r="R2630" i="1"/>
  <c r="S2630" i="1"/>
  <c r="T2630" i="1"/>
  <c r="AL2630" i="1"/>
  <c r="A2631" i="1"/>
  <c r="B2631" i="1"/>
  <c r="C2631" i="1"/>
  <c r="G2631" i="1"/>
  <c r="H2631" i="1"/>
  <c r="I2631" i="1"/>
  <c r="J2631" i="1"/>
  <c r="K2631" i="1"/>
  <c r="M2631" i="1"/>
  <c r="N2631" i="1"/>
  <c r="P2631" i="1"/>
  <c r="Q2631" i="1"/>
  <c r="R2631" i="1"/>
  <c r="S2631" i="1"/>
  <c r="T2631" i="1"/>
  <c r="Z2631" i="1"/>
  <c r="AL2631" i="1"/>
  <c r="A2632" i="1"/>
  <c r="B2632" i="1"/>
  <c r="C2632" i="1"/>
  <c r="G2632" i="1"/>
  <c r="H2632" i="1"/>
  <c r="I2632" i="1"/>
  <c r="J2632" i="1"/>
  <c r="K2632" i="1"/>
  <c r="M2632" i="1"/>
  <c r="N2632" i="1"/>
  <c r="P2632" i="1"/>
  <c r="Q2632" i="1"/>
  <c r="R2632" i="1"/>
  <c r="S2632" i="1"/>
  <c r="T2632" i="1"/>
  <c r="Z2632" i="1"/>
  <c r="AL2632" i="1"/>
  <c r="A2633" i="1"/>
  <c r="B2633" i="1"/>
  <c r="C2633" i="1"/>
  <c r="G2633" i="1"/>
  <c r="H2633" i="1"/>
  <c r="I2633" i="1"/>
  <c r="J2633" i="1"/>
  <c r="K2633" i="1"/>
  <c r="M2633" i="1"/>
  <c r="N2633" i="1"/>
  <c r="P2633" i="1"/>
  <c r="Q2633" i="1"/>
  <c r="R2633" i="1"/>
  <c r="S2633" i="1"/>
  <c r="T2633" i="1"/>
  <c r="AL2633" i="1"/>
  <c r="A2634" i="1"/>
  <c r="B2634" i="1"/>
  <c r="C2634" i="1"/>
  <c r="G2634" i="1"/>
  <c r="H2634" i="1"/>
  <c r="I2634" i="1"/>
  <c r="J2634" i="1"/>
  <c r="K2634" i="1"/>
  <c r="M2634" i="1"/>
  <c r="N2634" i="1"/>
  <c r="P2634" i="1"/>
  <c r="Q2634" i="1"/>
  <c r="R2634" i="1"/>
  <c r="S2634" i="1"/>
  <c r="T2634" i="1"/>
  <c r="Z2634" i="1"/>
  <c r="AL2634" i="1"/>
  <c r="A2635" i="1"/>
  <c r="B2635" i="1"/>
  <c r="C2635" i="1"/>
  <c r="G2635" i="1"/>
  <c r="H2635" i="1"/>
  <c r="I2635" i="1"/>
  <c r="J2635" i="1"/>
  <c r="K2635" i="1"/>
  <c r="M2635" i="1"/>
  <c r="N2635" i="1"/>
  <c r="P2635" i="1"/>
  <c r="Q2635" i="1"/>
  <c r="R2635" i="1"/>
  <c r="S2635" i="1"/>
  <c r="T2635" i="1"/>
  <c r="Z2635" i="1"/>
  <c r="AL2635" i="1"/>
  <c r="A2636" i="1"/>
  <c r="B2636" i="1"/>
  <c r="C2636" i="1"/>
  <c r="G2636" i="1"/>
  <c r="H2636" i="1"/>
  <c r="I2636" i="1"/>
  <c r="J2636" i="1"/>
  <c r="K2636" i="1"/>
  <c r="M2636" i="1"/>
  <c r="N2636" i="1"/>
  <c r="P2636" i="1"/>
  <c r="Q2636" i="1"/>
  <c r="R2636" i="1"/>
  <c r="S2636" i="1"/>
  <c r="T2636" i="1"/>
  <c r="AL2636" i="1"/>
  <c r="A2637" i="1"/>
  <c r="B2637" i="1"/>
  <c r="C2637" i="1"/>
  <c r="G2637" i="1"/>
  <c r="H2637" i="1"/>
  <c r="I2637" i="1"/>
  <c r="J2637" i="1"/>
  <c r="K2637" i="1"/>
  <c r="M2637" i="1"/>
  <c r="N2637" i="1"/>
  <c r="P2637" i="1"/>
  <c r="Q2637" i="1"/>
  <c r="R2637" i="1"/>
  <c r="S2637" i="1"/>
  <c r="T2637" i="1"/>
  <c r="AL2637" i="1"/>
  <c r="A2638" i="1"/>
  <c r="B2638" i="1"/>
  <c r="C2638" i="1"/>
  <c r="G2638" i="1"/>
  <c r="H2638" i="1"/>
  <c r="I2638" i="1"/>
  <c r="J2638" i="1"/>
  <c r="K2638" i="1"/>
  <c r="M2638" i="1"/>
  <c r="N2638" i="1"/>
  <c r="P2638" i="1"/>
  <c r="Q2638" i="1"/>
  <c r="R2638" i="1"/>
  <c r="S2638" i="1"/>
  <c r="T2638" i="1"/>
  <c r="Z2638" i="1"/>
  <c r="AL2638" i="1"/>
  <c r="A2639" i="1"/>
  <c r="B2639" i="1"/>
  <c r="C2639" i="1"/>
  <c r="G2639" i="1"/>
  <c r="H2639" i="1"/>
  <c r="I2639" i="1"/>
  <c r="J2639" i="1"/>
  <c r="K2639" i="1"/>
  <c r="M2639" i="1"/>
  <c r="N2639" i="1"/>
  <c r="P2639" i="1"/>
  <c r="Q2639" i="1"/>
  <c r="R2639" i="1"/>
  <c r="S2639" i="1"/>
  <c r="T2639" i="1"/>
  <c r="Z2639" i="1"/>
  <c r="AL2639" i="1"/>
  <c r="A2640" i="1"/>
  <c r="B2640" i="1"/>
  <c r="C2640" i="1"/>
  <c r="G2640" i="1"/>
  <c r="H2640" i="1"/>
  <c r="I2640" i="1"/>
  <c r="J2640" i="1"/>
  <c r="K2640" i="1"/>
  <c r="M2640" i="1"/>
  <c r="N2640" i="1"/>
  <c r="P2640" i="1"/>
  <c r="Q2640" i="1"/>
  <c r="R2640" i="1"/>
  <c r="S2640" i="1"/>
  <c r="T2640" i="1"/>
  <c r="Z2640" i="1"/>
  <c r="AL2640" i="1"/>
  <c r="A2641" i="1"/>
  <c r="B2641" i="1"/>
  <c r="C2641" i="1"/>
  <c r="G2641" i="1"/>
  <c r="H2641" i="1"/>
  <c r="I2641" i="1"/>
  <c r="J2641" i="1"/>
  <c r="K2641" i="1"/>
  <c r="M2641" i="1"/>
  <c r="N2641" i="1"/>
  <c r="P2641" i="1"/>
  <c r="Q2641" i="1"/>
  <c r="R2641" i="1"/>
  <c r="S2641" i="1"/>
  <c r="T2641" i="1"/>
  <c r="Z2641" i="1"/>
  <c r="AL2641" i="1"/>
  <c r="A2642" i="1"/>
  <c r="B2642" i="1"/>
  <c r="C2642" i="1"/>
  <c r="G2642" i="1"/>
  <c r="H2642" i="1"/>
  <c r="I2642" i="1"/>
  <c r="J2642" i="1"/>
  <c r="K2642" i="1"/>
  <c r="M2642" i="1"/>
  <c r="N2642" i="1"/>
  <c r="P2642" i="1"/>
  <c r="Q2642" i="1"/>
  <c r="R2642" i="1"/>
  <c r="S2642" i="1"/>
  <c r="T2642" i="1"/>
  <c r="Z2642" i="1"/>
  <c r="AL2642" i="1"/>
  <c r="A2643" i="1"/>
  <c r="B2643" i="1"/>
  <c r="C2643" i="1"/>
  <c r="G2643" i="1"/>
  <c r="H2643" i="1"/>
  <c r="I2643" i="1"/>
  <c r="J2643" i="1"/>
  <c r="K2643" i="1"/>
  <c r="M2643" i="1"/>
  <c r="N2643" i="1"/>
  <c r="P2643" i="1"/>
  <c r="Q2643" i="1"/>
  <c r="R2643" i="1"/>
  <c r="S2643" i="1"/>
  <c r="T2643" i="1"/>
  <c r="Z2643" i="1"/>
  <c r="AL2643" i="1"/>
  <c r="A2644" i="1"/>
  <c r="B2644" i="1"/>
  <c r="C2644" i="1"/>
  <c r="G2644" i="1"/>
  <c r="H2644" i="1"/>
  <c r="I2644" i="1"/>
  <c r="J2644" i="1"/>
  <c r="K2644" i="1"/>
  <c r="M2644" i="1"/>
  <c r="N2644" i="1"/>
  <c r="P2644" i="1"/>
  <c r="Q2644" i="1"/>
  <c r="R2644" i="1"/>
  <c r="S2644" i="1"/>
  <c r="T2644" i="1"/>
  <c r="Z2644" i="1"/>
  <c r="AL2644" i="1"/>
  <c r="A2645" i="1"/>
  <c r="B2645" i="1"/>
  <c r="C2645" i="1"/>
  <c r="G2645" i="1"/>
  <c r="H2645" i="1"/>
  <c r="I2645" i="1"/>
  <c r="J2645" i="1"/>
  <c r="K2645" i="1"/>
  <c r="M2645" i="1"/>
  <c r="N2645" i="1"/>
  <c r="P2645" i="1"/>
  <c r="Q2645" i="1"/>
  <c r="R2645" i="1"/>
  <c r="S2645" i="1"/>
  <c r="T2645" i="1"/>
  <c r="Z2645" i="1"/>
  <c r="AL2645" i="1"/>
  <c r="A2646" i="1"/>
  <c r="B2646" i="1"/>
  <c r="C2646" i="1"/>
  <c r="G2646" i="1"/>
  <c r="H2646" i="1"/>
  <c r="I2646" i="1"/>
  <c r="J2646" i="1"/>
  <c r="K2646" i="1"/>
  <c r="M2646" i="1"/>
  <c r="N2646" i="1"/>
  <c r="P2646" i="1"/>
  <c r="Q2646" i="1"/>
  <c r="R2646" i="1"/>
  <c r="S2646" i="1"/>
  <c r="T2646" i="1"/>
  <c r="Z2646" i="1"/>
  <c r="AL2646" i="1"/>
  <c r="A2647" i="1"/>
  <c r="B2647" i="1"/>
  <c r="C2647" i="1"/>
  <c r="G2647" i="1"/>
  <c r="H2647" i="1"/>
  <c r="I2647" i="1"/>
  <c r="J2647" i="1"/>
  <c r="K2647" i="1"/>
  <c r="M2647" i="1"/>
  <c r="N2647" i="1"/>
  <c r="P2647" i="1"/>
  <c r="Q2647" i="1"/>
  <c r="R2647" i="1"/>
  <c r="S2647" i="1"/>
  <c r="T2647" i="1"/>
  <c r="Z2647" i="1"/>
  <c r="AL2647" i="1"/>
  <c r="A2648" i="1"/>
  <c r="B2648" i="1"/>
  <c r="C2648" i="1"/>
  <c r="G2648" i="1"/>
  <c r="H2648" i="1"/>
  <c r="I2648" i="1"/>
  <c r="J2648" i="1"/>
  <c r="K2648" i="1"/>
  <c r="M2648" i="1"/>
  <c r="N2648" i="1"/>
  <c r="P2648" i="1"/>
  <c r="Q2648" i="1"/>
  <c r="R2648" i="1"/>
  <c r="S2648" i="1"/>
  <c r="T2648" i="1"/>
  <c r="Z2648" i="1"/>
  <c r="AL2648" i="1"/>
  <c r="A2649" i="1"/>
  <c r="B2649" i="1"/>
  <c r="C2649" i="1"/>
  <c r="G2649" i="1"/>
  <c r="H2649" i="1"/>
  <c r="I2649" i="1"/>
  <c r="J2649" i="1"/>
  <c r="K2649" i="1"/>
  <c r="M2649" i="1"/>
  <c r="N2649" i="1"/>
  <c r="P2649" i="1"/>
  <c r="Q2649" i="1"/>
  <c r="R2649" i="1"/>
  <c r="S2649" i="1"/>
  <c r="T2649" i="1"/>
  <c r="AL2649" i="1"/>
  <c r="A2650" i="1"/>
  <c r="B2650" i="1"/>
  <c r="C2650" i="1"/>
  <c r="G2650" i="1"/>
  <c r="H2650" i="1"/>
  <c r="I2650" i="1"/>
  <c r="J2650" i="1"/>
  <c r="K2650" i="1"/>
  <c r="M2650" i="1"/>
  <c r="N2650" i="1"/>
  <c r="P2650" i="1"/>
  <c r="Q2650" i="1"/>
  <c r="R2650" i="1"/>
  <c r="S2650" i="1"/>
  <c r="T2650" i="1"/>
  <c r="Z2650" i="1"/>
  <c r="AL2650" i="1"/>
  <c r="A2651" i="1"/>
  <c r="B2651" i="1"/>
  <c r="C2651" i="1"/>
  <c r="G2651" i="1"/>
  <c r="H2651" i="1"/>
  <c r="I2651" i="1"/>
  <c r="J2651" i="1"/>
  <c r="K2651" i="1"/>
  <c r="M2651" i="1"/>
  <c r="N2651" i="1"/>
  <c r="P2651" i="1"/>
  <c r="Q2651" i="1"/>
  <c r="R2651" i="1"/>
  <c r="S2651" i="1"/>
  <c r="T2651" i="1"/>
  <c r="Z2651" i="1"/>
  <c r="AL2651" i="1"/>
  <c r="A2652" i="1"/>
  <c r="B2652" i="1"/>
  <c r="C2652" i="1"/>
  <c r="G2652" i="1"/>
  <c r="H2652" i="1"/>
  <c r="I2652" i="1"/>
  <c r="J2652" i="1"/>
  <c r="K2652" i="1"/>
  <c r="M2652" i="1"/>
  <c r="N2652" i="1"/>
  <c r="P2652" i="1"/>
  <c r="Q2652" i="1"/>
  <c r="R2652" i="1"/>
  <c r="S2652" i="1"/>
  <c r="T2652" i="1"/>
  <c r="Z2652" i="1"/>
  <c r="AL2652" i="1"/>
  <c r="A2653" i="1"/>
  <c r="B2653" i="1"/>
  <c r="C2653" i="1"/>
  <c r="G2653" i="1"/>
  <c r="H2653" i="1"/>
  <c r="I2653" i="1"/>
  <c r="J2653" i="1"/>
  <c r="K2653" i="1"/>
  <c r="M2653" i="1"/>
  <c r="N2653" i="1"/>
  <c r="P2653" i="1"/>
  <c r="Q2653" i="1"/>
  <c r="R2653" i="1"/>
  <c r="S2653" i="1"/>
  <c r="T2653" i="1"/>
  <c r="Z2653" i="1"/>
  <c r="AL2653" i="1"/>
  <c r="A2654" i="1"/>
  <c r="B2654" i="1"/>
  <c r="C2654" i="1"/>
  <c r="G2654" i="1"/>
  <c r="H2654" i="1"/>
  <c r="I2654" i="1"/>
  <c r="J2654" i="1"/>
  <c r="K2654" i="1"/>
  <c r="M2654" i="1"/>
  <c r="N2654" i="1"/>
  <c r="P2654" i="1"/>
  <c r="Q2654" i="1"/>
  <c r="R2654" i="1"/>
  <c r="S2654" i="1"/>
  <c r="T2654" i="1"/>
  <c r="Z2654" i="1"/>
  <c r="AL2654" i="1"/>
  <c r="A2655" i="1"/>
  <c r="B2655" i="1"/>
  <c r="C2655" i="1"/>
  <c r="G2655" i="1"/>
  <c r="H2655" i="1"/>
  <c r="I2655" i="1"/>
  <c r="J2655" i="1"/>
  <c r="K2655" i="1"/>
  <c r="M2655" i="1"/>
  <c r="N2655" i="1"/>
  <c r="P2655" i="1"/>
  <c r="Q2655" i="1"/>
  <c r="R2655" i="1"/>
  <c r="S2655" i="1"/>
  <c r="T2655" i="1"/>
  <c r="AL2655" i="1"/>
  <c r="A2656" i="1"/>
  <c r="B2656" i="1"/>
  <c r="C2656" i="1"/>
  <c r="G2656" i="1"/>
  <c r="H2656" i="1"/>
  <c r="I2656" i="1"/>
  <c r="J2656" i="1"/>
  <c r="K2656" i="1"/>
  <c r="M2656" i="1"/>
  <c r="N2656" i="1"/>
  <c r="P2656" i="1"/>
  <c r="Q2656" i="1"/>
  <c r="R2656" i="1"/>
  <c r="S2656" i="1"/>
  <c r="T2656" i="1"/>
  <c r="AL2656" i="1"/>
  <c r="A2657" i="1"/>
  <c r="B2657" i="1"/>
  <c r="C2657" i="1"/>
  <c r="G2657" i="1"/>
  <c r="H2657" i="1"/>
  <c r="I2657" i="1"/>
  <c r="J2657" i="1"/>
  <c r="K2657" i="1"/>
  <c r="M2657" i="1"/>
  <c r="N2657" i="1"/>
  <c r="P2657" i="1"/>
  <c r="Q2657" i="1"/>
  <c r="R2657" i="1"/>
  <c r="S2657" i="1"/>
  <c r="T2657" i="1"/>
  <c r="AL2657" i="1"/>
  <c r="A2658" i="1"/>
  <c r="B2658" i="1"/>
  <c r="C2658" i="1"/>
  <c r="G2658" i="1"/>
  <c r="H2658" i="1"/>
  <c r="I2658" i="1"/>
  <c r="J2658" i="1"/>
  <c r="K2658" i="1"/>
  <c r="M2658" i="1"/>
  <c r="N2658" i="1"/>
  <c r="P2658" i="1"/>
  <c r="Q2658" i="1"/>
  <c r="R2658" i="1"/>
  <c r="S2658" i="1"/>
  <c r="T2658" i="1"/>
  <c r="AL2658" i="1"/>
  <c r="A2659" i="1"/>
  <c r="B2659" i="1"/>
  <c r="C2659" i="1"/>
  <c r="G2659" i="1"/>
  <c r="H2659" i="1"/>
  <c r="I2659" i="1"/>
  <c r="J2659" i="1"/>
  <c r="K2659" i="1"/>
  <c r="M2659" i="1"/>
  <c r="N2659" i="1"/>
  <c r="P2659" i="1"/>
  <c r="Q2659" i="1"/>
  <c r="R2659" i="1"/>
  <c r="S2659" i="1"/>
  <c r="T2659" i="1"/>
  <c r="Z2659" i="1"/>
  <c r="AL2659" i="1"/>
  <c r="A2660" i="1"/>
  <c r="B2660" i="1"/>
  <c r="C2660" i="1"/>
  <c r="G2660" i="1"/>
  <c r="H2660" i="1"/>
  <c r="I2660" i="1"/>
  <c r="J2660" i="1"/>
  <c r="K2660" i="1"/>
  <c r="M2660" i="1"/>
  <c r="N2660" i="1"/>
  <c r="P2660" i="1"/>
  <c r="Q2660" i="1"/>
  <c r="R2660" i="1"/>
  <c r="S2660" i="1"/>
  <c r="T2660" i="1"/>
  <c r="Z2660" i="1"/>
  <c r="AL2660" i="1"/>
  <c r="A2661" i="1"/>
  <c r="B2661" i="1"/>
  <c r="C2661" i="1"/>
  <c r="G2661" i="1"/>
  <c r="H2661" i="1"/>
  <c r="I2661" i="1"/>
  <c r="J2661" i="1"/>
  <c r="K2661" i="1"/>
  <c r="M2661" i="1"/>
  <c r="N2661" i="1"/>
  <c r="P2661" i="1"/>
  <c r="Q2661" i="1"/>
  <c r="R2661" i="1"/>
  <c r="S2661" i="1"/>
  <c r="T2661" i="1"/>
  <c r="Z2661" i="1"/>
  <c r="AL2661" i="1"/>
  <c r="A2662" i="1"/>
  <c r="B2662" i="1"/>
  <c r="C2662" i="1"/>
  <c r="G2662" i="1"/>
  <c r="H2662" i="1"/>
  <c r="I2662" i="1"/>
  <c r="J2662" i="1"/>
  <c r="K2662" i="1"/>
  <c r="M2662" i="1"/>
  <c r="N2662" i="1"/>
  <c r="P2662" i="1"/>
  <c r="Q2662" i="1"/>
  <c r="R2662" i="1"/>
  <c r="S2662" i="1"/>
  <c r="T2662" i="1"/>
  <c r="Z2662" i="1"/>
  <c r="AL2662" i="1"/>
  <c r="A2663" i="1"/>
  <c r="B2663" i="1"/>
  <c r="C2663" i="1"/>
  <c r="G2663" i="1"/>
  <c r="H2663" i="1"/>
  <c r="I2663" i="1"/>
  <c r="J2663" i="1"/>
  <c r="K2663" i="1"/>
  <c r="M2663" i="1"/>
  <c r="N2663" i="1"/>
  <c r="P2663" i="1"/>
  <c r="Q2663" i="1"/>
  <c r="R2663" i="1"/>
  <c r="S2663" i="1"/>
  <c r="T2663" i="1"/>
  <c r="Z2663" i="1"/>
  <c r="AL2663" i="1"/>
  <c r="A2664" i="1"/>
  <c r="B2664" i="1"/>
  <c r="C2664" i="1"/>
  <c r="G2664" i="1"/>
  <c r="H2664" i="1"/>
  <c r="I2664" i="1"/>
  <c r="J2664" i="1"/>
  <c r="K2664" i="1"/>
  <c r="M2664" i="1"/>
  <c r="N2664" i="1"/>
  <c r="P2664" i="1"/>
  <c r="Q2664" i="1"/>
  <c r="R2664" i="1"/>
  <c r="S2664" i="1"/>
  <c r="T2664" i="1"/>
  <c r="AL2664" i="1"/>
  <c r="A2665" i="1"/>
  <c r="B2665" i="1"/>
  <c r="C2665" i="1"/>
  <c r="G2665" i="1"/>
  <c r="H2665" i="1"/>
  <c r="I2665" i="1"/>
  <c r="J2665" i="1"/>
  <c r="K2665" i="1"/>
  <c r="M2665" i="1"/>
  <c r="N2665" i="1"/>
  <c r="P2665" i="1"/>
  <c r="Q2665" i="1"/>
  <c r="R2665" i="1"/>
  <c r="S2665" i="1"/>
  <c r="T2665" i="1"/>
  <c r="AL2665" i="1"/>
  <c r="A2666" i="1"/>
  <c r="B2666" i="1"/>
  <c r="C2666" i="1"/>
  <c r="G2666" i="1"/>
  <c r="H2666" i="1"/>
  <c r="I2666" i="1"/>
  <c r="J2666" i="1"/>
  <c r="K2666" i="1"/>
  <c r="M2666" i="1"/>
  <c r="N2666" i="1"/>
  <c r="P2666" i="1"/>
  <c r="Q2666" i="1"/>
  <c r="R2666" i="1"/>
  <c r="S2666" i="1"/>
  <c r="T2666" i="1"/>
  <c r="AL2666" i="1"/>
  <c r="A2667" i="1"/>
  <c r="B2667" i="1"/>
  <c r="C2667" i="1"/>
  <c r="G2667" i="1"/>
  <c r="H2667" i="1"/>
  <c r="I2667" i="1"/>
  <c r="J2667" i="1"/>
  <c r="K2667" i="1"/>
  <c r="M2667" i="1"/>
  <c r="N2667" i="1"/>
  <c r="P2667" i="1"/>
  <c r="Q2667" i="1"/>
  <c r="R2667" i="1"/>
  <c r="S2667" i="1"/>
  <c r="T2667" i="1"/>
  <c r="AL2667" i="1"/>
  <c r="A2668" i="1"/>
  <c r="B2668" i="1"/>
  <c r="C2668" i="1"/>
  <c r="G2668" i="1"/>
  <c r="H2668" i="1"/>
  <c r="I2668" i="1"/>
  <c r="J2668" i="1"/>
  <c r="K2668" i="1"/>
  <c r="M2668" i="1"/>
  <c r="N2668" i="1"/>
  <c r="P2668" i="1"/>
  <c r="Q2668" i="1"/>
  <c r="R2668" i="1"/>
  <c r="S2668" i="1"/>
  <c r="T2668" i="1"/>
  <c r="Z2668" i="1"/>
  <c r="AL2668" i="1"/>
  <c r="A2669" i="1"/>
  <c r="B2669" i="1"/>
  <c r="C2669" i="1"/>
  <c r="G2669" i="1"/>
  <c r="H2669" i="1"/>
  <c r="I2669" i="1"/>
  <c r="J2669" i="1"/>
  <c r="K2669" i="1"/>
  <c r="M2669" i="1"/>
  <c r="N2669" i="1"/>
  <c r="P2669" i="1"/>
  <c r="Q2669" i="1"/>
  <c r="R2669" i="1"/>
  <c r="S2669" i="1"/>
  <c r="T2669" i="1"/>
  <c r="Z2669" i="1"/>
  <c r="AL2669" i="1"/>
  <c r="A2670" i="1"/>
  <c r="B2670" i="1"/>
  <c r="C2670" i="1"/>
  <c r="G2670" i="1"/>
  <c r="H2670" i="1"/>
  <c r="I2670" i="1"/>
  <c r="J2670" i="1"/>
  <c r="K2670" i="1"/>
  <c r="M2670" i="1"/>
  <c r="N2670" i="1"/>
  <c r="P2670" i="1"/>
  <c r="Q2670" i="1"/>
  <c r="R2670" i="1"/>
  <c r="S2670" i="1"/>
  <c r="T2670" i="1"/>
  <c r="AL2670" i="1"/>
  <c r="A2671" i="1"/>
  <c r="B2671" i="1"/>
  <c r="C2671" i="1"/>
  <c r="G2671" i="1"/>
  <c r="H2671" i="1"/>
  <c r="I2671" i="1"/>
  <c r="J2671" i="1"/>
  <c r="K2671" i="1"/>
  <c r="M2671" i="1"/>
  <c r="N2671" i="1"/>
  <c r="P2671" i="1"/>
  <c r="Q2671" i="1"/>
  <c r="R2671" i="1"/>
  <c r="S2671" i="1"/>
  <c r="T2671" i="1"/>
  <c r="Z2671" i="1"/>
  <c r="AL2671" i="1"/>
  <c r="A2672" i="1"/>
  <c r="B2672" i="1"/>
  <c r="C2672" i="1"/>
  <c r="G2672" i="1"/>
  <c r="H2672" i="1"/>
  <c r="I2672" i="1"/>
  <c r="J2672" i="1"/>
  <c r="K2672" i="1"/>
  <c r="M2672" i="1"/>
  <c r="N2672" i="1"/>
  <c r="P2672" i="1"/>
  <c r="Q2672" i="1"/>
  <c r="R2672" i="1"/>
  <c r="S2672" i="1"/>
  <c r="T2672" i="1"/>
  <c r="Z2672" i="1"/>
  <c r="AL2672" i="1"/>
  <c r="A2673" i="1"/>
  <c r="B2673" i="1"/>
  <c r="C2673" i="1"/>
  <c r="G2673" i="1"/>
  <c r="H2673" i="1"/>
  <c r="I2673" i="1"/>
  <c r="J2673" i="1"/>
  <c r="K2673" i="1"/>
  <c r="M2673" i="1"/>
  <c r="N2673" i="1"/>
  <c r="P2673" i="1"/>
  <c r="Q2673" i="1"/>
  <c r="R2673" i="1"/>
  <c r="S2673" i="1"/>
  <c r="T2673" i="1"/>
  <c r="Z2673" i="1"/>
  <c r="AL2673" i="1"/>
  <c r="A2674" i="1"/>
  <c r="B2674" i="1"/>
  <c r="C2674" i="1"/>
  <c r="G2674" i="1"/>
  <c r="H2674" i="1"/>
  <c r="I2674" i="1"/>
  <c r="J2674" i="1"/>
  <c r="K2674" i="1"/>
  <c r="M2674" i="1"/>
  <c r="N2674" i="1"/>
  <c r="P2674" i="1"/>
  <c r="Q2674" i="1"/>
  <c r="R2674" i="1"/>
  <c r="S2674" i="1"/>
  <c r="T2674" i="1"/>
  <c r="Z2674" i="1"/>
  <c r="AL2674" i="1"/>
  <c r="A2675" i="1"/>
  <c r="B2675" i="1"/>
  <c r="C2675" i="1"/>
  <c r="G2675" i="1"/>
  <c r="H2675" i="1"/>
  <c r="I2675" i="1"/>
  <c r="J2675" i="1"/>
  <c r="K2675" i="1"/>
  <c r="M2675" i="1"/>
  <c r="N2675" i="1"/>
  <c r="P2675" i="1"/>
  <c r="Q2675" i="1"/>
  <c r="R2675" i="1"/>
  <c r="S2675" i="1"/>
  <c r="T2675" i="1"/>
  <c r="Z2675" i="1"/>
  <c r="AL2675" i="1"/>
  <c r="A2676" i="1"/>
  <c r="B2676" i="1"/>
  <c r="C2676" i="1"/>
  <c r="G2676" i="1"/>
  <c r="H2676" i="1"/>
  <c r="I2676" i="1"/>
  <c r="J2676" i="1"/>
  <c r="K2676" i="1"/>
  <c r="M2676" i="1"/>
  <c r="N2676" i="1"/>
  <c r="P2676" i="1"/>
  <c r="Q2676" i="1"/>
  <c r="R2676" i="1"/>
  <c r="S2676" i="1"/>
  <c r="T2676" i="1"/>
  <c r="AL2676" i="1"/>
  <c r="A2677" i="1"/>
  <c r="B2677" i="1"/>
  <c r="C2677" i="1"/>
  <c r="G2677" i="1"/>
  <c r="H2677" i="1"/>
  <c r="I2677" i="1"/>
  <c r="J2677" i="1"/>
  <c r="K2677" i="1"/>
  <c r="M2677" i="1"/>
  <c r="N2677" i="1"/>
  <c r="P2677" i="1"/>
  <c r="Q2677" i="1"/>
  <c r="R2677" i="1"/>
  <c r="S2677" i="1"/>
  <c r="T2677" i="1"/>
  <c r="Z2677" i="1"/>
  <c r="AL2677" i="1"/>
  <c r="A2678" i="1"/>
  <c r="B2678" i="1"/>
  <c r="C2678" i="1"/>
  <c r="G2678" i="1"/>
  <c r="H2678" i="1"/>
  <c r="I2678" i="1"/>
  <c r="J2678" i="1"/>
  <c r="K2678" i="1"/>
  <c r="M2678" i="1"/>
  <c r="N2678" i="1"/>
  <c r="P2678" i="1"/>
  <c r="Q2678" i="1"/>
  <c r="R2678" i="1"/>
  <c r="S2678" i="1"/>
  <c r="T2678" i="1"/>
  <c r="Z2678" i="1"/>
  <c r="AL2678" i="1"/>
  <c r="A2679" i="1"/>
  <c r="B2679" i="1"/>
  <c r="C2679" i="1"/>
  <c r="G2679" i="1"/>
  <c r="H2679" i="1"/>
  <c r="I2679" i="1"/>
  <c r="J2679" i="1"/>
  <c r="K2679" i="1"/>
  <c r="M2679" i="1"/>
  <c r="N2679" i="1"/>
  <c r="P2679" i="1"/>
  <c r="Q2679" i="1"/>
  <c r="R2679" i="1"/>
  <c r="S2679" i="1"/>
  <c r="T2679" i="1"/>
  <c r="AL2679" i="1"/>
  <c r="A2680" i="1"/>
  <c r="B2680" i="1"/>
  <c r="C2680" i="1"/>
  <c r="G2680" i="1"/>
  <c r="H2680" i="1"/>
  <c r="I2680" i="1"/>
  <c r="J2680" i="1"/>
  <c r="K2680" i="1"/>
  <c r="M2680" i="1"/>
  <c r="N2680" i="1"/>
  <c r="P2680" i="1"/>
  <c r="Q2680" i="1"/>
  <c r="R2680" i="1"/>
  <c r="S2680" i="1"/>
  <c r="T2680" i="1"/>
  <c r="Z2680" i="1"/>
  <c r="AL2680" i="1"/>
  <c r="A2681" i="1"/>
  <c r="B2681" i="1"/>
  <c r="C2681" i="1"/>
  <c r="G2681" i="1"/>
  <c r="H2681" i="1"/>
  <c r="I2681" i="1"/>
  <c r="J2681" i="1"/>
  <c r="K2681" i="1"/>
  <c r="M2681" i="1"/>
  <c r="N2681" i="1"/>
  <c r="P2681" i="1"/>
  <c r="Q2681" i="1"/>
  <c r="R2681" i="1"/>
  <c r="S2681" i="1"/>
  <c r="T2681" i="1"/>
  <c r="Z2681" i="1"/>
  <c r="AL2681" i="1"/>
  <c r="A2682" i="1"/>
  <c r="B2682" i="1"/>
  <c r="C2682" i="1"/>
  <c r="G2682" i="1"/>
  <c r="H2682" i="1"/>
  <c r="I2682" i="1"/>
  <c r="J2682" i="1"/>
  <c r="K2682" i="1"/>
  <c r="M2682" i="1"/>
  <c r="N2682" i="1"/>
  <c r="P2682" i="1"/>
  <c r="Q2682" i="1"/>
  <c r="R2682" i="1"/>
  <c r="S2682" i="1"/>
  <c r="T2682" i="1"/>
  <c r="AL2682" i="1"/>
  <c r="A2683" i="1"/>
  <c r="B2683" i="1"/>
  <c r="C2683" i="1"/>
  <c r="G2683" i="1"/>
  <c r="H2683" i="1"/>
  <c r="I2683" i="1"/>
  <c r="J2683" i="1"/>
  <c r="K2683" i="1"/>
  <c r="M2683" i="1"/>
  <c r="N2683" i="1"/>
  <c r="P2683" i="1"/>
  <c r="Q2683" i="1"/>
  <c r="R2683" i="1"/>
  <c r="S2683" i="1"/>
  <c r="T2683" i="1"/>
  <c r="AL2683" i="1"/>
  <c r="A2684" i="1"/>
  <c r="B2684" i="1"/>
  <c r="C2684" i="1"/>
  <c r="G2684" i="1"/>
  <c r="H2684" i="1"/>
  <c r="I2684" i="1"/>
  <c r="J2684" i="1"/>
  <c r="K2684" i="1"/>
  <c r="M2684" i="1"/>
  <c r="N2684" i="1"/>
  <c r="P2684" i="1"/>
  <c r="Q2684" i="1"/>
  <c r="R2684" i="1"/>
  <c r="S2684" i="1"/>
  <c r="T2684" i="1"/>
  <c r="AL2684" i="1"/>
  <c r="A2685" i="1"/>
  <c r="B2685" i="1"/>
  <c r="C2685" i="1"/>
  <c r="G2685" i="1"/>
  <c r="H2685" i="1"/>
  <c r="I2685" i="1"/>
  <c r="J2685" i="1"/>
  <c r="K2685" i="1"/>
  <c r="M2685" i="1"/>
  <c r="N2685" i="1"/>
  <c r="P2685" i="1"/>
  <c r="Q2685" i="1"/>
  <c r="R2685" i="1"/>
  <c r="S2685" i="1"/>
  <c r="T2685" i="1"/>
  <c r="AL2685" i="1"/>
  <c r="A2686" i="1"/>
  <c r="B2686" i="1"/>
  <c r="C2686" i="1"/>
  <c r="G2686" i="1"/>
  <c r="H2686" i="1"/>
  <c r="I2686" i="1"/>
  <c r="J2686" i="1"/>
  <c r="K2686" i="1"/>
  <c r="M2686" i="1"/>
  <c r="N2686" i="1"/>
  <c r="P2686" i="1"/>
  <c r="Q2686" i="1"/>
  <c r="R2686" i="1"/>
  <c r="S2686" i="1"/>
  <c r="T2686" i="1"/>
  <c r="AL2686" i="1"/>
  <c r="A2687" i="1"/>
  <c r="B2687" i="1"/>
  <c r="C2687" i="1"/>
  <c r="G2687" i="1"/>
  <c r="H2687" i="1"/>
  <c r="I2687" i="1"/>
  <c r="J2687" i="1"/>
  <c r="K2687" i="1"/>
  <c r="P2687" i="1"/>
  <c r="Q2687" i="1"/>
  <c r="R2687" i="1"/>
  <c r="S2687" i="1"/>
  <c r="T2687" i="1"/>
  <c r="AL2687" i="1"/>
  <c r="A2688" i="1"/>
  <c r="B2688" i="1"/>
  <c r="C2688" i="1"/>
  <c r="G2688" i="1"/>
  <c r="H2688" i="1"/>
  <c r="J2688" i="1"/>
  <c r="K2688" i="1"/>
  <c r="P2688" i="1"/>
  <c r="Q2688" i="1"/>
  <c r="R2688" i="1"/>
  <c r="T2688" i="1"/>
  <c r="Z2688" i="1"/>
  <c r="AL2688" i="1"/>
  <c r="A2689" i="1"/>
  <c r="B2689" i="1"/>
  <c r="C2689" i="1"/>
  <c r="G2689" i="1"/>
  <c r="H2689" i="1"/>
  <c r="J2689" i="1"/>
  <c r="K2689" i="1"/>
  <c r="P2689" i="1"/>
  <c r="Q2689" i="1"/>
  <c r="R2689" i="1"/>
  <c r="T2689" i="1"/>
  <c r="Z2689" i="1"/>
  <c r="AL2689" i="1"/>
  <c r="A2690" i="1"/>
  <c r="B2690" i="1"/>
  <c r="C2690" i="1"/>
  <c r="G2690" i="1"/>
  <c r="H2690" i="1"/>
  <c r="I2690" i="1"/>
  <c r="J2690" i="1"/>
  <c r="K2690" i="1"/>
  <c r="M2690" i="1"/>
  <c r="N2690" i="1"/>
  <c r="P2690" i="1"/>
  <c r="Q2690" i="1"/>
  <c r="R2690" i="1"/>
  <c r="S2690" i="1"/>
  <c r="T2690" i="1"/>
  <c r="Z2690" i="1"/>
  <c r="AL2690" i="1"/>
  <c r="A2691" i="1"/>
  <c r="B2691" i="1"/>
  <c r="C2691" i="1"/>
  <c r="G2691" i="1"/>
  <c r="H2691" i="1"/>
  <c r="I2691" i="1"/>
  <c r="J2691" i="1"/>
  <c r="K2691" i="1"/>
  <c r="M2691" i="1"/>
  <c r="N2691" i="1"/>
  <c r="P2691" i="1"/>
  <c r="Q2691" i="1"/>
  <c r="R2691" i="1"/>
  <c r="S2691" i="1"/>
  <c r="T2691" i="1"/>
  <c r="Z2691" i="1"/>
  <c r="AL2691" i="1"/>
  <c r="A2692" i="1"/>
  <c r="B2692" i="1"/>
  <c r="C2692" i="1"/>
  <c r="G2692" i="1"/>
  <c r="H2692" i="1"/>
  <c r="I2692" i="1"/>
  <c r="J2692" i="1"/>
  <c r="K2692" i="1"/>
  <c r="M2692" i="1"/>
  <c r="N2692" i="1"/>
  <c r="P2692" i="1"/>
  <c r="Q2692" i="1"/>
  <c r="R2692" i="1"/>
  <c r="S2692" i="1"/>
  <c r="T2692" i="1"/>
  <c r="AL2692" i="1"/>
  <c r="A2693" i="1"/>
  <c r="B2693" i="1"/>
  <c r="C2693" i="1"/>
  <c r="G2693" i="1"/>
  <c r="H2693" i="1"/>
  <c r="I2693" i="1"/>
  <c r="J2693" i="1"/>
  <c r="K2693" i="1"/>
  <c r="M2693" i="1"/>
  <c r="N2693" i="1"/>
  <c r="P2693" i="1"/>
  <c r="Q2693" i="1"/>
  <c r="R2693" i="1"/>
  <c r="S2693" i="1"/>
  <c r="T2693" i="1"/>
  <c r="Z2693" i="1"/>
  <c r="AL2693" i="1"/>
  <c r="A2694" i="1"/>
  <c r="B2694" i="1"/>
  <c r="C2694" i="1"/>
  <c r="G2694" i="1"/>
  <c r="H2694" i="1"/>
  <c r="I2694" i="1"/>
  <c r="J2694" i="1"/>
  <c r="K2694" i="1"/>
  <c r="M2694" i="1"/>
  <c r="N2694" i="1"/>
  <c r="P2694" i="1"/>
  <c r="Q2694" i="1"/>
  <c r="R2694" i="1"/>
  <c r="S2694" i="1"/>
  <c r="T2694" i="1"/>
  <c r="Z2694" i="1"/>
  <c r="AL2694" i="1"/>
  <c r="A2695" i="1"/>
  <c r="B2695" i="1"/>
  <c r="C2695" i="1"/>
  <c r="G2695" i="1"/>
  <c r="H2695" i="1"/>
  <c r="I2695" i="1"/>
  <c r="J2695" i="1"/>
  <c r="K2695" i="1"/>
  <c r="M2695" i="1"/>
  <c r="N2695" i="1"/>
  <c r="P2695" i="1"/>
  <c r="Q2695" i="1"/>
  <c r="R2695" i="1"/>
  <c r="S2695" i="1"/>
  <c r="T2695" i="1"/>
  <c r="Z2695" i="1"/>
  <c r="AL2695" i="1"/>
  <c r="A2696" i="1"/>
  <c r="B2696" i="1"/>
  <c r="C2696" i="1"/>
  <c r="G2696" i="1"/>
  <c r="H2696" i="1"/>
  <c r="I2696" i="1"/>
  <c r="J2696" i="1"/>
  <c r="K2696" i="1"/>
  <c r="M2696" i="1"/>
  <c r="N2696" i="1"/>
  <c r="P2696" i="1"/>
  <c r="Q2696" i="1"/>
  <c r="R2696" i="1"/>
  <c r="S2696" i="1"/>
  <c r="T2696" i="1"/>
  <c r="AL2696" i="1"/>
  <c r="A2697" i="1"/>
  <c r="B2697" i="1"/>
  <c r="C2697" i="1"/>
  <c r="G2697" i="1"/>
  <c r="H2697" i="1"/>
  <c r="I2697" i="1"/>
  <c r="J2697" i="1"/>
  <c r="K2697" i="1"/>
  <c r="P2697" i="1"/>
  <c r="Q2697" i="1"/>
  <c r="R2697" i="1"/>
  <c r="S2697" i="1"/>
  <c r="T2697" i="1"/>
  <c r="AL2697" i="1"/>
  <c r="A2698" i="1"/>
  <c r="B2698" i="1"/>
  <c r="C2698" i="1"/>
  <c r="G2698" i="1"/>
  <c r="H2698" i="1"/>
  <c r="I2698" i="1"/>
  <c r="J2698" i="1"/>
  <c r="K2698" i="1"/>
  <c r="M2698" i="1"/>
  <c r="N2698" i="1"/>
  <c r="P2698" i="1"/>
  <c r="Q2698" i="1"/>
  <c r="R2698" i="1"/>
  <c r="S2698" i="1"/>
  <c r="T2698" i="1"/>
  <c r="AL2698" i="1"/>
  <c r="A2699" i="1"/>
  <c r="B2699" i="1"/>
  <c r="C2699" i="1"/>
  <c r="G2699" i="1"/>
  <c r="H2699" i="1"/>
  <c r="I2699" i="1"/>
  <c r="J2699" i="1"/>
  <c r="K2699" i="1"/>
  <c r="M2699" i="1"/>
  <c r="N2699" i="1"/>
  <c r="P2699" i="1"/>
  <c r="Q2699" i="1"/>
  <c r="R2699" i="1"/>
  <c r="S2699" i="1"/>
  <c r="T2699" i="1"/>
  <c r="Z2699" i="1"/>
  <c r="AL2699" i="1"/>
  <c r="A2700" i="1"/>
  <c r="B2700" i="1"/>
  <c r="C2700" i="1"/>
  <c r="G2700" i="1"/>
  <c r="H2700" i="1"/>
  <c r="I2700" i="1"/>
  <c r="J2700" i="1"/>
  <c r="K2700" i="1"/>
  <c r="M2700" i="1"/>
  <c r="N2700" i="1"/>
  <c r="P2700" i="1"/>
  <c r="Q2700" i="1"/>
  <c r="R2700" i="1"/>
  <c r="S2700" i="1"/>
  <c r="T2700" i="1"/>
  <c r="Z2700" i="1"/>
  <c r="AL2700" i="1"/>
  <c r="A2701" i="1"/>
  <c r="B2701" i="1"/>
  <c r="C2701" i="1"/>
  <c r="G2701" i="1"/>
  <c r="H2701" i="1"/>
  <c r="I2701" i="1"/>
  <c r="J2701" i="1"/>
  <c r="K2701" i="1"/>
  <c r="M2701" i="1"/>
  <c r="N2701" i="1"/>
  <c r="P2701" i="1"/>
  <c r="Q2701" i="1"/>
  <c r="R2701" i="1"/>
  <c r="S2701" i="1"/>
  <c r="T2701" i="1"/>
  <c r="AL2701" i="1"/>
  <c r="A2702" i="1"/>
  <c r="B2702" i="1"/>
  <c r="C2702" i="1"/>
  <c r="G2702" i="1"/>
  <c r="H2702" i="1"/>
  <c r="I2702" i="1"/>
  <c r="J2702" i="1"/>
  <c r="K2702" i="1"/>
  <c r="M2702" i="1"/>
  <c r="N2702" i="1"/>
  <c r="P2702" i="1"/>
  <c r="Q2702" i="1"/>
  <c r="R2702" i="1"/>
  <c r="S2702" i="1"/>
  <c r="T2702" i="1"/>
  <c r="Z2702" i="1"/>
  <c r="AL2702" i="1"/>
  <c r="A2703" i="1"/>
  <c r="B2703" i="1"/>
  <c r="C2703" i="1"/>
  <c r="G2703" i="1"/>
  <c r="H2703" i="1"/>
  <c r="I2703" i="1"/>
  <c r="J2703" i="1"/>
  <c r="K2703" i="1"/>
  <c r="M2703" i="1"/>
  <c r="N2703" i="1"/>
  <c r="P2703" i="1"/>
  <c r="Q2703" i="1"/>
  <c r="R2703" i="1"/>
  <c r="S2703" i="1"/>
  <c r="T2703" i="1"/>
  <c r="AL2703" i="1"/>
  <c r="A2704" i="1"/>
  <c r="B2704" i="1"/>
  <c r="C2704" i="1"/>
  <c r="G2704" i="1"/>
  <c r="H2704" i="1"/>
  <c r="I2704" i="1"/>
  <c r="J2704" i="1"/>
  <c r="K2704" i="1"/>
  <c r="M2704" i="1"/>
  <c r="N2704" i="1"/>
  <c r="P2704" i="1"/>
  <c r="Q2704" i="1"/>
  <c r="R2704" i="1"/>
  <c r="S2704" i="1"/>
  <c r="T2704" i="1"/>
  <c r="Z2704" i="1"/>
  <c r="AL2704" i="1"/>
  <c r="A2705" i="1"/>
  <c r="B2705" i="1"/>
  <c r="C2705" i="1"/>
  <c r="G2705" i="1"/>
  <c r="H2705" i="1"/>
  <c r="I2705" i="1"/>
  <c r="J2705" i="1"/>
  <c r="K2705" i="1"/>
  <c r="M2705" i="1"/>
  <c r="N2705" i="1"/>
  <c r="P2705" i="1"/>
  <c r="Q2705" i="1"/>
  <c r="R2705" i="1"/>
  <c r="S2705" i="1"/>
  <c r="T2705" i="1"/>
  <c r="Z2705" i="1"/>
  <c r="AL2705" i="1"/>
  <c r="A2706" i="1"/>
  <c r="B2706" i="1"/>
  <c r="C2706" i="1"/>
  <c r="G2706" i="1"/>
  <c r="H2706" i="1"/>
  <c r="I2706" i="1"/>
  <c r="J2706" i="1"/>
  <c r="K2706" i="1"/>
  <c r="M2706" i="1"/>
  <c r="N2706" i="1"/>
  <c r="P2706" i="1"/>
  <c r="Q2706" i="1"/>
  <c r="R2706" i="1"/>
  <c r="S2706" i="1"/>
  <c r="T2706" i="1"/>
  <c r="AL2706" i="1"/>
  <c r="A2707" i="1"/>
  <c r="B2707" i="1"/>
  <c r="C2707" i="1"/>
  <c r="G2707" i="1"/>
  <c r="H2707" i="1"/>
  <c r="I2707" i="1"/>
  <c r="J2707" i="1"/>
  <c r="K2707" i="1"/>
  <c r="M2707" i="1"/>
  <c r="N2707" i="1"/>
  <c r="P2707" i="1"/>
  <c r="Q2707" i="1"/>
  <c r="R2707" i="1"/>
  <c r="S2707" i="1"/>
  <c r="T2707" i="1"/>
  <c r="Z2707" i="1"/>
  <c r="AL2707" i="1"/>
  <c r="A2708" i="1"/>
  <c r="B2708" i="1"/>
  <c r="C2708" i="1"/>
  <c r="G2708" i="1"/>
  <c r="H2708" i="1"/>
  <c r="I2708" i="1"/>
  <c r="J2708" i="1"/>
  <c r="K2708" i="1"/>
  <c r="M2708" i="1"/>
  <c r="N2708" i="1"/>
  <c r="P2708" i="1"/>
  <c r="Q2708" i="1"/>
  <c r="R2708" i="1"/>
  <c r="S2708" i="1"/>
  <c r="T2708" i="1"/>
  <c r="Z2708" i="1"/>
  <c r="AL2708" i="1"/>
  <c r="A2709" i="1"/>
  <c r="B2709" i="1"/>
  <c r="C2709" i="1"/>
  <c r="G2709" i="1"/>
  <c r="H2709" i="1"/>
  <c r="I2709" i="1"/>
  <c r="J2709" i="1"/>
  <c r="K2709" i="1"/>
  <c r="M2709" i="1"/>
  <c r="N2709" i="1"/>
  <c r="P2709" i="1"/>
  <c r="Q2709" i="1"/>
  <c r="R2709" i="1"/>
  <c r="S2709" i="1"/>
  <c r="T2709" i="1"/>
  <c r="Z2709" i="1"/>
  <c r="AL2709" i="1"/>
  <c r="A2710" i="1"/>
  <c r="B2710" i="1"/>
  <c r="C2710" i="1"/>
  <c r="G2710" i="1"/>
  <c r="H2710" i="1"/>
  <c r="I2710" i="1"/>
  <c r="J2710" i="1"/>
  <c r="K2710" i="1"/>
  <c r="M2710" i="1"/>
  <c r="N2710" i="1"/>
  <c r="P2710" i="1"/>
  <c r="Q2710" i="1"/>
  <c r="R2710" i="1"/>
  <c r="S2710" i="1"/>
  <c r="T2710" i="1"/>
  <c r="AL2710" i="1"/>
  <c r="A2711" i="1"/>
  <c r="B2711" i="1"/>
  <c r="C2711" i="1"/>
  <c r="G2711" i="1"/>
  <c r="H2711" i="1"/>
  <c r="I2711" i="1"/>
  <c r="J2711" i="1"/>
  <c r="K2711" i="1"/>
  <c r="M2711" i="1"/>
  <c r="N2711" i="1"/>
  <c r="P2711" i="1"/>
  <c r="Q2711" i="1"/>
  <c r="R2711" i="1"/>
  <c r="S2711" i="1"/>
  <c r="T2711" i="1"/>
  <c r="AL2711" i="1"/>
  <c r="A2712" i="1"/>
  <c r="B2712" i="1"/>
  <c r="C2712" i="1"/>
  <c r="G2712" i="1"/>
  <c r="H2712" i="1"/>
  <c r="I2712" i="1"/>
  <c r="J2712" i="1"/>
  <c r="K2712" i="1"/>
  <c r="M2712" i="1"/>
  <c r="N2712" i="1"/>
  <c r="P2712" i="1"/>
  <c r="Q2712" i="1"/>
  <c r="R2712" i="1"/>
  <c r="S2712" i="1"/>
  <c r="T2712" i="1"/>
  <c r="AL2712" i="1"/>
  <c r="A2713" i="1"/>
  <c r="B2713" i="1"/>
  <c r="C2713" i="1"/>
  <c r="G2713" i="1"/>
  <c r="H2713" i="1"/>
  <c r="I2713" i="1"/>
  <c r="J2713" i="1"/>
  <c r="K2713" i="1"/>
  <c r="M2713" i="1"/>
  <c r="N2713" i="1"/>
  <c r="P2713" i="1"/>
  <c r="Q2713" i="1"/>
  <c r="R2713" i="1"/>
  <c r="S2713" i="1"/>
  <c r="T2713" i="1"/>
  <c r="AL2713" i="1"/>
  <c r="A2714" i="1"/>
  <c r="B2714" i="1"/>
  <c r="C2714" i="1"/>
  <c r="G2714" i="1"/>
  <c r="H2714" i="1"/>
  <c r="I2714" i="1"/>
  <c r="J2714" i="1"/>
  <c r="K2714" i="1"/>
  <c r="M2714" i="1"/>
  <c r="N2714" i="1"/>
  <c r="P2714" i="1"/>
  <c r="Q2714" i="1"/>
  <c r="R2714" i="1"/>
  <c r="S2714" i="1"/>
  <c r="T2714" i="1"/>
  <c r="AL2714" i="1"/>
  <c r="A2715" i="1"/>
  <c r="B2715" i="1"/>
  <c r="C2715" i="1"/>
  <c r="G2715" i="1"/>
  <c r="H2715" i="1"/>
  <c r="I2715" i="1"/>
  <c r="J2715" i="1"/>
  <c r="K2715" i="1"/>
  <c r="M2715" i="1"/>
  <c r="N2715" i="1"/>
  <c r="P2715" i="1"/>
  <c r="Q2715" i="1"/>
  <c r="R2715" i="1"/>
  <c r="S2715" i="1"/>
  <c r="T2715" i="1"/>
  <c r="AL2715" i="1"/>
  <c r="A2716" i="1"/>
  <c r="B2716" i="1"/>
  <c r="C2716" i="1"/>
  <c r="G2716" i="1"/>
  <c r="H2716" i="1"/>
  <c r="I2716" i="1"/>
  <c r="J2716" i="1"/>
  <c r="K2716" i="1"/>
  <c r="M2716" i="1"/>
  <c r="N2716" i="1"/>
  <c r="P2716" i="1"/>
  <c r="Q2716" i="1"/>
  <c r="R2716" i="1"/>
  <c r="S2716" i="1"/>
  <c r="T2716" i="1"/>
  <c r="AL2716" i="1"/>
  <c r="A2717" i="1"/>
  <c r="B2717" i="1"/>
  <c r="C2717" i="1"/>
  <c r="G2717" i="1"/>
  <c r="H2717" i="1"/>
  <c r="I2717" i="1"/>
  <c r="J2717" i="1"/>
  <c r="K2717" i="1"/>
  <c r="M2717" i="1"/>
  <c r="N2717" i="1"/>
  <c r="P2717" i="1"/>
  <c r="Q2717" i="1"/>
  <c r="R2717" i="1"/>
  <c r="S2717" i="1"/>
  <c r="T2717" i="1"/>
  <c r="AL2717" i="1"/>
  <c r="A2718" i="1"/>
  <c r="B2718" i="1"/>
  <c r="C2718" i="1"/>
  <c r="G2718" i="1"/>
  <c r="H2718" i="1"/>
  <c r="I2718" i="1"/>
  <c r="J2718" i="1"/>
  <c r="K2718" i="1"/>
  <c r="M2718" i="1"/>
  <c r="N2718" i="1"/>
  <c r="P2718" i="1"/>
  <c r="Q2718" i="1"/>
  <c r="R2718" i="1"/>
  <c r="S2718" i="1"/>
  <c r="T2718" i="1"/>
  <c r="AL2718" i="1"/>
  <c r="A2719" i="1"/>
  <c r="B2719" i="1"/>
  <c r="C2719" i="1"/>
  <c r="G2719" i="1"/>
  <c r="H2719" i="1"/>
  <c r="I2719" i="1"/>
  <c r="J2719" i="1"/>
  <c r="K2719" i="1"/>
  <c r="M2719" i="1"/>
  <c r="N2719" i="1"/>
  <c r="P2719" i="1"/>
  <c r="Q2719" i="1"/>
  <c r="R2719" i="1"/>
  <c r="S2719" i="1"/>
  <c r="T2719" i="1"/>
  <c r="AL2719" i="1"/>
  <c r="A2720" i="1"/>
  <c r="B2720" i="1"/>
  <c r="C2720" i="1"/>
  <c r="G2720" i="1"/>
  <c r="H2720" i="1"/>
  <c r="I2720" i="1"/>
  <c r="J2720" i="1"/>
  <c r="K2720" i="1"/>
  <c r="M2720" i="1"/>
  <c r="N2720" i="1"/>
  <c r="P2720" i="1"/>
  <c r="Q2720" i="1"/>
  <c r="R2720" i="1"/>
  <c r="S2720" i="1"/>
  <c r="T2720" i="1"/>
  <c r="AL2720" i="1"/>
  <c r="A2721" i="1"/>
  <c r="B2721" i="1"/>
  <c r="C2721" i="1"/>
  <c r="G2721" i="1"/>
  <c r="H2721" i="1"/>
  <c r="I2721" i="1"/>
  <c r="J2721" i="1"/>
  <c r="K2721" i="1"/>
  <c r="M2721" i="1"/>
  <c r="N2721" i="1"/>
  <c r="P2721" i="1"/>
  <c r="Q2721" i="1"/>
  <c r="R2721" i="1"/>
  <c r="S2721" i="1"/>
  <c r="T2721" i="1"/>
  <c r="AL2721" i="1"/>
  <c r="A2722" i="1"/>
  <c r="B2722" i="1"/>
  <c r="C2722" i="1"/>
  <c r="G2722" i="1"/>
  <c r="H2722" i="1"/>
  <c r="I2722" i="1"/>
  <c r="J2722" i="1"/>
  <c r="K2722" i="1"/>
  <c r="M2722" i="1"/>
  <c r="N2722" i="1"/>
  <c r="P2722" i="1"/>
  <c r="Q2722" i="1"/>
  <c r="R2722" i="1"/>
  <c r="S2722" i="1"/>
  <c r="T2722" i="1"/>
  <c r="AL2722" i="1"/>
  <c r="A2723" i="1"/>
  <c r="B2723" i="1"/>
  <c r="C2723" i="1"/>
  <c r="G2723" i="1"/>
  <c r="H2723" i="1"/>
  <c r="I2723" i="1"/>
  <c r="J2723" i="1"/>
  <c r="K2723" i="1"/>
  <c r="M2723" i="1"/>
  <c r="N2723" i="1"/>
  <c r="P2723" i="1"/>
  <c r="Q2723" i="1"/>
  <c r="R2723" i="1"/>
  <c r="S2723" i="1"/>
  <c r="T2723" i="1"/>
  <c r="AL2723" i="1"/>
  <c r="A2724" i="1"/>
  <c r="B2724" i="1"/>
  <c r="C2724" i="1"/>
  <c r="G2724" i="1"/>
  <c r="H2724" i="1"/>
  <c r="I2724" i="1"/>
  <c r="J2724" i="1"/>
  <c r="K2724" i="1"/>
  <c r="M2724" i="1"/>
  <c r="N2724" i="1"/>
  <c r="P2724" i="1"/>
  <c r="Q2724" i="1"/>
  <c r="R2724" i="1"/>
  <c r="S2724" i="1"/>
  <c r="T2724" i="1"/>
  <c r="AL2724" i="1"/>
  <c r="A2725" i="1"/>
  <c r="B2725" i="1"/>
  <c r="C2725" i="1"/>
  <c r="G2725" i="1"/>
  <c r="H2725" i="1"/>
  <c r="I2725" i="1"/>
  <c r="J2725" i="1"/>
  <c r="K2725" i="1"/>
  <c r="M2725" i="1"/>
  <c r="N2725" i="1"/>
  <c r="P2725" i="1"/>
  <c r="Q2725" i="1"/>
  <c r="R2725" i="1"/>
  <c r="S2725" i="1"/>
  <c r="T2725" i="1"/>
  <c r="AL2725" i="1"/>
  <c r="A2726" i="1"/>
  <c r="B2726" i="1"/>
  <c r="C2726" i="1"/>
  <c r="G2726" i="1"/>
  <c r="H2726" i="1"/>
  <c r="I2726" i="1"/>
  <c r="J2726" i="1"/>
  <c r="K2726" i="1"/>
  <c r="M2726" i="1"/>
  <c r="N2726" i="1"/>
  <c r="P2726" i="1"/>
  <c r="Q2726" i="1"/>
  <c r="R2726" i="1"/>
  <c r="S2726" i="1"/>
  <c r="T2726" i="1"/>
  <c r="AL2726" i="1"/>
  <c r="A2727" i="1"/>
  <c r="B2727" i="1"/>
  <c r="C2727" i="1"/>
  <c r="G2727" i="1"/>
  <c r="H2727" i="1"/>
  <c r="I2727" i="1"/>
  <c r="J2727" i="1"/>
  <c r="K2727" i="1"/>
  <c r="M2727" i="1"/>
  <c r="N2727" i="1"/>
  <c r="P2727" i="1"/>
  <c r="Q2727" i="1"/>
  <c r="R2727" i="1"/>
  <c r="S2727" i="1"/>
  <c r="T2727" i="1"/>
  <c r="AL2727" i="1"/>
  <c r="A2728" i="1"/>
  <c r="B2728" i="1"/>
  <c r="C2728" i="1"/>
  <c r="G2728" i="1"/>
  <c r="H2728" i="1"/>
  <c r="I2728" i="1"/>
  <c r="J2728" i="1"/>
  <c r="K2728" i="1"/>
  <c r="M2728" i="1"/>
  <c r="N2728" i="1"/>
  <c r="P2728" i="1"/>
  <c r="Q2728" i="1"/>
  <c r="R2728" i="1"/>
  <c r="S2728" i="1"/>
  <c r="T2728" i="1"/>
  <c r="Z2728" i="1"/>
  <c r="AL2728" i="1"/>
  <c r="A2729" i="1"/>
  <c r="B2729" i="1"/>
  <c r="C2729" i="1"/>
  <c r="G2729" i="1"/>
  <c r="H2729" i="1"/>
  <c r="I2729" i="1"/>
  <c r="J2729" i="1"/>
  <c r="K2729" i="1"/>
  <c r="M2729" i="1"/>
  <c r="N2729" i="1"/>
  <c r="P2729" i="1"/>
  <c r="Q2729" i="1"/>
  <c r="R2729" i="1"/>
  <c r="S2729" i="1"/>
  <c r="T2729" i="1"/>
  <c r="Z2729" i="1"/>
  <c r="AL2729" i="1"/>
  <c r="A2730" i="1"/>
  <c r="B2730" i="1"/>
  <c r="C2730" i="1"/>
  <c r="G2730" i="1"/>
  <c r="H2730" i="1"/>
  <c r="I2730" i="1"/>
  <c r="J2730" i="1"/>
  <c r="K2730" i="1"/>
  <c r="M2730" i="1"/>
  <c r="N2730" i="1"/>
  <c r="P2730" i="1"/>
  <c r="Q2730" i="1"/>
  <c r="R2730" i="1"/>
  <c r="S2730" i="1"/>
  <c r="T2730" i="1"/>
  <c r="Z2730" i="1"/>
  <c r="AL2730" i="1"/>
  <c r="A2731" i="1"/>
  <c r="B2731" i="1"/>
  <c r="C2731" i="1"/>
  <c r="G2731" i="1"/>
  <c r="H2731" i="1"/>
  <c r="I2731" i="1"/>
  <c r="J2731" i="1"/>
  <c r="K2731" i="1"/>
  <c r="M2731" i="1"/>
  <c r="N2731" i="1"/>
  <c r="P2731" i="1"/>
  <c r="Q2731" i="1"/>
  <c r="R2731" i="1"/>
  <c r="S2731" i="1"/>
  <c r="T2731" i="1"/>
  <c r="AL2731" i="1"/>
  <c r="A2732" i="1"/>
  <c r="B2732" i="1"/>
  <c r="C2732" i="1"/>
  <c r="G2732" i="1"/>
  <c r="H2732" i="1"/>
  <c r="I2732" i="1"/>
  <c r="J2732" i="1"/>
  <c r="K2732" i="1"/>
  <c r="M2732" i="1"/>
  <c r="N2732" i="1"/>
  <c r="P2732" i="1"/>
  <c r="Q2732" i="1"/>
  <c r="R2732" i="1"/>
  <c r="S2732" i="1"/>
  <c r="T2732" i="1"/>
  <c r="Z2732" i="1"/>
  <c r="AL2732" i="1"/>
  <c r="A2733" i="1"/>
  <c r="B2733" i="1"/>
  <c r="C2733" i="1"/>
  <c r="G2733" i="1"/>
  <c r="H2733" i="1"/>
  <c r="I2733" i="1"/>
  <c r="J2733" i="1"/>
  <c r="K2733" i="1"/>
  <c r="P2733" i="1"/>
  <c r="Q2733" i="1"/>
  <c r="R2733" i="1"/>
  <c r="S2733" i="1"/>
  <c r="T2733" i="1"/>
  <c r="AL2733" i="1"/>
  <c r="A2734" i="1"/>
  <c r="B2734" i="1"/>
  <c r="C2734" i="1"/>
  <c r="G2734" i="1"/>
  <c r="H2734" i="1"/>
  <c r="I2734" i="1"/>
  <c r="J2734" i="1"/>
  <c r="K2734" i="1"/>
  <c r="P2734" i="1"/>
  <c r="Q2734" i="1"/>
  <c r="R2734" i="1"/>
  <c r="S2734" i="1"/>
  <c r="T2734" i="1"/>
  <c r="AL2734" i="1"/>
  <c r="A2735" i="1"/>
  <c r="B2735" i="1"/>
  <c r="C2735" i="1"/>
  <c r="G2735" i="1"/>
  <c r="H2735" i="1"/>
  <c r="I2735" i="1"/>
  <c r="J2735" i="1"/>
  <c r="K2735" i="1"/>
  <c r="P2735" i="1"/>
  <c r="Q2735" i="1"/>
  <c r="R2735" i="1"/>
  <c r="S2735" i="1"/>
  <c r="T2735" i="1"/>
  <c r="AL2735" i="1"/>
  <c r="A2736" i="1"/>
  <c r="B2736" i="1"/>
  <c r="C2736" i="1"/>
  <c r="G2736" i="1"/>
  <c r="H2736" i="1"/>
  <c r="I2736" i="1"/>
  <c r="J2736" i="1"/>
  <c r="K2736" i="1"/>
  <c r="P2736" i="1"/>
  <c r="Q2736" i="1"/>
  <c r="R2736" i="1"/>
  <c r="S2736" i="1"/>
  <c r="T2736" i="1"/>
  <c r="AL2736" i="1"/>
  <c r="A2737" i="1"/>
  <c r="B2737" i="1"/>
  <c r="C2737" i="1"/>
  <c r="G2737" i="1"/>
  <c r="H2737" i="1"/>
  <c r="I2737" i="1"/>
  <c r="J2737" i="1"/>
  <c r="K2737" i="1"/>
  <c r="M2737" i="1"/>
  <c r="N2737" i="1"/>
  <c r="P2737" i="1"/>
  <c r="Q2737" i="1"/>
  <c r="R2737" i="1"/>
  <c r="S2737" i="1"/>
  <c r="T2737" i="1"/>
  <c r="Z2737" i="1"/>
  <c r="AL2737" i="1"/>
  <c r="A2738" i="1"/>
  <c r="B2738" i="1"/>
  <c r="C2738" i="1"/>
  <c r="G2738" i="1"/>
  <c r="H2738" i="1"/>
  <c r="I2738" i="1"/>
  <c r="J2738" i="1"/>
  <c r="K2738" i="1"/>
  <c r="P2738" i="1"/>
  <c r="Q2738" i="1"/>
  <c r="R2738" i="1"/>
  <c r="S2738" i="1"/>
  <c r="T2738" i="1"/>
  <c r="AL2738" i="1"/>
  <c r="A2739" i="1"/>
  <c r="B2739" i="1"/>
  <c r="C2739" i="1"/>
  <c r="G2739" i="1"/>
  <c r="H2739" i="1"/>
  <c r="I2739" i="1"/>
  <c r="J2739" i="1"/>
  <c r="K2739" i="1"/>
  <c r="P2739" i="1"/>
  <c r="Q2739" i="1"/>
  <c r="R2739" i="1"/>
  <c r="S2739" i="1"/>
  <c r="T2739" i="1"/>
  <c r="AL2739" i="1"/>
  <c r="A2740" i="1"/>
  <c r="B2740" i="1"/>
  <c r="C2740" i="1"/>
  <c r="G2740" i="1"/>
  <c r="H2740" i="1"/>
  <c r="I2740" i="1"/>
  <c r="J2740" i="1"/>
  <c r="K2740" i="1"/>
  <c r="P2740" i="1"/>
  <c r="Q2740" i="1"/>
  <c r="R2740" i="1"/>
  <c r="S2740" i="1"/>
  <c r="T2740" i="1"/>
  <c r="AL2740" i="1"/>
  <c r="A2741" i="1"/>
  <c r="B2741" i="1"/>
  <c r="C2741" i="1"/>
  <c r="G2741" i="1"/>
  <c r="H2741" i="1"/>
  <c r="I2741" i="1"/>
  <c r="J2741" i="1"/>
  <c r="K2741" i="1"/>
  <c r="P2741" i="1"/>
  <c r="Q2741" i="1"/>
  <c r="R2741" i="1"/>
  <c r="S2741" i="1"/>
  <c r="T2741" i="1"/>
  <c r="AL2741" i="1"/>
  <c r="A2742" i="1"/>
  <c r="B2742" i="1"/>
  <c r="C2742" i="1"/>
  <c r="G2742" i="1"/>
  <c r="H2742" i="1"/>
  <c r="I2742" i="1"/>
  <c r="J2742" i="1"/>
  <c r="K2742" i="1"/>
  <c r="P2742" i="1"/>
  <c r="Q2742" i="1"/>
  <c r="R2742" i="1"/>
  <c r="S2742" i="1"/>
  <c r="T2742" i="1"/>
  <c r="AL2742" i="1"/>
  <c r="A2743" i="1"/>
  <c r="B2743" i="1"/>
  <c r="C2743" i="1"/>
  <c r="G2743" i="1"/>
  <c r="H2743" i="1"/>
  <c r="I2743" i="1"/>
  <c r="J2743" i="1"/>
  <c r="K2743" i="1"/>
  <c r="P2743" i="1"/>
  <c r="Q2743" i="1"/>
  <c r="R2743" i="1"/>
  <c r="S2743" i="1"/>
  <c r="T2743" i="1"/>
  <c r="AL2743" i="1"/>
  <c r="A2744" i="1"/>
  <c r="B2744" i="1"/>
  <c r="C2744" i="1"/>
  <c r="G2744" i="1"/>
  <c r="H2744" i="1"/>
  <c r="I2744" i="1"/>
  <c r="J2744" i="1"/>
  <c r="K2744" i="1"/>
  <c r="P2744" i="1"/>
  <c r="Q2744" i="1"/>
  <c r="R2744" i="1"/>
  <c r="S2744" i="1"/>
  <c r="T2744" i="1"/>
  <c r="AL2744" i="1"/>
  <c r="A2745" i="1"/>
  <c r="B2745" i="1"/>
  <c r="C2745" i="1"/>
  <c r="G2745" i="1"/>
  <c r="H2745" i="1"/>
  <c r="I2745" i="1"/>
  <c r="J2745" i="1"/>
  <c r="K2745" i="1"/>
  <c r="P2745" i="1"/>
  <c r="Q2745" i="1"/>
  <c r="R2745" i="1"/>
  <c r="S2745" i="1"/>
  <c r="T2745" i="1"/>
  <c r="AL2745" i="1"/>
  <c r="A2746" i="1"/>
  <c r="B2746" i="1"/>
  <c r="C2746" i="1"/>
  <c r="G2746" i="1"/>
  <c r="H2746" i="1"/>
  <c r="I2746" i="1"/>
  <c r="J2746" i="1"/>
  <c r="K2746" i="1"/>
  <c r="P2746" i="1"/>
  <c r="Q2746" i="1"/>
  <c r="R2746" i="1"/>
  <c r="S2746" i="1"/>
  <c r="T2746" i="1"/>
  <c r="AL2746" i="1"/>
  <c r="A2747" i="1"/>
  <c r="B2747" i="1"/>
  <c r="C2747" i="1"/>
  <c r="G2747" i="1"/>
  <c r="H2747" i="1"/>
  <c r="I2747" i="1"/>
  <c r="J2747" i="1"/>
  <c r="K2747" i="1"/>
  <c r="P2747" i="1"/>
  <c r="Q2747" i="1"/>
  <c r="R2747" i="1"/>
  <c r="S2747" i="1"/>
  <c r="T2747" i="1"/>
  <c r="AL2747" i="1"/>
  <c r="A2748" i="1"/>
  <c r="B2748" i="1"/>
  <c r="C2748" i="1"/>
  <c r="G2748" i="1"/>
  <c r="H2748" i="1"/>
  <c r="I2748" i="1"/>
  <c r="J2748" i="1"/>
  <c r="K2748" i="1"/>
  <c r="P2748" i="1"/>
  <c r="Q2748" i="1"/>
  <c r="R2748" i="1"/>
  <c r="S2748" i="1"/>
  <c r="T2748" i="1"/>
  <c r="AL2748" i="1"/>
  <c r="A2749" i="1"/>
  <c r="B2749" i="1"/>
  <c r="C2749" i="1"/>
  <c r="G2749" i="1"/>
  <c r="H2749" i="1"/>
  <c r="I2749" i="1"/>
  <c r="J2749" i="1"/>
  <c r="K2749" i="1"/>
  <c r="P2749" i="1"/>
  <c r="Q2749" i="1"/>
  <c r="R2749" i="1"/>
  <c r="S2749" i="1"/>
  <c r="T2749" i="1"/>
  <c r="AL2749" i="1"/>
  <c r="A2750" i="1"/>
  <c r="B2750" i="1"/>
  <c r="C2750" i="1"/>
  <c r="G2750" i="1"/>
  <c r="H2750" i="1"/>
  <c r="I2750" i="1"/>
  <c r="J2750" i="1"/>
  <c r="K2750" i="1"/>
  <c r="P2750" i="1"/>
  <c r="Q2750" i="1"/>
  <c r="R2750" i="1"/>
  <c r="S2750" i="1"/>
  <c r="T2750" i="1"/>
  <c r="AL2750" i="1"/>
  <c r="A2751" i="1"/>
  <c r="B2751" i="1"/>
  <c r="C2751" i="1"/>
  <c r="G2751" i="1"/>
  <c r="H2751" i="1"/>
  <c r="I2751" i="1"/>
  <c r="J2751" i="1"/>
  <c r="K2751" i="1"/>
  <c r="M2751" i="1"/>
  <c r="N2751" i="1"/>
  <c r="P2751" i="1"/>
  <c r="Q2751" i="1"/>
  <c r="R2751" i="1"/>
  <c r="S2751" i="1"/>
  <c r="T2751" i="1"/>
  <c r="AL2751" i="1"/>
  <c r="A2752" i="1"/>
  <c r="B2752" i="1"/>
  <c r="C2752" i="1"/>
  <c r="G2752" i="1"/>
  <c r="H2752" i="1"/>
  <c r="I2752" i="1"/>
  <c r="J2752" i="1"/>
  <c r="K2752" i="1"/>
  <c r="M2752" i="1"/>
  <c r="N2752" i="1"/>
  <c r="P2752" i="1"/>
  <c r="Q2752" i="1"/>
  <c r="R2752" i="1"/>
  <c r="S2752" i="1"/>
  <c r="T2752" i="1"/>
  <c r="AL2752" i="1"/>
  <c r="A2753" i="1"/>
  <c r="B2753" i="1"/>
  <c r="C2753" i="1"/>
  <c r="G2753" i="1"/>
  <c r="H2753" i="1"/>
  <c r="I2753" i="1"/>
  <c r="J2753" i="1"/>
  <c r="K2753" i="1"/>
  <c r="M2753" i="1"/>
  <c r="N2753" i="1"/>
  <c r="P2753" i="1"/>
  <c r="Q2753" i="1"/>
  <c r="R2753" i="1"/>
  <c r="S2753" i="1"/>
  <c r="T2753" i="1"/>
  <c r="AL2753" i="1"/>
  <c r="A2754" i="1"/>
  <c r="B2754" i="1"/>
  <c r="C2754" i="1"/>
  <c r="G2754" i="1"/>
  <c r="H2754" i="1"/>
  <c r="I2754" i="1"/>
  <c r="J2754" i="1"/>
  <c r="K2754" i="1"/>
  <c r="P2754" i="1"/>
  <c r="Q2754" i="1"/>
  <c r="R2754" i="1"/>
  <c r="S2754" i="1"/>
  <c r="T2754" i="1"/>
  <c r="AL2754" i="1"/>
  <c r="A2755" i="1"/>
  <c r="B2755" i="1"/>
  <c r="C2755" i="1"/>
  <c r="G2755" i="1"/>
  <c r="H2755" i="1"/>
  <c r="I2755" i="1"/>
  <c r="J2755" i="1"/>
  <c r="K2755" i="1"/>
  <c r="M2755" i="1"/>
  <c r="N2755" i="1"/>
  <c r="P2755" i="1"/>
  <c r="Q2755" i="1"/>
  <c r="R2755" i="1"/>
  <c r="S2755" i="1"/>
  <c r="T2755" i="1"/>
  <c r="AL2755" i="1"/>
  <c r="A2756" i="1"/>
  <c r="B2756" i="1"/>
  <c r="C2756" i="1"/>
  <c r="G2756" i="1"/>
  <c r="H2756" i="1"/>
  <c r="I2756" i="1"/>
  <c r="J2756" i="1"/>
  <c r="K2756" i="1"/>
  <c r="M2756" i="1"/>
  <c r="N2756" i="1"/>
  <c r="P2756" i="1"/>
  <c r="Q2756" i="1"/>
  <c r="R2756" i="1"/>
  <c r="S2756" i="1"/>
  <c r="T2756" i="1"/>
  <c r="AL2756" i="1"/>
  <c r="A2757" i="1"/>
  <c r="B2757" i="1"/>
  <c r="C2757" i="1"/>
  <c r="G2757" i="1"/>
  <c r="H2757" i="1"/>
  <c r="I2757" i="1"/>
  <c r="J2757" i="1"/>
  <c r="K2757" i="1"/>
  <c r="M2757" i="1"/>
  <c r="N2757" i="1"/>
  <c r="P2757" i="1"/>
  <c r="Q2757" i="1"/>
  <c r="R2757" i="1"/>
  <c r="S2757" i="1"/>
  <c r="T2757" i="1"/>
  <c r="AL2757" i="1"/>
  <c r="A2758" i="1"/>
  <c r="B2758" i="1"/>
  <c r="C2758" i="1"/>
  <c r="G2758" i="1"/>
  <c r="H2758" i="1"/>
  <c r="I2758" i="1"/>
  <c r="J2758" i="1"/>
  <c r="K2758" i="1"/>
  <c r="M2758" i="1"/>
  <c r="N2758" i="1"/>
  <c r="P2758" i="1"/>
  <c r="Q2758" i="1"/>
  <c r="R2758" i="1"/>
  <c r="S2758" i="1"/>
  <c r="T2758" i="1"/>
  <c r="AL2758" i="1"/>
  <c r="A2759" i="1"/>
  <c r="B2759" i="1"/>
  <c r="C2759" i="1"/>
  <c r="G2759" i="1"/>
  <c r="H2759" i="1"/>
  <c r="I2759" i="1"/>
  <c r="J2759" i="1"/>
  <c r="K2759" i="1"/>
  <c r="M2759" i="1"/>
  <c r="N2759" i="1"/>
  <c r="P2759" i="1"/>
  <c r="Q2759" i="1"/>
  <c r="R2759" i="1"/>
  <c r="S2759" i="1"/>
  <c r="T2759" i="1"/>
  <c r="AL2759" i="1"/>
  <c r="A2760" i="1"/>
  <c r="B2760" i="1"/>
  <c r="C2760" i="1"/>
  <c r="G2760" i="1"/>
  <c r="H2760" i="1"/>
  <c r="I2760" i="1"/>
  <c r="J2760" i="1"/>
  <c r="K2760" i="1"/>
  <c r="M2760" i="1"/>
  <c r="N2760" i="1"/>
  <c r="P2760" i="1"/>
  <c r="Q2760" i="1"/>
  <c r="R2760" i="1"/>
  <c r="S2760" i="1"/>
  <c r="T2760" i="1"/>
  <c r="AL2760" i="1"/>
  <c r="A2761" i="1"/>
  <c r="B2761" i="1"/>
  <c r="C2761" i="1"/>
  <c r="G2761" i="1"/>
  <c r="H2761" i="1"/>
  <c r="I2761" i="1"/>
  <c r="J2761" i="1"/>
  <c r="K2761" i="1"/>
  <c r="M2761" i="1"/>
  <c r="N2761" i="1"/>
  <c r="P2761" i="1"/>
  <c r="Q2761" i="1"/>
  <c r="R2761" i="1"/>
  <c r="S2761" i="1"/>
  <c r="T2761" i="1"/>
  <c r="AL2761" i="1"/>
  <c r="A2762" i="1"/>
  <c r="B2762" i="1"/>
  <c r="C2762" i="1"/>
  <c r="G2762" i="1"/>
  <c r="H2762" i="1"/>
  <c r="I2762" i="1"/>
  <c r="J2762" i="1"/>
  <c r="K2762" i="1"/>
  <c r="M2762" i="1"/>
  <c r="N2762" i="1"/>
  <c r="P2762" i="1"/>
  <c r="Q2762" i="1"/>
  <c r="R2762" i="1"/>
  <c r="S2762" i="1"/>
  <c r="T2762" i="1"/>
  <c r="AL2762" i="1"/>
  <c r="A2763" i="1"/>
  <c r="B2763" i="1"/>
  <c r="C2763" i="1"/>
  <c r="G2763" i="1"/>
  <c r="H2763" i="1"/>
  <c r="I2763" i="1"/>
  <c r="J2763" i="1"/>
  <c r="K2763" i="1"/>
  <c r="M2763" i="1"/>
  <c r="N2763" i="1"/>
  <c r="P2763" i="1"/>
  <c r="Q2763" i="1"/>
  <c r="R2763" i="1"/>
  <c r="S2763" i="1"/>
  <c r="T2763" i="1"/>
  <c r="Z2763" i="1"/>
  <c r="AL2763" i="1"/>
  <c r="A2764" i="1"/>
  <c r="B2764" i="1"/>
  <c r="C2764" i="1"/>
  <c r="G2764" i="1"/>
  <c r="H2764" i="1"/>
  <c r="I2764" i="1"/>
  <c r="J2764" i="1"/>
  <c r="K2764" i="1"/>
  <c r="P2764" i="1"/>
  <c r="Q2764" i="1"/>
  <c r="R2764" i="1"/>
  <c r="S2764" i="1"/>
  <c r="T2764" i="1"/>
  <c r="AL2764" i="1"/>
  <c r="A2765" i="1"/>
  <c r="B2765" i="1"/>
  <c r="C2765" i="1"/>
  <c r="G2765" i="1"/>
  <c r="H2765" i="1"/>
  <c r="I2765" i="1"/>
  <c r="J2765" i="1"/>
  <c r="K2765" i="1"/>
  <c r="P2765" i="1"/>
  <c r="Q2765" i="1"/>
  <c r="R2765" i="1"/>
  <c r="S2765" i="1"/>
  <c r="T2765" i="1"/>
  <c r="AL2765" i="1"/>
  <c r="A2766" i="1"/>
  <c r="B2766" i="1"/>
  <c r="C2766" i="1"/>
  <c r="G2766" i="1"/>
  <c r="H2766" i="1"/>
  <c r="I2766" i="1"/>
  <c r="J2766" i="1"/>
  <c r="K2766" i="1"/>
  <c r="P2766" i="1"/>
  <c r="Q2766" i="1"/>
  <c r="R2766" i="1"/>
  <c r="S2766" i="1"/>
  <c r="T2766" i="1"/>
  <c r="AL2766" i="1"/>
  <c r="A2767" i="1"/>
  <c r="B2767" i="1"/>
  <c r="C2767" i="1"/>
  <c r="G2767" i="1"/>
  <c r="H2767" i="1"/>
  <c r="I2767" i="1"/>
  <c r="J2767" i="1"/>
  <c r="K2767" i="1"/>
  <c r="M2767" i="1"/>
  <c r="N2767" i="1"/>
  <c r="P2767" i="1"/>
  <c r="Q2767" i="1"/>
  <c r="R2767" i="1"/>
  <c r="S2767" i="1"/>
  <c r="T2767" i="1"/>
  <c r="AL2767" i="1"/>
  <c r="A2768" i="1"/>
  <c r="B2768" i="1"/>
  <c r="C2768" i="1"/>
  <c r="G2768" i="1"/>
  <c r="H2768" i="1"/>
  <c r="I2768" i="1"/>
  <c r="J2768" i="1"/>
  <c r="K2768" i="1"/>
  <c r="P2768" i="1"/>
  <c r="Q2768" i="1"/>
  <c r="R2768" i="1"/>
  <c r="S2768" i="1"/>
  <c r="T2768" i="1"/>
  <c r="AL2768" i="1"/>
  <c r="A2769" i="1"/>
  <c r="B2769" i="1"/>
  <c r="C2769" i="1"/>
  <c r="G2769" i="1"/>
  <c r="H2769" i="1"/>
  <c r="I2769" i="1"/>
  <c r="J2769" i="1"/>
  <c r="K2769" i="1"/>
  <c r="M2769" i="1"/>
  <c r="N2769" i="1"/>
  <c r="P2769" i="1"/>
  <c r="Q2769" i="1"/>
  <c r="R2769" i="1"/>
  <c r="S2769" i="1"/>
  <c r="T2769" i="1"/>
  <c r="AL2769" i="1"/>
  <c r="A2770" i="1"/>
  <c r="B2770" i="1"/>
  <c r="C2770" i="1"/>
  <c r="G2770" i="1"/>
  <c r="H2770" i="1"/>
  <c r="I2770" i="1"/>
  <c r="J2770" i="1"/>
  <c r="K2770" i="1"/>
  <c r="M2770" i="1"/>
  <c r="N2770" i="1"/>
  <c r="P2770" i="1"/>
  <c r="Q2770" i="1"/>
  <c r="R2770" i="1"/>
  <c r="S2770" i="1"/>
  <c r="T2770" i="1"/>
  <c r="Z2770" i="1"/>
  <c r="AL2770" i="1"/>
  <c r="A2771" i="1"/>
  <c r="B2771" i="1"/>
  <c r="C2771" i="1"/>
  <c r="G2771" i="1"/>
  <c r="H2771" i="1"/>
  <c r="I2771" i="1"/>
  <c r="J2771" i="1"/>
  <c r="K2771" i="1"/>
  <c r="P2771" i="1"/>
  <c r="Q2771" i="1"/>
  <c r="R2771" i="1"/>
  <c r="S2771" i="1"/>
  <c r="T2771" i="1"/>
  <c r="Z2771" i="1"/>
  <c r="AL2771" i="1"/>
  <c r="A2772" i="1"/>
  <c r="B2772" i="1"/>
  <c r="C2772" i="1"/>
  <c r="G2772" i="1"/>
  <c r="H2772" i="1"/>
  <c r="I2772" i="1"/>
  <c r="J2772" i="1"/>
  <c r="K2772" i="1"/>
  <c r="M2772" i="1"/>
  <c r="N2772" i="1"/>
  <c r="P2772" i="1"/>
  <c r="Q2772" i="1"/>
  <c r="R2772" i="1"/>
  <c r="S2772" i="1"/>
  <c r="T2772" i="1"/>
  <c r="Z2772" i="1"/>
  <c r="AL2772" i="1"/>
  <c r="A2773" i="1"/>
  <c r="B2773" i="1"/>
  <c r="C2773" i="1"/>
  <c r="G2773" i="1"/>
  <c r="H2773" i="1"/>
  <c r="I2773" i="1"/>
  <c r="J2773" i="1"/>
  <c r="K2773" i="1"/>
  <c r="M2773" i="1"/>
  <c r="N2773" i="1"/>
  <c r="P2773" i="1"/>
  <c r="Q2773" i="1"/>
  <c r="R2773" i="1"/>
  <c r="S2773" i="1"/>
  <c r="T2773" i="1"/>
  <c r="Z2773" i="1"/>
  <c r="AL2773" i="1"/>
  <c r="A2774" i="1"/>
  <c r="B2774" i="1"/>
  <c r="C2774" i="1"/>
  <c r="G2774" i="1"/>
  <c r="H2774" i="1"/>
  <c r="I2774" i="1"/>
  <c r="J2774" i="1"/>
  <c r="K2774" i="1"/>
  <c r="M2774" i="1"/>
  <c r="N2774" i="1"/>
  <c r="P2774" i="1"/>
  <c r="Q2774" i="1"/>
  <c r="R2774" i="1"/>
  <c r="S2774" i="1"/>
  <c r="T2774" i="1"/>
  <c r="Z2774" i="1"/>
  <c r="AL2774" i="1"/>
  <c r="A2775" i="1"/>
  <c r="B2775" i="1"/>
  <c r="C2775" i="1"/>
  <c r="G2775" i="1"/>
  <c r="H2775" i="1"/>
  <c r="I2775" i="1"/>
  <c r="J2775" i="1"/>
  <c r="K2775" i="1"/>
  <c r="M2775" i="1"/>
  <c r="N2775" i="1"/>
  <c r="P2775" i="1"/>
  <c r="Q2775" i="1"/>
  <c r="R2775" i="1"/>
  <c r="S2775" i="1"/>
  <c r="T2775" i="1"/>
  <c r="Z2775" i="1"/>
  <c r="AL2775" i="1"/>
  <c r="A2776" i="1"/>
  <c r="B2776" i="1"/>
  <c r="C2776" i="1"/>
  <c r="G2776" i="1"/>
  <c r="H2776" i="1"/>
  <c r="I2776" i="1"/>
  <c r="J2776" i="1"/>
  <c r="K2776" i="1"/>
  <c r="M2776" i="1"/>
  <c r="N2776" i="1"/>
  <c r="P2776" i="1"/>
  <c r="Q2776" i="1"/>
  <c r="R2776" i="1"/>
  <c r="S2776" i="1"/>
  <c r="T2776" i="1"/>
  <c r="Z2776" i="1"/>
  <c r="AL2776" i="1"/>
  <c r="A2777" i="1"/>
  <c r="B2777" i="1"/>
  <c r="C2777" i="1"/>
  <c r="G2777" i="1"/>
  <c r="H2777" i="1"/>
  <c r="I2777" i="1"/>
  <c r="J2777" i="1"/>
  <c r="K2777" i="1"/>
  <c r="M2777" i="1"/>
  <c r="N2777" i="1"/>
  <c r="P2777" i="1"/>
  <c r="Q2777" i="1"/>
  <c r="R2777" i="1"/>
  <c r="S2777" i="1"/>
  <c r="T2777" i="1"/>
  <c r="Z2777" i="1"/>
  <c r="AL2777" i="1"/>
  <c r="A2778" i="1"/>
  <c r="B2778" i="1"/>
  <c r="C2778" i="1"/>
  <c r="G2778" i="1"/>
  <c r="H2778" i="1"/>
  <c r="I2778" i="1"/>
  <c r="J2778" i="1"/>
  <c r="K2778" i="1"/>
  <c r="M2778" i="1"/>
  <c r="N2778" i="1"/>
  <c r="P2778" i="1"/>
  <c r="Q2778" i="1"/>
  <c r="R2778" i="1"/>
  <c r="S2778" i="1"/>
  <c r="T2778" i="1"/>
  <c r="AL2778" i="1"/>
  <c r="A2779" i="1"/>
  <c r="B2779" i="1"/>
  <c r="C2779" i="1"/>
  <c r="G2779" i="1"/>
  <c r="H2779" i="1"/>
  <c r="I2779" i="1"/>
  <c r="J2779" i="1"/>
  <c r="K2779" i="1"/>
  <c r="M2779" i="1"/>
  <c r="N2779" i="1"/>
  <c r="P2779" i="1"/>
  <c r="Q2779" i="1"/>
  <c r="R2779" i="1"/>
  <c r="S2779" i="1"/>
  <c r="T2779" i="1"/>
  <c r="AL2779" i="1"/>
  <c r="A2780" i="1"/>
  <c r="B2780" i="1"/>
  <c r="C2780" i="1"/>
  <c r="G2780" i="1"/>
  <c r="H2780" i="1"/>
  <c r="I2780" i="1"/>
  <c r="J2780" i="1"/>
  <c r="K2780" i="1"/>
  <c r="P2780" i="1"/>
  <c r="Q2780" i="1"/>
  <c r="R2780" i="1"/>
  <c r="S2780" i="1"/>
  <c r="T2780" i="1"/>
  <c r="AL2780" i="1"/>
  <c r="A2781" i="1"/>
  <c r="B2781" i="1"/>
  <c r="C2781" i="1"/>
  <c r="G2781" i="1"/>
  <c r="H2781" i="1"/>
  <c r="I2781" i="1"/>
  <c r="J2781" i="1"/>
  <c r="K2781" i="1"/>
  <c r="P2781" i="1"/>
  <c r="Q2781" i="1"/>
  <c r="R2781" i="1"/>
  <c r="S2781" i="1"/>
  <c r="T2781" i="1"/>
  <c r="AL2781" i="1"/>
  <c r="A2782" i="1"/>
  <c r="B2782" i="1"/>
  <c r="C2782" i="1"/>
  <c r="G2782" i="1"/>
  <c r="H2782" i="1"/>
  <c r="I2782" i="1"/>
  <c r="J2782" i="1"/>
  <c r="K2782" i="1"/>
  <c r="P2782" i="1"/>
  <c r="Q2782" i="1"/>
  <c r="R2782" i="1"/>
  <c r="S2782" i="1"/>
  <c r="T2782" i="1"/>
  <c r="AL2782" i="1"/>
  <c r="A2783" i="1"/>
  <c r="B2783" i="1"/>
  <c r="C2783" i="1"/>
  <c r="G2783" i="1"/>
  <c r="H2783" i="1"/>
  <c r="I2783" i="1"/>
  <c r="J2783" i="1"/>
  <c r="K2783" i="1"/>
  <c r="P2783" i="1"/>
  <c r="Q2783" i="1"/>
  <c r="R2783" i="1"/>
  <c r="S2783" i="1"/>
  <c r="T2783" i="1"/>
  <c r="AL2783" i="1"/>
  <c r="A2784" i="1"/>
  <c r="B2784" i="1"/>
  <c r="C2784" i="1"/>
  <c r="G2784" i="1"/>
  <c r="H2784" i="1"/>
  <c r="I2784" i="1"/>
  <c r="J2784" i="1"/>
  <c r="K2784" i="1"/>
  <c r="P2784" i="1"/>
  <c r="Q2784" i="1"/>
  <c r="R2784" i="1"/>
  <c r="S2784" i="1"/>
  <c r="T2784" i="1"/>
  <c r="AL2784" i="1"/>
  <c r="A2785" i="1"/>
  <c r="B2785" i="1"/>
  <c r="C2785" i="1"/>
  <c r="G2785" i="1"/>
  <c r="H2785" i="1"/>
  <c r="I2785" i="1"/>
  <c r="J2785" i="1"/>
  <c r="K2785" i="1"/>
  <c r="P2785" i="1"/>
  <c r="Q2785" i="1"/>
  <c r="R2785" i="1"/>
  <c r="S2785" i="1"/>
  <c r="T2785" i="1"/>
  <c r="AL2785" i="1"/>
  <c r="A2786" i="1"/>
  <c r="B2786" i="1"/>
  <c r="C2786" i="1"/>
  <c r="G2786" i="1"/>
  <c r="H2786" i="1"/>
  <c r="I2786" i="1"/>
  <c r="J2786" i="1"/>
  <c r="K2786" i="1"/>
  <c r="P2786" i="1"/>
  <c r="Q2786" i="1"/>
  <c r="R2786" i="1"/>
  <c r="S2786" i="1"/>
  <c r="T2786" i="1"/>
  <c r="AL2786" i="1"/>
  <c r="A2787" i="1"/>
  <c r="B2787" i="1"/>
  <c r="C2787" i="1"/>
  <c r="G2787" i="1"/>
  <c r="H2787" i="1"/>
  <c r="I2787" i="1"/>
  <c r="J2787" i="1"/>
  <c r="K2787" i="1"/>
  <c r="P2787" i="1"/>
  <c r="Q2787" i="1"/>
  <c r="R2787" i="1"/>
  <c r="S2787" i="1"/>
  <c r="T2787" i="1"/>
  <c r="AL2787" i="1"/>
  <c r="A2788" i="1"/>
  <c r="B2788" i="1"/>
  <c r="C2788" i="1"/>
  <c r="G2788" i="1"/>
  <c r="H2788" i="1"/>
  <c r="I2788" i="1"/>
  <c r="J2788" i="1"/>
  <c r="K2788" i="1"/>
  <c r="M2788" i="1"/>
  <c r="N2788" i="1"/>
  <c r="P2788" i="1"/>
  <c r="Q2788" i="1"/>
  <c r="R2788" i="1"/>
  <c r="S2788" i="1"/>
  <c r="T2788" i="1"/>
  <c r="AL2788" i="1"/>
  <c r="A2789" i="1"/>
  <c r="B2789" i="1"/>
  <c r="C2789" i="1"/>
  <c r="G2789" i="1"/>
  <c r="H2789" i="1"/>
  <c r="I2789" i="1"/>
  <c r="J2789" i="1"/>
  <c r="K2789" i="1"/>
  <c r="M2789" i="1"/>
  <c r="N2789" i="1"/>
  <c r="P2789" i="1"/>
  <c r="Q2789" i="1"/>
  <c r="R2789" i="1"/>
  <c r="S2789" i="1"/>
  <c r="T2789" i="1"/>
  <c r="AL2789" i="1"/>
  <c r="A2790" i="1"/>
  <c r="B2790" i="1"/>
  <c r="C2790" i="1"/>
  <c r="G2790" i="1"/>
  <c r="H2790" i="1"/>
  <c r="I2790" i="1"/>
  <c r="J2790" i="1"/>
  <c r="K2790" i="1"/>
  <c r="M2790" i="1"/>
  <c r="N2790" i="1"/>
  <c r="P2790" i="1"/>
  <c r="Q2790" i="1"/>
  <c r="R2790" i="1"/>
  <c r="S2790" i="1"/>
  <c r="T2790" i="1"/>
  <c r="AL2790" i="1"/>
  <c r="A2791" i="1"/>
  <c r="B2791" i="1"/>
  <c r="C2791" i="1"/>
  <c r="G2791" i="1"/>
  <c r="H2791" i="1"/>
  <c r="I2791" i="1"/>
  <c r="J2791" i="1"/>
  <c r="K2791" i="1"/>
  <c r="M2791" i="1"/>
  <c r="N2791" i="1"/>
  <c r="P2791" i="1"/>
  <c r="Q2791" i="1"/>
  <c r="R2791" i="1"/>
  <c r="S2791" i="1"/>
  <c r="T2791" i="1"/>
  <c r="AL2791" i="1"/>
  <c r="A2792" i="1"/>
  <c r="B2792" i="1"/>
  <c r="C2792" i="1"/>
  <c r="G2792" i="1"/>
  <c r="H2792" i="1"/>
  <c r="I2792" i="1"/>
  <c r="J2792" i="1"/>
  <c r="K2792" i="1"/>
  <c r="M2792" i="1"/>
  <c r="N2792" i="1"/>
  <c r="P2792" i="1"/>
  <c r="Q2792" i="1"/>
  <c r="R2792" i="1"/>
  <c r="S2792" i="1"/>
  <c r="T2792" i="1"/>
  <c r="AL2792" i="1"/>
  <c r="A2793" i="1"/>
  <c r="B2793" i="1"/>
  <c r="C2793" i="1"/>
  <c r="G2793" i="1"/>
  <c r="H2793" i="1"/>
  <c r="I2793" i="1"/>
  <c r="J2793" i="1"/>
  <c r="K2793" i="1"/>
  <c r="M2793" i="1"/>
  <c r="N2793" i="1"/>
  <c r="P2793" i="1"/>
  <c r="Q2793" i="1"/>
  <c r="R2793" i="1"/>
  <c r="S2793" i="1"/>
  <c r="T2793" i="1"/>
  <c r="AL2793" i="1"/>
  <c r="A2794" i="1"/>
  <c r="B2794" i="1"/>
  <c r="C2794" i="1"/>
  <c r="G2794" i="1"/>
  <c r="H2794" i="1"/>
  <c r="I2794" i="1"/>
  <c r="J2794" i="1"/>
  <c r="K2794" i="1"/>
  <c r="M2794" i="1"/>
  <c r="N2794" i="1"/>
  <c r="P2794" i="1"/>
  <c r="Q2794" i="1"/>
  <c r="R2794" i="1"/>
  <c r="S2794" i="1"/>
  <c r="T2794" i="1"/>
  <c r="AL2794" i="1"/>
  <c r="A2795" i="1"/>
  <c r="B2795" i="1"/>
  <c r="C2795" i="1"/>
  <c r="G2795" i="1"/>
  <c r="H2795" i="1"/>
  <c r="I2795" i="1"/>
  <c r="J2795" i="1"/>
  <c r="K2795" i="1"/>
  <c r="M2795" i="1"/>
  <c r="N2795" i="1"/>
  <c r="P2795" i="1"/>
  <c r="Q2795" i="1"/>
  <c r="R2795" i="1"/>
  <c r="S2795" i="1"/>
  <c r="T2795" i="1"/>
  <c r="AL2795" i="1"/>
  <c r="A2796" i="1"/>
  <c r="B2796" i="1"/>
  <c r="C2796" i="1"/>
  <c r="G2796" i="1"/>
  <c r="H2796" i="1"/>
  <c r="I2796" i="1"/>
  <c r="J2796" i="1"/>
  <c r="K2796" i="1"/>
  <c r="M2796" i="1"/>
  <c r="N2796" i="1"/>
  <c r="P2796" i="1"/>
  <c r="Q2796" i="1"/>
  <c r="R2796" i="1"/>
  <c r="S2796" i="1"/>
  <c r="T2796" i="1"/>
  <c r="AL2796" i="1"/>
  <c r="A2797" i="1"/>
  <c r="B2797" i="1"/>
  <c r="C2797" i="1"/>
  <c r="G2797" i="1"/>
  <c r="H2797" i="1"/>
  <c r="I2797" i="1"/>
  <c r="J2797" i="1"/>
  <c r="K2797" i="1"/>
  <c r="M2797" i="1"/>
  <c r="N2797" i="1"/>
  <c r="P2797" i="1"/>
  <c r="Q2797" i="1"/>
  <c r="R2797" i="1"/>
  <c r="S2797" i="1"/>
  <c r="T2797" i="1"/>
  <c r="AL2797" i="1"/>
  <c r="A2798" i="1"/>
  <c r="B2798" i="1"/>
  <c r="C2798" i="1"/>
  <c r="G2798" i="1"/>
  <c r="H2798" i="1"/>
  <c r="I2798" i="1"/>
  <c r="J2798" i="1"/>
  <c r="K2798" i="1"/>
  <c r="M2798" i="1"/>
  <c r="N2798" i="1"/>
  <c r="P2798" i="1"/>
  <c r="Q2798" i="1"/>
  <c r="R2798" i="1"/>
  <c r="S2798" i="1"/>
  <c r="T2798" i="1"/>
  <c r="AL2798" i="1"/>
  <c r="A2799" i="1"/>
  <c r="B2799" i="1"/>
  <c r="C2799" i="1"/>
  <c r="G2799" i="1"/>
  <c r="H2799" i="1"/>
  <c r="I2799" i="1"/>
  <c r="J2799" i="1"/>
  <c r="K2799" i="1"/>
  <c r="P2799" i="1"/>
  <c r="Q2799" i="1"/>
  <c r="R2799" i="1"/>
  <c r="S2799" i="1"/>
  <c r="T2799" i="1"/>
  <c r="AL2799" i="1"/>
  <c r="A2800" i="1"/>
  <c r="B2800" i="1"/>
  <c r="C2800" i="1"/>
  <c r="G2800" i="1"/>
  <c r="H2800" i="1"/>
  <c r="I2800" i="1"/>
  <c r="J2800" i="1"/>
  <c r="K2800" i="1"/>
  <c r="M2800" i="1"/>
  <c r="N2800" i="1"/>
  <c r="P2800" i="1"/>
  <c r="Q2800" i="1"/>
  <c r="R2800" i="1"/>
  <c r="S2800" i="1"/>
  <c r="T2800" i="1"/>
  <c r="AL2800" i="1"/>
  <c r="A2801" i="1"/>
  <c r="B2801" i="1"/>
  <c r="C2801" i="1"/>
  <c r="G2801" i="1"/>
  <c r="H2801" i="1"/>
  <c r="I2801" i="1"/>
  <c r="J2801" i="1"/>
  <c r="K2801" i="1"/>
  <c r="M2801" i="1"/>
  <c r="N2801" i="1"/>
  <c r="P2801" i="1"/>
  <c r="Q2801" i="1"/>
  <c r="R2801" i="1"/>
  <c r="S2801" i="1"/>
  <c r="T2801" i="1"/>
  <c r="AL2801" i="1"/>
  <c r="A2802" i="1"/>
  <c r="B2802" i="1"/>
  <c r="C2802" i="1"/>
  <c r="G2802" i="1"/>
  <c r="H2802" i="1"/>
  <c r="I2802" i="1"/>
  <c r="J2802" i="1"/>
  <c r="K2802" i="1"/>
  <c r="M2802" i="1"/>
  <c r="N2802" i="1"/>
  <c r="P2802" i="1"/>
  <c r="Q2802" i="1"/>
  <c r="R2802" i="1"/>
  <c r="S2802" i="1"/>
  <c r="T2802" i="1"/>
  <c r="AL2802" i="1"/>
  <c r="A2803" i="1"/>
  <c r="B2803" i="1"/>
  <c r="C2803" i="1"/>
  <c r="G2803" i="1"/>
  <c r="H2803" i="1"/>
  <c r="I2803" i="1"/>
  <c r="J2803" i="1"/>
  <c r="K2803" i="1"/>
  <c r="M2803" i="1"/>
  <c r="N2803" i="1"/>
  <c r="P2803" i="1"/>
  <c r="Q2803" i="1"/>
  <c r="R2803" i="1"/>
  <c r="S2803" i="1"/>
  <c r="T2803" i="1"/>
  <c r="AL2803" i="1"/>
  <c r="A2804" i="1"/>
  <c r="B2804" i="1"/>
  <c r="C2804" i="1"/>
  <c r="G2804" i="1"/>
  <c r="H2804" i="1"/>
  <c r="I2804" i="1"/>
  <c r="J2804" i="1"/>
  <c r="K2804" i="1"/>
  <c r="M2804" i="1"/>
  <c r="N2804" i="1"/>
  <c r="P2804" i="1"/>
  <c r="Q2804" i="1"/>
  <c r="R2804" i="1"/>
  <c r="S2804" i="1"/>
  <c r="T2804" i="1"/>
  <c r="Z2804" i="1"/>
  <c r="AL2804" i="1"/>
  <c r="A2805" i="1"/>
  <c r="B2805" i="1"/>
  <c r="C2805" i="1"/>
  <c r="G2805" i="1"/>
  <c r="H2805" i="1"/>
  <c r="I2805" i="1"/>
  <c r="J2805" i="1"/>
  <c r="K2805" i="1"/>
  <c r="M2805" i="1"/>
  <c r="N2805" i="1"/>
  <c r="P2805" i="1"/>
  <c r="Q2805" i="1"/>
  <c r="R2805" i="1"/>
  <c r="S2805" i="1"/>
  <c r="T2805" i="1"/>
  <c r="AL2805" i="1"/>
  <c r="A2806" i="1"/>
  <c r="B2806" i="1"/>
  <c r="C2806" i="1"/>
  <c r="G2806" i="1"/>
  <c r="H2806" i="1"/>
  <c r="I2806" i="1"/>
  <c r="J2806" i="1"/>
  <c r="K2806" i="1"/>
  <c r="M2806" i="1"/>
  <c r="N2806" i="1"/>
  <c r="P2806" i="1"/>
  <c r="Q2806" i="1"/>
  <c r="R2806" i="1"/>
  <c r="S2806" i="1"/>
  <c r="T2806" i="1"/>
  <c r="AL2806" i="1"/>
  <c r="A2807" i="1"/>
  <c r="B2807" i="1"/>
  <c r="C2807" i="1"/>
  <c r="G2807" i="1"/>
  <c r="H2807" i="1"/>
  <c r="I2807" i="1"/>
  <c r="J2807" i="1"/>
  <c r="K2807" i="1"/>
  <c r="M2807" i="1"/>
  <c r="N2807" i="1"/>
  <c r="P2807" i="1"/>
  <c r="Q2807" i="1"/>
  <c r="R2807" i="1"/>
  <c r="S2807" i="1"/>
  <c r="T2807" i="1"/>
  <c r="AL2807" i="1"/>
  <c r="A2808" i="1"/>
  <c r="B2808" i="1"/>
  <c r="C2808" i="1"/>
  <c r="G2808" i="1"/>
  <c r="H2808" i="1"/>
  <c r="I2808" i="1"/>
  <c r="J2808" i="1"/>
  <c r="K2808" i="1"/>
  <c r="M2808" i="1"/>
  <c r="N2808" i="1"/>
  <c r="P2808" i="1"/>
  <c r="Q2808" i="1"/>
  <c r="R2808" i="1"/>
  <c r="S2808" i="1"/>
  <c r="T2808" i="1"/>
  <c r="AL2808" i="1"/>
  <c r="A2809" i="1"/>
  <c r="B2809" i="1"/>
  <c r="C2809" i="1"/>
  <c r="G2809" i="1"/>
  <c r="H2809" i="1"/>
  <c r="I2809" i="1"/>
  <c r="J2809" i="1"/>
  <c r="K2809" i="1"/>
  <c r="M2809" i="1"/>
  <c r="N2809" i="1"/>
  <c r="P2809" i="1"/>
  <c r="Q2809" i="1"/>
  <c r="R2809" i="1"/>
  <c r="S2809" i="1"/>
  <c r="T2809" i="1"/>
  <c r="AL2809" i="1"/>
  <c r="A2810" i="1"/>
  <c r="B2810" i="1"/>
  <c r="C2810" i="1"/>
  <c r="G2810" i="1"/>
  <c r="H2810" i="1"/>
  <c r="I2810" i="1"/>
  <c r="J2810" i="1"/>
  <c r="K2810" i="1"/>
  <c r="M2810" i="1"/>
  <c r="N2810" i="1"/>
  <c r="P2810" i="1"/>
  <c r="Q2810" i="1"/>
  <c r="R2810" i="1"/>
  <c r="S2810" i="1"/>
  <c r="T2810" i="1"/>
  <c r="AL2810" i="1"/>
  <c r="A2811" i="1"/>
  <c r="B2811" i="1"/>
  <c r="C2811" i="1"/>
  <c r="G2811" i="1"/>
  <c r="H2811" i="1"/>
  <c r="I2811" i="1"/>
  <c r="J2811" i="1"/>
  <c r="K2811" i="1"/>
  <c r="M2811" i="1"/>
  <c r="N2811" i="1"/>
  <c r="P2811" i="1"/>
  <c r="Q2811" i="1"/>
  <c r="R2811" i="1"/>
  <c r="S2811" i="1"/>
  <c r="T2811" i="1"/>
  <c r="AL2811" i="1"/>
  <c r="A2812" i="1"/>
  <c r="B2812" i="1"/>
  <c r="C2812" i="1"/>
  <c r="G2812" i="1"/>
  <c r="H2812" i="1"/>
  <c r="I2812" i="1"/>
  <c r="J2812" i="1"/>
  <c r="K2812" i="1"/>
  <c r="M2812" i="1"/>
  <c r="N2812" i="1"/>
  <c r="P2812" i="1"/>
  <c r="Q2812" i="1"/>
  <c r="R2812" i="1"/>
  <c r="S2812" i="1"/>
  <c r="T2812" i="1"/>
  <c r="AL2812" i="1"/>
  <c r="A2813" i="1"/>
  <c r="B2813" i="1"/>
  <c r="C2813" i="1"/>
  <c r="G2813" i="1"/>
  <c r="H2813" i="1"/>
  <c r="I2813" i="1"/>
  <c r="J2813" i="1"/>
  <c r="K2813" i="1"/>
  <c r="M2813" i="1"/>
  <c r="N2813" i="1"/>
  <c r="P2813" i="1"/>
  <c r="Q2813" i="1"/>
  <c r="R2813" i="1"/>
  <c r="S2813" i="1"/>
  <c r="T2813" i="1"/>
  <c r="AL2813" i="1"/>
  <c r="A2814" i="1"/>
  <c r="B2814" i="1"/>
  <c r="C2814" i="1"/>
  <c r="G2814" i="1"/>
  <c r="H2814" i="1"/>
  <c r="I2814" i="1"/>
  <c r="J2814" i="1"/>
  <c r="K2814" i="1"/>
  <c r="M2814" i="1"/>
  <c r="N2814" i="1"/>
  <c r="P2814" i="1"/>
  <c r="Q2814" i="1"/>
  <c r="R2814" i="1"/>
  <c r="S2814" i="1"/>
  <c r="T2814" i="1"/>
  <c r="AL2814" i="1"/>
  <c r="A2815" i="1"/>
  <c r="B2815" i="1"/>
  <c r="C2815" i="1"/>
  <c r="G2815" i="1"/>
  <c r="H2815" i="1"/>
  <c r="I2815" i="1"/>
  <c r="J2815" i="1"/>
  <c r="K2815" i="1"/>
  <c r="P2815" i="1"/>
  <c r="Q2815" i="1"/>
  <c r="R2815" i="1"/>
  <c r="S2815" i="1"/>
  <c r="T2815" i="1"/>
  <c r="Z2815" i="1"/>
  <c r="AL2815" i="1"/>
  <c r="A2816" i="1"/>
  <c r="B2816" i="1"/>
  <c r="C2816" i="1"/>
  <c r="G2816" i="1"/>
  <c r="H2816" i="1"/>
  <c r="J2816" i="1"/>
  <c r="K2816" i="1"/>
  <c r="M2816" i="1"/>
  <c r="N2816" i="1"/>
  <c r="P2816" i="1"/>
  <c r="Q2816" i="1"/>
  <c r="R2816" i="1"/>
  <c r="T2816" i="1"/>
  <c r="Z2816" i="1"/>
  <c r="AL2816" i="1"/>
  <c r="A2817" i="1"/>
  <c r="B2817" i="1"/>
  <c r="C2817" i="1"/>
  <c r="G2817" i="1"/>
  <c r="H2817" i="1"/>
  <c r="J2817" i="1"/>
  <c r="K2817" i="1"/>
  <c r="M2817" i="1"/>
  <c r="N2817" i="1"/>
  <c r="P2817" i="1"/>
  <c r="Q2817" i="1"/>
  <c r="R2817" i="1"/>
  <c r="T2817" i="1"/>
  <c r="Z2817" i="1"/>
  <c r="AL2817" i="1"/>
  <c r="A2818" i="1"/>
  <c r="B2818" i="1"/>
  <c r="C2818" i="1"/>
  <c r="G2818" i="1"/>
  <c r="H2818" i="1"/>
  <c r="I2818" i="1"/>
  <c r="J2818" i="1"/>
  <c r="K2818" i="1"/>
  <c r="M2818" i="1"/>
  <c r="N2818" i="1"/>
  <c r="P2818" i="1"/>
  <c r="Q2818" i="1"/>
  <c r="R2818" i="1"/>
  <c r="S2818" i="1"/>
  <c r="T2818" i="1"/>
  <c r="AL2818" i="1"/>
  <c r="A2819" i="1"/>
  <c r="B2819" i="1"/>
  <c r="C2819" i="1"/>
  <c r="G2819" i="1"/>
  <c r="H2819" i="1"/>
  <c r="I2819" i="1"/>
  <c r="J2819" i="1"/>
  <c r="K2819" i="1"/>
  <c r="M2819" i="1"/>
  <c r="N2819" i="1"/>
  <c r="P2819" i="1"/>
  <c r="Q2819" i="1"/>
  <c r="R2819" i="1"/>
  <c r="S2819" i="1"/>
  <c r="T2819" i="1"/>
  <c r="AL2819" i="1"/>
  <c r="A2820" i="1"/>
  <c r="B2820" i="1"/>
  <c r="C2820" i="1"/>
  <c r="G2820" i="1"/>
  <c r="H2820" i="1"/>
  <c r="I2820" i="1"/>
  <c r="J2820" i="1"/>
  <c r="K2820" i="1"/>
  <c r="M2820" i="1"/>
  <c r="N2820" i="1"/>
  <c r="P2820" i="1"/>
  <c r="Q2820" i="1"/>
  <c r="R2820" i="1"/>
  <c r="S2820" i="1"/>
  <c r="T2820" i="1"/>
  <c r="AL2820" i="1"/>
  <c r="A2821" i="1"/>
  <c r="B2821" i="1"/>
  <c r="C2821" i="1"/>
  <c r="G2821" i="1"/>
  <c r="H2821" i="1"/>
  <c r="I2821" i="1"/>
  <c r="J2821" i="1"/>
  <c r="K2821" i="1"/>
  <c r="P2821" i="1"/>
  <c r="Q2821" i="1"/>
  <c r="R2821" i="1"/>
  <c r="S2821" i="1"/>
  <c r="T2821" i="1"/>
  <c r="AL2821" i="1"/>
  <c r="A2822" i="1"/>
  <c r="B2822" i="1"/>
  <c r="C2822" i="1"/>
  <c r="G2822" i="1"/>
  <c r="H2822" i="1"/>
  <c r="I2822" i="1"/>
  <c r="J2822" i="1"/>
  <c r="K2822" i="1"/>
  <c r="P2822" i="1"/>
  <c r="Q2822" i="1"/>
  <c r="R2822" i="1"/>
  <c r="S2822" i="1"/>
  <c r="T2822" i="1"/>
  <c r="AL2822" i="1"/>
  <c r="A2823" i="1"/>
  <c r="B2823" i="1"/>
  <c r="C2823" i="1"/>
  <c r="G2823" i="1"/>
  <c r="H2823" i="1"/>
  <c r="I2823" i="1"/>
  <c r="J2823" i="1"/>
  <c r="K2823" i="1"/>
  <c r="P2823" i="1"/>
  <c r="Q2823" i="1"/>
  <c r="R2823" i="1"/>
  <c r="S2823" i="1"/>
  <c r="T2823" i="1"/>
  <c r="Z2823" i="1"/>
  <c r="AL2823" i="1"/>
  <c r="A2824" i="1"/>
  <c r="B2824" i="1"/>
  <c r="C2824" i="1"/>
  <c r="G2824" i="1"/>
  <c r="H2824" i="1"/>
  <c r="I2824" i="1"/>
  <c r="J2824" i="1"/>
  <c r="K2824" i="1"/>
  <c r="M2824" i="1"/>
  <c r="N2824" i="1"/>
  <c r="P2824" i="1"/>
  <c r="Q2824" i="1"/>
  <c r="R2824" i="1"/>
  <c r="S2824" i="1"/>
  <c r="T2824" i="1"/>
  <c r="Z2824" i="1"/>
  <c r="AL2824" i="1"/>
  <c r="A2825" i="1"/>
  <c r="B2825" i="1"/>
  <c r="C2825" i="1"/>
  <c r="G2825" i="1"/>
  <c r="H2825" i="1"/>
  <c r="I2825" i="1"/>
  <c r="J2825" i="1"/>
  <c r="K2825" i="1"/>
  <c r="P2825" i="1"/>
  <c r="Q2825" i="1"/>
  <c r="R2825" i="1"/>
  <c r="S2825" i="1"/>
  <c r="T2825" i="1"/>
  <c r="AL2825" i="1"/>
  <c r="A2826" i="1"/>
  <c r="B2826" i="1"/>
  <c r="C2826" i="1"/>
  <c r="G2826" i="1"/>
  <c r="H2826" i="1"/>
  <c r="I2826" i="1"/>
  <c r="J2826" i="1"/>
  <c r="K2826" i="1"/>
  <c r="M2826" i="1"/>
  <c r="N2826" i="1"/>
  <c r="P2826" i="1"/>
  <c r="Q2826" i="1"/>
  <c r="R2826" i="1"/>
  <c r="S2826" i="1"/>
  <c r="T2826" i="1"/>
  <c r="AL2826" i="1"/>
  <c r="A2827" i="1"/>
  <c r="B2827" i="1"/>
  <c r="C2827" i="1"/>
  <c r="G2827" i="1"/>
  <c r="H2827" i="1"/>
  <c r="I2827" i="1"/>
  <c r="J2827" i="1"/>
  <c r="K2827" i="1"/>
  <c r="P2827" i="1"/>
  <c r="Q2827" i="1"/>
  <c r="R2827" i="1"/>
  <c r="S2827" i="1"/>
  <c r="T2827" i="1"/>
  <c r="AL2827" i="1"/>
  <c r="A2828" i="1"/>
  <c r="B2828" i="1"/>
  <c r="C2828" i="1"/>
  <c r="G2828" i="1"/>
  <c r="H2828" i="1"/>
  <c r="I2828" i="1"/>
  <c r="J2828" i="1"/>
  <c r="K2828" i="1"/>
  <c r="P2828" i="1"/>
  <c r="Q2828" i="1"/>
  <c r="R2828" i="1"/>
  <c r="S2828" i="1"/>
  <c r="T2828" i="1"/>
  <c r="AL2828" i="1"/>
  <c r="A2829" i="1"/>
  <c r="B2829" i="1"/>
  <c r="C2829" i="1"/>
  <c r="G2829" i="1"/>
  <c r="H2829" i="1"/>
  <c r="I2829" i="1"/>
  <c r="J2829" i="1"/>
  <c r="K2829" i="1"/>
  <c r="P2829" i="1"/>
  <c r="Q2829" i="1"/>
  <c r="R2829" i="1"/>
  <c r="S2829" i="1"/>
  <c r="T2829" i="1"/>
  <c r="AL2829" i="1"/>
  <c r="A2830" i="1"/>
  <c r="B2830" i="1"/>
  <c r="C2830" i="1"/>
  <c r="G2830" i="1"/>
  <c r="H2830" i="1"/>
  <c r="I2830" i="1"/>
  <c r="J2830" i="1"/>
  <c r="K2830" i="1"/>
  <c r="P2830" i="1"/>
  <c r="Q2830" i="1"/>
  <c r="R2830" i="1"/>
  <c r="S2830" i="1"/>
  <c r="T2830" i="1"/>
  <c r="AL2830" i="1"/>
  <c r="A2831" i="1"/>
  <c r="B2831" i="1"/>
  <c r="C2831" i="1"/>
  <c r="G2831" i="1"/>
  <c r="H2831" i="1"/>
  <c r="I2831" i="1"/>
  <c r="J2831" i="1"/>
  <c r="K2831" i="1"/>
  <c r="P2831" i="1"/>
  <c r="Q2831" i="1"/>
  <c r="R2831" i="1"/>
  <c r="S2831" i="1"/>
  <c r="T2831" i="1"/>
  <c r="AL2831" i="1"/>
  <c r="A2832" i="1"/>
  <c r="B2832" i="1"/>
  <c r="C2832" i="1"/>
  <c r="G2832" i="1"/>
  <c r="H2832" i="1"/>
  <c r="I2832" i="1"/>
  <c r="J2832" i="1"/>
  <c r="K2832" i="1"/>
  <c r="P2832" i="1"/>
  <c r="Q2832" i="1"/>
  <c r="R2832" i="1"/>
  <c r="S2832" i="1"/>
  <c r="T2832" i="1"/>
  <c r="AL2832" i="1"/>
  <c r="A2833" i="1"/>
  <c r="B2833" i="1"/>
  <c r="C2833" i="1"/>
  <c r="G2833" i="1"/>
  <c r="H2833" i="1"/>
  <c r="I2833" i="1"/>
  <c r="J2833" i="1"/>
  <c r="K2833" i="1"/>
  <c r="P2833" i="1"/>
  <c r="Q2833" i="1"/>
  <c r="R2833" i="1"/>
  <c r="S2833" i="1"/>
  <c r="T2833" i="1"/>
  <c r="AL2833" i="1"/>
  <c r="A2834" i="1"/>
  <c r="B2834" i="1"/>
  <c r="C2834" i="1"/>
  <c r="G2834" i="1"/>
  <c r="H2834" i="1"/>
  <c r="I2834" i="1"/>
  <c r="J2834" i="1"/>
  <c r="K2834" i="1"/>
  <c r="P2834" i="1"/>
  <c r="Q2834" i="1"/>
  <c r="R2834" i="1"/>
  <c r="S2834" i="1"/>
  <c r="T2834" i="1"/>
  <c r="AL2834" i="1"/>
  <c r="A2835" i="1"/>
  <c r="B2835" i="1"/>
  <c r="C2835" i="1"/>
  <c r="G2835" i="1"/>
  <c r="H2835" i="1"/>
  <c r="I2835" i="1"/>
  <c r="J2835" i="1"/>
  <c r="K2835" i="1"/>
  <c r="P2835" i="1"/>
  <c r="Q2835" i="1"/>
  <c r="R2835" i="1"/>
  <c r="S2835" i="1"/>
  <c r="T2835" i="1"/>
  <c r="AL2835" i="1"/>
  <c r="A2836" i="1"/>
  <c r="B2836" i="1"/>
  <c r="C2836" i="1"/>
  <c r="G2836" i="1"/>
  <c r="H2836" i="1"/>
  <c r="I2836" i="1"/>
  <c r="J2836" i="1"/>
  <c r="K2836" i="1"/>
  <c r="P2836" i="1"/>
  <c r="Q2836" i="1"/>
  <c r="R2836" i="1"/>
  <c r="S2836" i="1"/>
  <c r="T2836" i="1"/>
  <c r="AL2836" i="1"/>
  <c r="A2837" i="1"/>
  <c r="B2837" i="1"/>
  <c r="C2837" i="1"/>
  <c r="G2837" i="1"/>
  <c r="H2837" i="1"/>
  <c r="I2837" i="1"/>
  <c r="J2837" i="1"/>
  <c r="K2837" i="1"/>
  <c r="P2837" i="1"/>
  <c r="Q2837" i="1"/>
  <c r="R2837" i="1"/>
  <c r="S2837" i="1"/>
  <c r="T2837" i="1"/>
  <c r="AL2837" i="1"/>
  <c r="A2838" i="1"/>
  <c r="B2838" i="1"/>
  <c r="C2838" i="1"/>
  <c r="G2838" i="1"/>
  <c r="H2838" i="1"/>
  <c r="I2838" i="1"/>
  <c r="J2838" i="1"/>
  <c r="K2838" i="1"/>
  <c r="P2838" i="1"/>
  <c r="Q2838" i="1"/>
  <c r="R2838" i="1"/>
  <c r="S2838" i="1"/>
  <c r="T2838" i="1"/>
  <c r="AL2838" i="1"/>
  <c r="A2839" i="1"/>
  <c r="B2839" i="1"/>
  <c r="C2839" i="1"/>
  <c r="G2839" i="1"/>
  <c r="H2839" i="1"/>
  <c r="I2839" i="1"/>
  <c r="J2839" i="1"/>
  <c r="K2839" i="1"/>
  <c r="P2839" i="1"/>
  <c r="Q2839" i="1"/>
  <c r="R2839" i="1"/>
  <c r="S2839" i="1"/>
  <c r="T2839" i="1"/>
  <c r="AL2839" i="1"/>
  <c r="A2840" i="1"/>
  <c r="B2840" i="1"/>
  <c r="C2840" i="1"/>
  <c r="G2840" i="1"/>
  <c r="H2840" i="1"/>
  <c r="I2840" i="1"/>
  <c r="J2840" i="1"/>
  <c r="K2840" i="1"/>
  <c r="P2840" i="1"/>
  <c r="Q2840" i="1"/>
  <c r="R2840" i="1"/>
  <c r="S2840" i="1"/>
  <c r="T2840" i="1"/>
  <c r="AL2840" i="1"/>
  <c r="A2841" i="1"/>
  <c r="B2841" i="1"/>
  <c r="C2841" i="1"/>
  <c r="G2841" i="1"/>
  <c r="H2841" i="1"/>
  <c r="I2841" i="1"/>
  <c r="J2841" i="1"/>
  <c r="K2841" i="1"/>
  <c r="P2841" i="1"/>
  <c r="Q2841" i="1"/>
  <c r="R2841" i="1"/>
  <c r="S2841" i="1"/>
  <c r="T2841" i="1"/>
  <c r="AL2841" i="1"/>
  <c r="A2842" i="1"/>
  <c r="B2842" i="1"/>
  <c r="C2842" i="1"/>
  <c r="G2842" i="1"/>
  <c r="H2842" i="1"/>
  <c r="I2842" i="1"/>
  <c r="J2842" i="1"/>
  <c r="K2842" i="1"/>
  <c r="P2842" i="1"/>
  <c r="Q2842" i="1"/>
  <c r="R2842" i="1"/>
  <c r="S2842" i="1"/>
  <c r="T2842" i="1"/>
  <c r="AL2842" i="1"/>
  <c r="A2843" i="1"/>
  <c r="B2843" i="1"/>
  <c r="C2843" i="1"/>
  <c r="G2843" i="1"/>
  <c r="H2843" i="1"/>
  <c r="I2843" i="1"/>
  <c r="J2843" i="1"/>
  <c r="K2843" i="1"/>
  <c r="P2843" i="1"/>
  <c r="Q2843" i="1"/>
  <c r="R2843" i="1"/>
  <c r="S2843" i="1"/>
  <c r="T2843" i="1"/>
  <c r="AL2843" i="1"/>
  <c r="A2844" i="1"/>
  <c r="B2844" i="1"/>
  <c r="C2844" i="1"/>
  <c r="G2844" i="1"/>
  <c r="H2844" i="1"/>
  <c r="I2844" i="1"/>
  <c r="J2844" i="1"/>
  <c r="K2844" i="1"/>
  <c r="P2844" i="1"/>
  <c r="Q2844" i="1"/>
  <c r="R2844" i="1"/>
  <c r="S2844" i="1"/>
  <c r="T2844" i="1"/>
  <c r="AL2844" i="1"/>
  <c r="A2845" i="1"/>
  <c r="B2845" i="1"/>
  <c r="C2845" i="1"/>
  <c r="G2845" i="1"/>
  <c r="H2845" i="1"/>
  <c r="I2845" i="1"/>
  <c r="J2845" i="1"/>
  <c r="K2845" i="1"/>
  <c r="P2845" i="1"/>
  <c r="Q2845" i="1"/>
  <c r="R2845" i="1"/>
  <c r="S2845" i="1"/>
  <c r="T2845" i="1"/>
  <c r="AL2845" i="1"/>
  <c r="A2846" i="1"/>
  <c r="B2846" i="1"/>
  <c r="C2846" i="1"/>
  <c r="G2846" i="1"/>
  <c r="H2846" i="1"/>
  <c r="I2846" i="1"/>
  <c r="J2846" i="1"/>
  <c r="K2846" i="1"/>
  <c r="P2846" i="1"/>
  <c r="Q2846" i="1"/>
  <c r="R2846" i="1"/>
  <c r="S2846" i="1"/>
  <c r="T2846" i="1"/>
  <c r="AL2846" i="1"/>
  <c r="A2847" i="1"/>
  <c r="B2847" i="1"/>
  <c r="C2847" i="1"/>
  <c r="G2847" i="1"/>
  <c r="H2847" i="1"/>
  <c r="I2847" i="1"/>
  <c r="J2847" i="1"/>
  <c r="K2847" i="1"/>
  <c r="P2847" i="1"/>
  <c r="Q2847" i="1"/>
  <c r="R2847" i="1"/>
  <c r="S2847" i="1"/>
  <c r="T2847" i="1"/>
  <c r="AL2847" i="1"/>
  <c r="A2848" i="1"/>
  <c r="B2848" i="1"/>
  <c r="C2848" i="1"/>
  <c r="G2848" i="1"/>
  <c r="H2848" i="1"/>
  <c r="I2848" i="1"/>
  <c r="J2848" i="1"/>
  <c r="K2848" i="1"/>
  <c r="P2848" i="1"/>
  <c r="Q2848" i="1"/>
  <c r="R2848" i="1"/>
  <c r="S2848" i="1"/>
  <c r="T2848" i="1"/>
  <c r="AL2848" i="1"/>
  <c r="A2849" i="1"/>
  <c r="B2849" i="1"/>
  <c r="C2849" i="1"/>
  <c r="G2849" i="1"/>
  <c r="H2849" i="1"/>
  <c r="I2849" i="1"/>
  <c r="J2849" i="1"/>
  <c r="K2849" i="1"/>
  <c r="P2849" i="1"/>
  <c r="Q2849" i="1"/>
  <c r="R2849" i="1"/>
  <c r="S2849" i="1"/>
  <c r="T2849" i="1"/>
  <c r="AL2849" i="1"/>
  <c r="A2850" i="1"/>
  <c r="B2850" i="1"/>
  <c r="C2850" i="1"/>
  <c r="G2850" i="1"/>
  <c r="H2850" i="1"/>
  <c r="I2850" i="1"/>
  <c r="J2850" i="1"/>
  <c r="K2850" i="1"/>
  <c r="P2850" i="1"/>
  <c r="Q2850" i="1"/>
  <c r="R2850" i="1"/>
  <c r="S2850" i="1"/>
  <c r="T2850" i="1"/>
  <c r="AL2850" i="1"/>
  <c r="A2851" i="1"/>
  <c r="B2851" i="1"/>
  <c r="C2851" i="1"/>
  <c r="G2851" i="1"/>
  <c r="H2851" i="1"/>
  <c r="I2851" i="1"/>
  <c r="J2851" i="1"/>
  <c r="K2851" i="1"/>
  <c r="P2851" i="1"/>
  <c r="Q2851" i="1"/>
  <c r="R2851" i="1"/>
  <c r="S2851" i="1"/>
  <c r="T2851" i="1"/>
  <c r="AL2851" i="1"/>
  <c r="A2852" i="1"/>
  <c r="B2852" i="1"/>
  <c r="C2852" i="1"/>
  <c r="G2852" i="1"/>
  <c r="H2852" i="1"/>
  <c r="I2852" i="1"/>
  <c r="J2852" i="1"/>
  <c r="K2852" i="1"/>
  <c r="P2852" i="1"/>
  <c r="Q2852" i="1"/>
  <c r="R2852" i="1"/>
  <c r="S2852" i="1"/>
  <c r="T2852" i="1"/>
  <c r="AL2852" i="1"/>
  <c r="A2853" i="1"/>
  <c r="B2853" i="1"/>
  <c r="C2853" i="1"/>
  <c r="G2853" i="1"/>
  <c r="H2853" i="1"/>
  <c r="I2853" i="1"/>
  <c r="J2853" i="1"/>
  <c r="K2853" i="1"/>
  <c r="P2853" i="1"/>
  <c r="Q2853" i="1"/>
  <c r="R2853" i="1"/>
  <c r="S2853" i="1"/>
  <c r="T2853" i="1"/>
  <c r="AL2853" i="1"/>
  <c r="A2854" i="1"/>
  <c r="B2854" i="1"/>
  <c r="C2854" i="1"/>
  <c r="G2854" i="1"/>
  <c r="H2854" i="1"/>
  <c r="I2854" i="1"/>
  <c r="J2854" i="1"/>
  <c r="K2854" i="1"/>
  <c r="M2854" i="1"/>
  <c r="N2854" i="1"/>
  <c r="P2854" i="1"/>
  <c r="Q2854" i="1"/>
  <c r="R2854" i="1"/>
  <c r="S2854" i="1"/>
  <c r="T2854" i="1"/>
  <c r="AL2854" i="1"/>
  <c r="A2855" i="1"/>
  <c r="B2855" i="1"/>
  <c r="C2855" i="1"/>
  <c r="G2855" i="1"/>
  <c r="H2855" i="1"/>
  <c r="I2855" i="1"/>
  <c r="J2855" i="1"/>
  <c r="K2855" i="1"/>
  <c r="P2855" i="1"/>
  <c r="Q2855" i="1"/>
  <c r="R2855" i="1"/>
  <c r="S2855" i="1"/>
  <c r="T2855" i="1"/>
  <c r="AL2855" i="1"/>
  <c r="A2856" i="1"/>
  <c r="B2856" i="1"/>
  <c r="C2856" i="1"/>
  <c r="G2856" i="1"/>
  <c r="H2856" i="1"/>
  <c r="I2856" i="1"/>
  <c r="J2856" i="1"/>
  <c r="K2856" i="1"/>
  <c r="M2856" i="1"/>
  <c r="N2856" i="1"/>
  <c r="P2856" i="1"/>
  <c r="Q2856" i="1"/>
  <c r="R2856" i="1"/>
  <c r="S2856" i="1"/>
  <c r="T2856" i="1"/>
  <c r="AL2856" i="1"/>
  <c r="A2857" i="1"/>
  <c r="B2857" i="1"/>
  <c r="C2857" i="1"/>
  <c r="G2857" i="1"/>
  <c r="H2857" i="1"/>
  <c r="I2857" i="1"/>
  <c r="J2857" i="1"/>
  <c r="K2857" i="1"/>
  <c r="P2857" i="1"/>
  <c r="Q2857" i="1"/>
  <c r="R2857" i="1"/>
  <c r="S2857" i="1"/>
  <c r="T2857" i="1"/>
  <c r="AL2857" i="1"/>
  <c r="A2858" i="1"/>
  <c r="B2858" i="1"/>
  <c r="C2858" i="1"/>
  <c r="G2858" i="1"/>
  <c r="H2858" i="1"/>
  <c r="I2858" i="1"/>
  <c r="J2858" i="1"/>
  <c r="K2858" i="1"/>
  <c r="P2858" i="1"/>
  <c r="Q2858" i="1"/>
  <c r="R2858" i="1"/>
  <c r="S2858" i="1"/>
  <c r="T2858" i="1"/>
  <c r="AL2858" i="1"/>
  <c r="A2859" i="1"/>
  <c r="B2859" i="1"/>
  <c r="C2859" i="1"/>
  <c r="G2859" i="1"/>
  <c r="H2859" i="1"/>
  <c r="I2859" i="1"/>
  <c r="J2859" i="1"/>
  <c r="K2859" i="1"/>
  <c r="P2859" i="1"/>
  <c r="Q2859" i="1"/>
  <c r="R2859" i="1"/>
  <c r="S2859" i="1"/>
  <c r="T2859" i="1"/>
  <c r="Z2859" i="1"/>
  <c r="AL2859" i="1"/>
  <c r="A2860" i="1"/>
  <c r="B2860" i="1"/>
  <c r="C2860" i="1"/>
  <c r="G2860" i="1"/>
  <c r="H2860" i="1"/>
  <c r="I2860" i="1"/>
  <c r="J2860" i="1"/>
  <c r="K2860" i="1"/>
  <c r="P2860" i="1"/>
  <c r="Q2860" i="1"/>
  <c r="R2860" i="1"/>
  <c r="S2860" i="1"/>
  <c r="T2860" i="1"/>
  <c r="Z2860" i="1"/>
  <c r="AL2860" i="1"/>
  <c r="A2861" i="1"/>
  <c r="B2861" i="1"/>
  <c r="C2861" i="1"/>
  <c r="G2861" i="1"/>
  <c r="H2861" i="1"/>
  <c r="I2861" i="1"/>
  <c r="J2861" i="1"/>
  <c r="K2861" i="1"/>
  <c r="P2861" i="1"/>
  <c r="Q2861" i="1"/>
  <c r="R2861" i="1"/>
  <c r="S2861" i="1"/>
  <c r="T2861" i="1"/>
  <c r="Z2861" i="1"/>
  <c r="AL2861" i="1"/>
  <c r="A2862" i="1"/>
  <c r="B2862" i="1"/>
  <c r="C2862" i="1"/>
  <c r="G2862" i="1"/>
  <c r="H2862" i="1"/>
  <c r="I2862" i="1"/>
  <c r="J2862" i="1"/>
  <c r="K2862" i="1"/>
  <c r="P2862" i="1"/>
  <c r="Q2862" i="1"/>
  <c r="R2862" i="1"/>
  <c r="S2862" i="1"/>
  <c r="T2862" i="1"/>
  <c r="Z2862" i="1"/>
  <c r="AL2862" i="1"/>
  <c r="A2863" i="1"/>
  <c r="B2863" i="1"/>
  <c r="C2863" i="1"/>
  <c r="G2863" i="1"/>
  <c r="H2863" i="1"/>
  <c r="I2863" i="1"/>
  <c r="J2863" i="1"/>
  <c r="K2863" i="1"/>
  <c r="P2863" i="1"/>
  <c r="Q2863" i="1"/>
  <c r="R2863" i="1"/>
  <c r="S2863" i="1"/>
  <c r="T2863" i="1"/>
  <c r="Z2863" i="1"/>
  <c r="AL2863" i="1"/>
  <c r="A2864" i="1"/>
  <c r="B2864" i="1"/>
  <c r="C2864" i="1"/>
  <c r="G2864" i="1"/>
  <c r="H2864" i="1"/>
  <c r="I2864" i="1"/>
  <c r="J2864" i="1"/>
  <c r="K2864" i="1"/>
  <c r="M2864" i="1"/>
  <c r="N2864" i="1"/>
  <c r="P2864" i="1"/>
  <c r="Q2864" i="1"/>
  <c r="R2864" i="1"/>
  <c r="S2864" i="1"/>
  <c r="T2864" i="1"/>
  <c r="AL2864" i="1"/>
  <c r="A2865" i="1"/>
  <c r="B2865" i="1"/>
  <c r="C2865" i="1"/>
  <c r="G2865" i="1"/>
  <c r="H2865" i="1"/>
  <c r="I2865" i="1"/>
  <c r="J2865" i="1"/>
  <c r="K2865" i="1"/>
  <c r="M2865" i="1"/>
  <c r="N2865" i="1"/>
  <c r="P2865" i="1"/>
  <c r="Q2865" i="1"/>
  <c r="R2865" i="1"/>
  <c r="S2865" i="1"/>
  <c r="T2865" i="1"/>
  <c r="AL2865" i="1"/>
  <c r="A2866" i="1"/>
  <c r="B2866" i="1"/>
  <c r="C2866" i="1"/>
  <c r="G2866" i="1"/>
  <c r="H2866" i="1"/>
  <c r="I2866" i="1"/>
  <c r="J2866" i="1"/>
  <c r="K2866" i="1"/>
  <c r="M2866" i="1"/>
  <c r="N2866" i="1"/>
  <c r="P2866" i="1"/>
  <c r="Q2866" i="1"/>
  <c r="R2866" i="1"/>
  <c r="S2866" i="1"/>
  <c r="T2866" i="1"/>
  <c r="AL2866" i="1"/>
  <c r="A2867" i="1"/>
  <c r="B2867" i="1"/>
  <c r="C2867" i="1"/>
  <c r="G2867" i="1"/>
  <c r="H2867" i="1"/>
  <c r="I2867" i="1"/>
  <c r="J2867" i="1"/>
  <c r="K2867" i="1"/>
  <c r="M2867" i="1"/>
  <c r="N2867" i="1"/>
  <c r="P2867" i="1"/>
  <c r="Q2867" i="1"/>
  <c r="R2867" i="1"/>
  <c r="S2867" i="1"/>
  <c r="T2867" i="1"/>
  <c r="AL2867" i="1"/>
  <c r="A2868" i="1"/>
  <c r="B2868" i="1"/>
  <c r="C2868" i="1"/>
  <c r="G2868" i="1"/>
  <c r="H2868" i="1"/>
  <c r="I2868" i="1"/>
  <c r="J2868" i="1"/>
  <c r="K2868" i="1"/>
  <c r="M2868" i="1"/>
  <c r="N2868" i="1"/>
  <c r="P2868" i="1"/>
  <c r="Q2868" i="1"/>
  <c r="R2868" i="1"/>
  <c r="S2868" i="1"/>
  <c r="T2868" i="1"/>
  <c r="AL2868" i="1"/>
  <c r="A2869" i="1"/>
  <c r="B2869" i="1"/>
  <c r="C2869" i="1"/>
  <c r="G2869" i="1"/>
  <c r="H2869" i="1"/>
  <c r="I2869" i="1"/>
  <c r="J2869" i="1"/>
  <c r="K2869" i="1"/>
  <c r="M2869" i="1"/>
  <c r="N2869" i="1"/>
  <c r="P2869" i="1"/>
  <c r="Q2869" i="1"/>
  <c r="R2869" i="1"/>
  <c r="S2869" i="1"/>
  <c r="T2869" i="1"/>
  <c r="AL2869" i="1"/>
  <c r="A2870" i="1"/>
  <c r="B2870" i="1"/>
  <c r="C2870" i="1"/>
  <c r="G2870" i="1"/>
  <c r="H2870" i="1"/>
  <c r="I2870" i="1"/>
  <c r="J2870" i="1"/>
  <c r="K2870" i="1"/>
  <c r="M2870" i="1"/>
  <c r="N2870" i="1"/>
  <c r="P2870" i="1"/>
  <c r="Q2870" i="1"/>
  <c r="R2870" i="1"/>
  <c r="S2870" i="1"/>
  <c r="T2870" i="1"/>
  <c r="AL2870" i="1"/>
  <c r="A2871" i="1"/>
  <c r="B2871" i="1"/>
  <c r="C2871" i="1"/>
  <c r="G2871" i="1"/>
  <c r="H2871" i="1"/>
  <c r="I2871" i="1"/>
  <c r="J2871" i="1"/>
  <c r="K2871" i="1"/>
  <c r="M2871" i="1"/>
  <c r="N2871" i="1"/>
  <c r="P2871" i="1"/>
  <c r="Q2871" i="1"/>
  <c r="R2871" i="1"/>
  <c r="S2871" i="1"/>
  <c r="T2871" i="1"/>
  <c r="AL2871" i="1"/>
  <c r="A2872" i="1"/>
  <c r="B2872" i="1"/>
  <c r="C2872" i="1"/>
  <c r="G2872" i="1"/>
  <c r="H2872" i="1"/>
  <c r="I2872" i="1"/>
  <c r="J2872" i="1"/>
  <c r="K2872" i="1"/>
  <c r="M2872" i="1"/>
  <c r="N2872" i="1"/>
  <c r="P2872" i="1"/>
  <c r="Q2872" i="1"/>
  <c r="R2872" i="1"/>
  <c r="S2872" i="1"/>
  <c r="T2872" i="1"/>
  <c r="AL2872" i="1"/>
  <c r="A2873" i="1"/>
  <c r="B2873" i="1"/>
  <c r="C2873" i="1"/>
  <c r="G2873" i="1"/>
  <c r="H2873" i="1"/>
  <c r="I2873" i="1"/>
  <c r="J2873" i="1"/>
  <c r="K2873" i="1"/>
  <c r="M2873" i="1"/>
  <c r="N2873" i="1"/>
  <c r="P2873" i="1"/>
  <c r="Q2873" i="1"/>
  <c r="R2873" i="1"/>
  <c r="S2873" i="1"/>
  <c r="T2873" i="1"/>
  <c r="AL2873" i="1"/>
  <c r="A2874" i="1"/>
  <c r="B2874" i="1"/>
  <c r="C2874" i="1"/>
  <c r="G2874" i="1"/>
  <c r="H2874" i="1"/>
  <c r="I2874" i="1"/>
  <c r="J2874" i="1"/>
  <c r="K2874" i="1"/>
  <c r="M2874" i="1"/>
  <c r="N2874" i="1"/>
  <c r="P2874" i="1"/>
  <c r="Q2874" i="1"/>
  <c r="R2874" i="1"/>
  <c r="S2874" i="1"/>
  <c r="T2874" i="1"/>
  <c r="AL2874" i="1"/>
  <c r="A2875" i="1"/>
  <c r="B2875" i="1"/>
  <c r="C2875" i="1"/>
  <c r="G2875" i="1"/>
  <c r="H2875" i="1"/>
  <c r="I2875" i="1"/>
  <c r="J2875" i="1"/>
  <c r="K2875" i="1"/>
  <c r="M2875" i="1"/>
  <c r="N2875" i="1"/>
  <c r="P2875" i="1"/>
  <c r="Q2875" i="1"/>
  <c r="R2875" i="1"/>
  <c r="S2875" i="1"/>
  <c r="T2875" i="1"/>
  <c r="AL2875" i="1"/>
  <c r="A2876" i="1"/>
  <c r="B2876" i="1"/>
  <c r="C2876" i="1"/>
  <c r="G2876" i="1"/>
  <c r="H2876" i="1"/>
  <c r="I2876" i="1"/>
  <c r="J2876" i="1"/>
  <c r="K2876" i="1"/>
  <c r="M2876" i="1"/>
  <c r="N2876" i="1"/>
  <c r="P2876" i="1"/>
  <c r="Q2876" i="1"/>
  <c r="R2876" i="1"/>
  <c r="S2876" i="1"/>
  <c r="T2876" i="1"/>
  <c r="AL2876" i="1"/>
  <c r="A2877" i="1"/>
  <c r="B2877" i="1"/>
  <c r="C2877" i="1"/>
  <c r="G2877" i="1"/>
  <c r="H2877" i="1"/>
  <c r="I2877" i="1"/>
  <c r="J2877" i="1"/>
  <c r="K2877" i="1"/>
  <c r="M2877" i="1"/>
  <c r="N2877" i="1"/>
  <c r="P2877" i="1"/>
  <c r="Q2877" i="1"/>
  <c r="R2877" i="1"/>
  <c r="S2877" i="1"/>
  <c r="T2877" i="1"/>
  <c r="AL2877" i="1"/>
  <c r="A2878" i="1"/>
  <c r="B2878" i="1"/>
  <c r="C2878" i="1"/>
  <c r="G2878" i="1"/>
  <c r="H2878" i="1"/>
  <c r="I2878" i="1"/>
  <c r="J2878" i="1"/>
  <c r="K2878" i="1"/>
  <c r="M2878" i="1"/>
  <c r="N2878" i="1"/>
  <c r="P2878" i="1"/>
  <c r="Q2878" i="1"/>
  <c r="R2878" i="1"/>
  <c r="S2878" i="1"/>
  <c r="T2878" i="1"/>
  <c r="AL2878" i="1"/>
  <c r="A2879" i="1"/>
  <c r="B2879" i="1"/>
  <c r="C2879" i="1"/>
  <c r="G2879" i="1"/>
  <c r="H2879" i="1"/>
  <c r="I2879" i="1"/>
  <c r="J2879" i="1"/>
  <c r="K2879" i="1"/>
  <c r="M2879" i="1"/>
  <c r="N2879" i="1"/>
  <c r="P2879" i="1"/>
  <c r="Q2879" i="1"/>
  <c r="R2879" i="1"/>
  <c r="S2879" i="1"/>
  <c r="T2879" i="1"/>
  <c r="AL2879" i="1"/>
  <c r="A2880" i="1"/>
  <c r="B2880" i="1"/>
  <c r="C2880" i="1"/>
  <c r="G2880" i="1"/>
  <c r="H2880" i="1"/>
  <c r="I2880" i="1"/>
  <c r="J2880" i="1"/>
  <c r="K2880" i="1"/>
  <c r="M2880" i="1"/>
  <c r="N2880" i="1"/>
  <c r="P2880" i="1"/>
  <c r="Q2880" i="1"/>
  <c r="R2880" i="1"/>
  <c r="S2880" i="1"/>
  <c r="T2880" i="1"/>
  <c r="AL2880" i="1"/>
  <c r="A2881" i="1"/>
  <c r="B2881" i="1"/>
  <c r="C2881" i="1"/>
  <c r="G2881" i="1"/>
  <c r="H2881" i="1"/>
  <c r="I2881" i="1"/>
  <c r="J2881" i="1"/>
  <c r="K2881" i="1"/>
  <c r="M2881" i="1"/>
  <c r="N2881" i="1"/>
  <c r="P2881" i="1"/>
  <c r="Q2881" i="1"/>
  <c r="R2881" i="1"/>
  <c r="S2881" i="1"/>
  <c r="T2881" i="1"/>
  <c r="AL2881" i="1"/>
  <c r="A2882" i="1"/>
  <c r="B2882" i="1"/>
  <c r="C2882" i="1"/>
  <c r="G2882" i="1"/>
  <c r="H2882" i="1"/>
  <c r="I2882" i="1"/>
  <c r="J2882" i="1"/>
  <c r="K2882" i="1"/>
  <c r="M2882" i="1"/>
  <c r="N2882" i="1"/>
  <c r="P2882" i="1"/>
  <c r="Q2882" i="1"/>
  <c r="R2882" i="1"/>
  <c r="S2882" i="1"/>
  <c r="T2882" i="1"/>
  <c r="AL2882" i="1"/>
  <c r="A2883" i="1"/>
  <c r="B2883" i="1"/>
  <c r="C2883" i="1"/>
  <c r="G2883" i="1"/>
  <c r="H2883" i="1"/>
  <c r="I2883" i="1"/>
  <c r="J2883" i="1"/>
  <c r="K2883" i="1"/>
  <c r="M2883" i="1"/>
  <c r="N2883" i="1"/>
  <c r="P2883" i="1"/>
  <c r="Q2883" i="1"/>
  <c r="R2883" i="1"/>
  <c r="S2883" i="1"/>
  <c r="T2883" i="1"/>
  <c r="AL2883" i="1"/>
  <c r="A2884" i="1"/>
  <c r="B2884" i="1"/>
  <c r="C2884" i="1"/>
  <c r="G2884" i="1"/>
  <c r="H2884" i="1"/>
  <c r="I2884" i="1"/>
  <c r="J2884" i="1"/>
  <c r="K2884" i="1"/>
  <c r="M2884" i="1"/>
  <c r="N2884" i="1"/>
  <c r="P2884" i="1"/>
  <c r="Q2884" i="1"/>
  <c r="R2884" i="1"/>
  <c r="S2884" i="1"/>
  <c r="T2884" i="1"/>
  <c r="AL2884" i="1"/>
  <c r="A2885" i="1"/>
  <c r="B2885" i="1"/>
  <c r="C2885" i="1"/>
  <c r="G2885" i="1"/>
  <c r="H2885" i="1"/>
  <c r="I2885" i="1"/>
  <c r="J2885" i="1"/>
  <c r="K2885" i="1"/>
  <c r="M2885" i="1"/>
  <c r="N2885" i="1"/>
  <c r="P2885" i="1"/>
  <c r="Q2885" i="1"/>
  <c r="R2885" i="1"/>
  <c r="S2885" i="1"/>
  <c r="T2885" i="1"/>
  <c r="AL2885" i="1"/>
  <c r="A2886" i="1"/>
  <c r="B2886" i="1"/>
  <c r="C2886" i="1"/>
  <c r="G2886" i="1"/>
  <c r="H2886" i="1"/>
  <c r="I2886" i="1"/>
  <c r="J2886" i="1"/>
  <c r="K2886" i="1"/>
  <c r="M2886" i="1"/>
  <c r="N2886" i="1"/>
  <c r="P2886" i="1"/>
  <c r="Q2886" i="1"/>
  <c r="R2886" i="1"/>
  <c r="S2886" i="1"/>
  <c r="T2886" i="1"/>
  <c r="AL2886" i="1"/>
  <c r="A2887" i="1"/>
  <c r="B2887" i="1"/>
  <c r="C2887" i="1"/>
  <c r="G2887" i="1"/>
  <c r="H2887" i="1"/>
  <c r="I2887" i="1"/>
  <c r="J2887" i="1"/>
  <c r="K2887" i="1"/>
  <c r="M2887" i="1"/>
  <c r="N2887" i="1"/>
  <c r="P2887" i="1"/>
  <c r="Q2887" i="1"/>
  <c r="R2887" i="1"/>
  <c r="S2887" i="1"/>
  <c r="T2887" i="1"/>
  <c r="AL2887" i="1"/>
  <c r="A2888" i="1"/>
  <c r="B2888" i="1"/>
  <c r="C2888" i="1"/>
  <c r="G2888" i="1"/>
  <c r="H2888" i="1"/>
  <c r="I2888" i="1"/>
  <c r="J2888" i="1"/>
  <c r="K2888" i="1"/>
  <c r="M2888" i="1"/>
  <c r="N2888" i="1"/>
  <c r="P2888" i="1"/>
  <c r="Q2888" i="1"/>
  <c r="R2888" i="1"/>
  <c r="S2888" i="1"/>
  <c r="T2888" i="1"/>
  <c r="AL2888" i="1"/>
  <c r="A2889" i="1"/>
  <c r="B2889" i="1"/>
  <c r="C2889" i="1"/>
  <c r="G2889" i="1"/>
  <c r="H2889" i="1"/>
  <c r="I2889" i="1"/>
  <c r="J2889" i="1"/>
  <c r="K2889" i="1"/>
  <c r="M2889" i="1"/>
  <c r="N2889" i="1"/>
  <c r="P2889" i="1"/>
  <c r="Q2889" i="1"/>
  <c r="R2889" i="1"/>
  <c r="S2889" i="1"/>
  <c r="T2889" i="1"/>
  <c r="AL2889" i="1"/>
  <c r="A2890" i="1"/>
  <c r="B2890" i="1"/>
  <c r="C2890" i="1"/>
  <c r="G2890" i="1"/>
  <c r="H2890" i="1"/>
  <c r="I2890" i="1"/>
  <c r="J2890" i="1"/>
  <c r="K2890" i="1"/>
  <c r="M2890" i="1"/>
  <c r="N2890" i="1"/>
  <c r="P2890" i="1"/>
  <c r="Q2890" i="1"/>
  <c r="R2890" i="1"/>
  <c r="S2890" i="1"/>
  <c r="T2890" i="1"/>
  <c r="AL2890" i="1"/>
  <c r="A2891" i="1"/>
  <c r="B2891" i="1"/>
  <c r="C2891" i="1"/>
  <c r="G2891" i="1"/>
  <c r="H2891" i="1"/>
  <c r="I2891" i="1"/>
  <c r="J2891" i="1"/>
  <c r="K2891" i="1"/>
  <c r="M2891" i="1"/>
  <c r="N2891" i="1"/>
  <c r="P2891" i="1"/>
  <c r="Q2891" i="1"/>
  <c r="R2891" i="1"/>
  <c r="S2891" i="1"/>
  <c r="T2891" i="1"/>
  <c r="AL2891" i="1"/>
  <c r="A2892" i="1"/>
  <c r="B2892" i="1"/>
  <c r="C2892" i="1"/>
  <c r="G2892" i="1"/>
  <c r="H2892" i="1"/>
  <c r="I2892" i="1"/>
  <c r="J2892" i="1"/>
  <c r="K2892" i="1"/>
  <c r="M2892" i="1"/>
  <c r="N2892" i="1"/>
  <c r="P2892" i="1"/>
  <c r="Q2892" i="1"/>
  <c r="R2892" i="1"/>
  <c r="S2892" i="1"/>
  <c r="T2892" i="1"/>
  <c r="AL2892" i="1"/>
  <c r="A2893" i="1"/>
  <c r="B2893" i="1"/>
  <c r="C2893" i="1"/>
  <c r="G2893" i="1"/>
  <c r="H2893" i="1"/>
  <c r="I2893" i="1"/>
  <c r="J2893" i="1"/>
  <c r="K2893" i="1"/>
  <c r="M2893" i="1"/>
  <c r="N2893" i="1"/>
  <c r="P2893" i="1"/>
  <c r="Q2893" i="1"/>
  <c r="R2893" i="1"/>
  <c r="S2893" i="1"/>
  <c r="T2893" i="1"/>
  <c r="AL2893" i="1"/>
  <c r="A2894" i="1"/>
  <c r="B2894" i="1"/>
  <c r="C2894" i="1"/>
  <c r="G2894" i="1"/>
  <c r="H2894" i="1"/>
  <c r="I2894" i="1"/>
  <c r="J2894" i="1"/>
  <c r="K2894" i="1"/>
  <c r="M2894" i="1"/>
  <c r="N2894" i="1"/>
  <c r="P2894" i="1"/>
  <c r="Q2894" i="1"/>
  <c r="R2894" i="1"/>
  <c r="S2894" i="1"/>
  <c r="T2894" i="1"/>
  <c r="AL2894" i="1"/>
  <c r="A2895" i="1"/>
  <c r="B2895" i="1"/>
  <c r="C2895" i="1"/>
  <c r="G2895" i="1"/>
  <c r="H2895" i="1"/>
  <c r="I2895" i="1"/>
  <c r="J2895" i="1"/>
  <c r="K2895" i="1"/>
  <c r="M2895" i="1"/>
  <c r="N2895" i="1"/>
  <c r="P2895" i="1"/>
  <c r="Q2895" i="1"/>
  <c r="R2895" i="1"/>
  <c r="S2895" i="1"/>
  <c r="T2895" i="1"/>
  <c r="AL2895" i="1"/>
  <c r="A2896" i="1"/>
  <c r="B2896" i="1"/>
  <c r="C2896" i="1"/>
  <c r="G2896" i="1"/>
  <c r="H2896" i="1"/>
  <c r="I2896" i="1"/>
  <c r="J2896" i="1"/>
  <c r="K2896" i="1"/>
  <c r="M2896" i="1"/>
  <c r="N2896" i="1"/>
  <c r="P2896" i="1"/>
  <c r="Q2896" i="1"/>
  <c r="R2896" i="1"/>
  <c r="S2896" i="1"/>
  <c r="T2896" i="1"/>
  <c r="AL2896" i="1"/>
  <c r="A2897" i="1"/>
  <c r="B2897" i="1"/>
  <c r="C2897" i="1"/>
  <c r="G2897" i="1"/>
  <c r="H2897" i="1"/>
  <c r="I2897" i="1"/>
  <c r="J2897" i="1"/>
  <c r="K2897" i="1"/>
  <c r="M2897" i="1"/>
  <c r="N2897" i="1"/>
  <c r="P2897" i="1"/>
  <c r="Q2897" i="1"/>
  <c r="R2897" i="1"/>
  <c r="S2897" i="1"/>
  <c r="T2897" i="1"/>
  <c r="AL2897" i="1"/>
  <c r="A2898" i="1"/>
  <c r="B2898" i="1"/>
  <c r="C2898" i="1"/>
  <c r="G2898" i="1"/>
  <c r="H2898" i="1"/>
  <c r="I2898" i="1"/>
  <c r="J2898" i="1"/>
  <c r="K2898" i="1"/>
  <c r="M2898" i="1"/>
  <c r="N2898" i="1"/>
  <c r="P2898" i="1"/>
  <c r="Q2898" i="1"/>
  <c r="R2898" i="1"/>
  <c r="S2898" i="1"/>
  <c r="T2898" i="1"/>
  <c r="AL2898" i="1"/>
  <c r="A2899" i="1"/>
  <c r="B2899" i="1"/>
  <c r="C2899" i="1"/>
  <c r="G2899" i="1"/>
  <c r="H2899" i="1"/>
  <c r="I2899" i="1"/>
  <c r="J2899" i="1"/>
  <c r="K2899" i="1"/>
  <c r="M2899" i="1"/>
  <c r="N2899" i="1"/>
  <c r="P2899" i="1"/>
  <c r="Q2899" i="1"/>
  <c r="R2899" i="1"/>
  <c r="S2899" i="1"/>
  <c r="T2899" i="1"/>
  <c r="AL2899" i="1"/>
  <c r="A2900" i="1"/>
  <c r="B2900" i="1"/>
  <c r="C2900" i="1"/>
  <c r="G2900" i="1"/>
  <c r="H2900" i="1"/>
  <c r="I2900" i="1"/>
  <c r="J2900" i="1"/>
  <c r="K2900" i="1"/>
  <c r="M2900" i="1"/>
  <c r="N2900" i="1"/>
  <c r="P2900" i="1"/>
  <c r="Q2900" i="1"/>
  <c r="R2900" i="1"/>
  <c r="S2900" i="1"/>
  <c r="T2900" i="1"/>
  <c r="AL2900" i="1"/>
  <c r="A2901" i="1"/>
  <c r="B2901" i="1"/>
  <c r="C2901" i="1"/>
  <c r="G2901" i="1"/>
  <c r="H2901" i="1"/>
  <c r="I2901" i="1"/>
  <c r="J2901" i="1"/>
  <c r="K2901" i="1"/>
  <c r="M2901" i="1"/>
  <c r="N2901" i="1"/>
  <c r="P2901" i="1"/>
  <c r="Q2901" i="1"/>
  <c r="R2901" i="1"/>
  <c r="S2901" i="1"/>
  <c r="T2901" i="1"/>
  <c r="AL2901" i="1"/>
  <c r="A2902" i="1"/>
  <c r="B2902" i="1"/>
  <c r="C2902" i="1"/>
  <c r="G2902" i="1"/>
  <c r="H2902" i="1"/>
  <c r="I2902" i="1"/>
  <c r="J2902" i="1"/>
  <c r="K2902" i="1"/>
  <c r="M2902" i="1"/>
  <c r="N2902" i="1"/>
  <c r="P2902" i="1"/>
  <c r="Q2902" i="1"/>
  <c r="R2902" i="1"/>
  <c r="S2902" i="1"/>
  <c r="T2902" i="1"/>
  <c r="AL2902" i="1"/>
  <c r="A2903" i="1"/>
  <c r="B2903" i="1"/>
  <c r="C2903" i="1"/>
  <c r="G2903" i="1"/>
  <c r="H2903" i="1"/>
  <c r="I2903" i="1"/>
  <c r="J2903" i="1"/>
  <c r="K2903" i="1"/>
  <c r="M2903" i="1"/>
  <c r="N2903" i="1"/>
  <c r="P2903" i="1"/>
  <c r="Q2903" i="1"/>
  <c r="R2903" i="1"/>
  <c r="S2903" i="1"/>
  <c r="T2903" i="1"/>
  <c r="AL2903" i="1"/>
  <c r="A2904" i="1"/>
  <c r="B2904" i="1"/>
  <c r="C2904" i="1"/>
  <c r="G2904" i="1"/>
  <c r="H2904" i="1"/>
  <c r="I2904" i="1"/>
  <c r="J2904" i="1"/>
  <c r="K2904" i="1"/>
  <c r="M2904" i="1"/>
  <c r="N2904" i="1"/>
  <c r="P2904" i="1"/>
  <c r="Q2904" i="1"/>
  <c r="R2904" i="1"/>
  <c r="S2904" i="1"/>
  <c r="T2904" i="1"/>
  <c r="AL2904" i="1"/>
  <c r="A2905" i="1"/>
  <c r="B2905" i="1"/>
  <c r="C2905" i="1"/>
  <c r="G2905" i="1"/>
  <c r="H2905" i="1"/>
  <c r="I2905" i="1"/>
  <c r="J2905" i="1"/>
  <c r="K2905" i="1"/>
  <c r="M2905" i="1"/>
  <c r="N2905" i="1"/>
  <c r="P2905" i="1"/>
  <c r="Q2905" i="1"/>
  <c r="R2905" i="1"/>
  <c r="S2905" i="1"/>
  <c r="T2905" i="1"/>
  <c r="AL2905" i="1"/>
  <c r="A2906" i="1"/>
  <c r="B2906" i="1"/>
  <c r="C2906" i="1"/>
  <c r="G2906" i="1"/>
  <c r="H2906" i="1"/>
  <c r="I2906" i="1"/>
  <c r="J2906" i="1"/>
  <c r="K2906" i="1"/>
  <c r="M2906" i="1"/>
  <c r="N2906" i="1"/>
  <c r="P2906" i="1"/>
  <c r="Q2906" i="1"/>
  <c r="R2906" i="1"/>
  <c r="S2906" i="1"/>
  <c r="T2906" i="1"/>
  <c r="AL2906" i="1"/>
  <c r="A2907" i="1"/>
  <c r="B2907" i="1"/>
  <c r="C2907" i="1"/>
  <c r="G2907" i="1"/>
  <c r="H2907" i="1"/>
  <c r="I2907" i="1"/>
  <c r="J2907" i="1"/>
  <c r="K2907" i="1"/>
  <c r="M2907" i="1"/>
  <c r="N2907" i="1"/>
  <c r="P2907" i="1"/>
  <c r="Q2907" i="1"/>
  <c r="R2907" i="1"/>
  <c r="S2907" i="1"/>
  <c r="T2907" i="1"/>
  <c r="AL2907" i="1"/>
  <c r="A2908" i="1"/>
  <c r="B2908" i="1"/>
  <c r="C2908" i="1"/>
  <c r="G2908" i="1"/>
  <c r="H2908" i="1"/>
  <c r="I2908" i="1"/>
  <c r="J2908" i="1"/>
  <c r="K2908" i="1"/>
  <c r="M2908" i="1"/>
  <c r="N2908" i="1"/>
  <c r="P2908" i="1"/>
  <c r="Q2908" i="1"/>
  <c r="R2908" i="1"/>
  <c r="S2908" i="1"/>
  <c r="T2908" i="1"/>
  <c r="AL2908" i="1"/>
  <c r="A2909" i="1"/>
  <c r="B2909" i="1"/>
  <c r="C2909" i="1"/>
  <c r="G2909" i="1"/>
  <c r="H2909" i="1"/>
  <c r="I2909" i="1"/>
  <c r="J2909" i="1"/>
  <c r="K2909" i="1"/>
  <c r="M2909" i="1"/>
  <c r="N2909" i="1"/>
  <c r="P2909" i="1"/>
  <c r="Q2909" i="1"/>
  <c r="R2909" i="1"/>
  <c r="S2909" i="1"/>
  <c r="T2909" i="1"/>
  <c r="AL2909" i="1"/>
  <c r="A2910" i="1"/>
  <c r="B2910" i="1"/>
  <c r="C2910" i="1"/>
  <c r="G2910" i="1"/>
  <c r="H2910" i="1"/>
  <c r="I2910" i="1"/>
  <c r="J2910" i="1"/>
  <c r="K2910" i="1"/>
  <c r="M2910" i="1"/>
  <c r="N2910" i="1"/>
  <c r="P2910" i="1"/>
  <c r="Q2910" i="1"/>
  <c r="R2910" i="1"/>
  <c r="S2910" i="1"/>
  <c r="T2910" i="1"/>
  <c r="AL2910" i="1"/>
  <c r="A2911" i="1"/>
  <c r="B2911" i="1"/>
  <c r="C2911" i="1"/>
  <c r="G2911" i="1"/>
  <c r="H2911" i="1"/>
  <c r="I2911" i="1"/>
  <c r="J2911" i="1"/>
  <c r="K2911" i="1"/>
  <c r="M2911" i="1"/>
  <c r="N2911" i="1"/>
  <c r="P2911" i="1"/>
  <c r="Q2911" i="1"/>
  <c r="R2911" i="1"/>
  <c r="S2911" i="1"/>
  <c r="T2911" i="1"/>
  <c r="AL2911" i="1"/>
  <c r="A2912" i="1"/>
  <c r="B2912" i="1"/>
  <c r="C2912" i="1"/>
  <c r="G2912" i="1"/>
  <c r="H2912" i="1"/>
  <c r="I2912" i="1"/>
  <c r="J2912" i="1"/>
  <c r="K2912" i="1"/>
  <c r="M2912" i="1"/>
  <c r="N2912" i="1"/>
  <c r="P2912" i="1"/>
  <c r="Q2912" i="1"/>
  <c r="R2912" i="1"/>
  <c r="S2912" i="1"/>
  <c r="T2912" i="1"/>
  <c r="AL2912" i="1"/>
  <c r="A2913" i="1"/>
  <c r="B2913" i="1"/>
  <c r="C2913" i="1"/>
  <c r="G2913" i="1"/>
  <c r="H2913" i="1"/>
  <c r="J2913" i="1"/>
  <c r="K2913" i="1"/>
  <c r="M2913" i="1"/>
  <c r="N2913" i="1"/>
  <c r="P2913" i="1"/>
  <c r="Q2913" i="1"/>
  <c r="R2913" i="1"/>
  <c r="T2913" i="1"/>
  <c r="Z2913" i="1"/>
  <c r="AL2913" i="1"/>
  <c r="A2914" i="1"/>
  <c r="C2914" i="1"/>
  <c r="G2914" i="1"/>
  <c r="H2914" i="1"/>
  <c r="J2914" i="1"/>
  <c r="K2914" i="1"/>
  <c r="M2914" i="1"/>
  <c r="N2914" i="1"/>
  <c r="P2914" i="1"/>
  <c r="Q2914" i="1"/>
  <c r="R2914" i="1"/>
  <c r="T2914" i="1"/>
  <c r="Z2914" i="1"/>
  <c r="AL2914" i="1"/>
  <c r="A2915" i="1"/>
  <c r="B2915" i="1"/>
  <c r="C2915" i="1"/>
  <c r="G2915" i="1"/>
  <c r="H2915" i="1"/>
  <c r="I2915" i="1"/>
  <c r="J2915" i="1"/>
  <c r="K2915" i="1"/>
  <c r="M2915" i="1"/>
  <c r="N2915" i="1"/>
  <c r="P2915" i="1"/>
  <c r="Q2915" i="1"/>
  <c r="R2915" i="1"/>
  <c r="S2915" i="1"/>
  <c r="T2915" i="1"/>
  <c r="AL2915" i="1"/>
  <c r="A2916" i="1"/>
  <c r="B2916" i="1"/>
  <c r="C2916" i="1"/>
  <c r="G2916" i="1"/>
  <c r="H2916" i="1"/>
  <c r="I2916" i="1"/>
  <c r="J2916" i="1"/>
  <c r="K2916" i="1"/>
  <c r="P2916" i="1"/>
  <c r="Q2916" i="1"/>
  <c r="R2916" i="1"/>
  <c r="S2916" i="1"/>
  <c r="T2916" i="1"/>
  <c r="AL2916" i="1"/>
  <c r="A2917" i="1"/>
  <c r="B2917" i="1"/>
  <c r="C2917" i="1"/>
  <c r="G2917" i="1"/>
  <c r="H2917" i="1"/>
  <c r="I2917" i="1"/>
  <c r="J2917" i="1"/>
  <c r="K2917" i="1"/>
  <c r="M2917" i="1"/>
  <c r="N2917" i="1"/>
  <c r="P2917" i="1"/>
  <c r="Q2917" i="1"/>
  <c r="R2917" i="1"/>
  <c r="S2917" i="1"/>
  <c r="T2917" i="1"/>
  <c r="Z2917" i="1"/>
  <c r="AL2917" i="1"/>
  <c r="A2918" i="1"/>
  <c r="B2918" i="1"/>
  <c r="C2918" i="1"/>
  <c r="G2918" i="1"/>
  <c r="H2918" i="1"/>
  <c r="I2918" i="1"/>
  <c r="J2918" i="1"/>
  <c r="K2918" i="1"/>
  <c r="M2918" i="1"/>
  <c r="N2918" i="1"/>
  <c r="P2918" i="1"/>
  <c r="Q2918" i="1"/>
  <c r="R2918" i="1"/>
  <c r="S2918" i="1"/>
  <c r="T2918" i="1"/>
  <c r="Z2918" i="1"/>
  <c r="AL2918" i="1"/>
  <c r="A2919" i="1"/>
  <c r="C2919" i="1"/>
  <c r="G2919" i="1"/>
  <c r="H2919" i="1"/>
  <c r="I2919" i="1"/>
  <c r="J2919" i="1"/>
  <c r="K2919" i="1"/>
  <c r="M2919" i="1"/>
  <c r="N2919" i="1"/>
  <c r="P2919" i="1"/>
  <c r="Q2919" i="1"/>
  <c r="R2919" i="1"/>
  <c r="S2919" i="1"/>
  <c r="T2919" i="1"/>
  <c r="Z2919" i="1"/>
  <c r="AL2919" i="1"/>
  <c r="A2920" i="1"/>
  <c r="B2920" i="1"/>
  <c r="C2920" i="1"/>
  <c r="G2920" i="1"/>
  <c r="H2920" i="1"/>
  <c r="I2920" i="1"/>
  <c r="J2920" i="1"/>
  <c r="K2920" i="1"/>
  <c r="M2920" i="1"/>
  <c r="N2920" i="1"/>
  <c r="P2920" i="1"/>
  <c r="Q2920" i="1"/>
  <c r="R2920" i="1"/>
  <c r="S2920" i="1"/>
  <c r="T2920" i="1"/>
  <c r="AL2920" i="1"/>
  <c r="A2921" i="1"/>
  <c r="B2921" i="1"/>
  <c r="C2921" i="1"/>
  <c r="G2921" i="1"/>
  <c r="H2921" i="1"/>
  <c r="I2921" i="1"/>
  <c r="J2921" i="1"/>
  <c r="K2921" i="1"/>
  <c r="M2921" i="1"/>
  <c r="N2921" i="1"/>
  <c r="P2921" i="1"/>
  <c r="Q2921" i="1"/>
  <c r="R2921" i="1"/>
  <c r="S2921" i="1"/>
  <c r="T2921" i="1"/>
  <c r="AL2921" i="1"/>
  <c r="A2922" i="1"/>
  <c r="B2922" i="1"/>
  <c r="C2922" i="1"/>
  <c r="G2922" i="1"/>
  <c r="H2922" i="1"/>
  <c r="I2922" i="1"/>
  <c r="J2922" i="1"/>
  <c r="K2922" i="1"/>
  <c r="P2922" i="1"/>
  <c r="Q2922" i="1"/>
  <c r="R2922" i="1"/>
  <c r="S2922" i="1"/>
  <c r="T2922" i="1"/>
  <c r="AL2922" i="1"/>
  <c r="A2923" i="1"/>
  <c r="B2923" i="1"/>
  <c r="C2923" i="1"/>
  <c r="G2923" i="1"/>
  <c r="H2923" i="1"/>
  <c r="I2923" i="1"/>
  <c r="J2923" i="1"/>
  <c r="K2923" i="1"/>
  <c r="P2923" i="1"/>
  <c r="Q2923" i="1"/>
  <c r="R2923" i="1"/>
  <c r="S2923" i="1"/>
  <c r="T2923" i="1"/>
  <c r="AL2923" i="1"/>
  <c r="A2924" i="1"/>
  <c r="B2924" i="1"/>
  <c r="C2924" i="1"/>
  <c r="G2924" i="1"/>
  <c r="H2924" i="1"/>
  <c r="I2924" i="1"/>
  <c r="J2924" i="1"/>
  <c r="K2924" i="1"/>
  <c r="M2924" i="1"/>
  <c r="N2924" i="1"/>
  <c r="P2924" i="1"/>
  <c r="Q2924" i="1"/>
  <c r="R2924" i="1"/>
  <c r="S2924" i="1"/>
  <c r="T2924" i="1"/>
  <c r="AL2924" i="1"/>
  <c r="A2925" i="1"/>
  <c r="B2925" i="1"/>
  <c r="C2925" i="1"/>
  <c r="G2925" i="1"/>
  <c r="H2925" i="1"/>
  <c r="I2925" i="1"/>
  <c r="J2925" i="1"/>
  <c r="K2925" i="1"/>
  <c r="M2925" i="1"/>
  <c r="N2925" i="1"/>
  <c r="P2925" i="1"/>
  <c r="Q2925" i="1"/>
  <c r="R2925" i="1"/>
  <c r="S2925" i="1"/>
  <c r="T2925" i="1"/>
  <c r="AL2925" i="1"/>
  <c r="A2926" i="1"/>
  <c r="B2926" i="1"/>
  <c r="C2926" i="1"/>
  <c r="G2926" i="1"/>
  <c r="H2926" i="1"/>
  <c r="I2926" i="1"/>
  <c r="J2926" i="1"/>
  <c r="K2926" i="1"/>
  <c r="M2926" i="1"/>
  <c r="N2926" i="1"/>
  <c r="P2926" i="1"/>
  <c r="Q2926" i="1"/>
  <c r="R2926" i="1"/>
  <c r="S2926" i="1"/>
  <c r="T2926" i="1"/>
  <c r="AL2926" i="1"/>
  <c r="A2927" i="1"/>
  <c r="B2927" i="1"/>
  <c r="C2927" i="1"/>
  <c r="G2927" i="1"/>
  <c r="H2927" i="1"/>
  <c r="I2927" i="1"/>
  <c r="J2927" i="1"/>
  <c r="K2927" i="1"/>
  <c r="M2927" i="1"/>
  <c r="N2927" i="1"/>
  <c r="P2927" i="1"/>
  <c r="Q2927" i="1"/>
  <c r="R2927" i="1"/>
  <c r="S2927" i="1"/>
  <c r="T2927" i="1"/>
  <c r="AL2927" i="1"/>
  <c r="A2928" i="1"/>
  <c r="B2928" i="1"/>
  <c r="C2928" i="1"/>
  <c r="G2928" i="1"/>
  <c r="H2928" i="1"/>
  <c r="I2928" i="1"/>
  <c r="J2928" i="1"/>
  <c r="K2928" i="1"/>
  <c r="M2928" i="1"/>
  <c r="N2928" i="1"/>
  <c r="P2928" i="1"/>
  <c r="Q2928" i="1"/>
  <c r="R2928" i="1"/>
  <c r="S2928" i="1"/>
  <c r="T2928" i="1"/>
  <c r="AL2928" i="1"/>
  <c r="A2929" i="1"/>
  <c r="B2929" i="1"/>
  <c r="C2929" i="1"/>
  <c r="G2929" i="1"/>
  <c r="H2929" i="1"/>
  <c r="I2929" i="1"/>
  <c r="J2929" i="1"/>
  <c r="K2929" i="1"/>
  <c r="M2929" i="1"/>
  <c r="N2929" i="1"/>
  <c r="P2929" i="1"/>
  <c r="Q2929" i="1"/>
  <c r="R2929" i="1"/>
  <c r="S2929" i="1"/>
  <c r="T2929" i="1"/>
  <c r="AL2929" i="1"/>
  <c r="A2930" i="1"/>
  <c r="B2930" i="1"/>
  <c r="C2930" i="1"/>
  <c r="G2930" i="1"/>
  <c r="H2930" i="1"/>
  <c r="I2930" i="1"/>
  <c r="J2930" i="1"/>
  <c r="K2930" i="1"/>
  <c r="M2930" i="1"/>
  <c r="N2930" i="1"/>
  <c r="P2930" i="1"/>
  <c r="Q2930" i="1"/>
  <c r="R2930" i="1"/>
  <c r="S2930" i="1"/>
  <c r="T2930" i="1"/>
  <c r="AL2930" i="1"/>
  <c r="A2931" i="1"/>
  <c r="B2931" i="1"/>
  <c r="C2931" i="1"/>
  <c r="G2931" i="1"/>
  <c r="H2931" i="1"/>
  <c r="I2931" i="1"/>
  <c r="J2931" i="1"/>
  <c r="K2931" i="1"/>
  <c r="M2931" i="1"/>
  <c r="N2931" i="1"/>
  <c r="P2931" i="1"/>
  <c r="Q2931" i="1"/>
  <c r="R2931" i="1"/>
  <c r="S2931" i="1"/>
  <c r="T2931" i="1"/>
  <c r="AL2931" i="1"/>
  <c r="A2932" i="1"/>
  <c r="B2932" i="1"/>
  <c r="C2932" i="1"/>
  <c r="G2932" i="1"/>
  <c r="H2932" i="1"/>
  <c r="I2932" i="1"/>
  <c r="J2932" i="1"/>
  <c r="K2932" i="1"/>
  <c r="M2932" i="1"/>
  <c r="N2932" i="1"/>
  <c r="P2932" i="1"/>
  <c r="Q2932" i="1"/>
  <c r="R2932" i="1"/>
  <c r="S2932" i="1"/>
  <c r="T2932" i="1"/>
  <c r="AL2932" i="1"/>
  <c r="A2933" i="1"/>
  <c r="B2933" i="1"/>
  <c r="C2933" i="1"/>
  <c r="G2933" i="1"/>
  <c r="H2933" i="1"/>
  <c r="I2933" i="1"/>
  <c r="J2933" i="1"/>
  <c r="K2933" i="1"/>
  <c r="M2933" i="1"/>
  <c r="N2933" i="1"/>
  <c r="P2933" i="1"/>
  <c r="Q2933" i="1"/>
  <c r="R2933" i="1"/>
  <c r="S2933" i="1"/>
  <c r="T2933" i="1"/>
  <c r="AL2933" i="1"/>
  <c r="A2934" i="1"/>
  <c r="B2934" i="1"/>
  <c r="C2934" i="1"/>
  <c r="G2934" i="1"/>
  <c r="H2934" i="1"/>
  <c r="I2934" i="1"/>
  <c r="J2934" i="1"/>
  <c r="K2934" i="1"/>
  <c r="M2934" i="1"/>
  <c r="N2934" i="1"/>
  <c r="P2934" i="1"/>
  <c r="Q2934" i="1"/>
  <c r="R2934" i="1"/>
  <c r="S2934" i="1"/>
  <c r="T2934" i="1"/>
  <c r="AL2934" i="1"/>
  <c r="A2935" i="1"/>
  <c r="B2935" i="1"/>
  <c r="C2935" i="1"/>
  <c r="G2935" i="1"/>
  <c r="H2935" i="1"/>
  <c r="I2935" i="1"/>
  <c r="J2935" i="1"/>
  <c r="K2935" i="1"/>
  <c r="M2935" i="1"/>
  <c r="N2935" i="1"/>
  <c r="P2935" i="1"/>
  <c r="Q2935" i="1"/>
  <c r="R2935" i="1"/>
  <c r="S2935" i="1"/>
  <c r="T2935" i="1"/>
  <c r="AL2935" i="1"/>
  <c r="A2936" i="1"/>
  <c r="B2936" i="1"/>
  <c r="C2936" i="1"/>
  <c r="G2936" i="1"/>
  <c r="H2936" i="1"/>
  <c r="I2936" i="1"/>
  <c r="J2936" i="1"/>
  <c r="K2936" i="1"/>
  <c r="M2936" i="1"/>
  <c r="N2936" i="1"/>
  <c r="P2936" i="1"/>
  <c r="Q2936" i="1"/>
  <c r="R2936" i="1"/>
  <c r="S2936" i="1"/>
  <c r="T2936" i="1"/>
  <c r="AL2936" i="1"/>
  <c r="A2937" i="1"/>
  <c r="B2937" i="1"/>
  <c r="C2937" i="1"/>
  <c r="G2937" i="1"/>
  <c r="H2937" i="1"/>
  <c r="I2937" i="1"/>
  <c r="J2937" i="1"/>
  <c r="K2937" i="1"/>
  <c r="M2937" i="1"/>
  <c r="N2937" i="1"/>
  <c r="P2937" i="1"/>
  <c r="Q2937" i="1"/>
  <c r="R2937" i="1"/>
  <c r="S2937" i="1"/>
  <c r="T2937" i="1"/>
  <c r="AL2937" i="1"/>
  <c r="A2938" i="1"/>
  <c r="B2938" i="1"/>
  <c r="C2938" i="1"/>
  <c r="G2938" i="1"/>
  <c r="H2938" i="1"/>
  <c r="I2938" i="1"/>
  <c r="J2938" i="1"/>
  <c r="K2938" i="1"/>
  <c r="M2938" i="1"/>
  <c r="N2938" i="1"/>
  <c r="P2938" i="1"/>
  <c r="Q2938" i="1"/>
  <c r="R2938" i="1"/>
  <c r="S2938" i="1"/>
  <c r="T2938" i="1"/>
  <c r="AL2938" i="1"/>
  <c r="A2939" i="1"/>
  <c r="B2939" i="1"/>
  <c r="C2939" i="1"/>
  <c r="G2939" i="1"/>
  <c r="H2939" i="1"/>
  <c r="I2939" i="1"/>
  <c r="J2939" i="1"/>
  <c r="K2939" i="1"/>
  <c r="M2939" i="1"/>
  <c r="N2939" i="1"/>
  <c r="P2939" i="1"/>
  <c r="Q2939" i="1"/>
  <c r="R2939" i="1"/>
  <c r="S2939" i="1"/>
  <c r="T2939" i="1"/>
  <c r="AL2939" i="1"/>
  <c r="A2940" i="1"/>
  <c r="B2940" i="1"/>
  <c r="C2940" i="1"/>
  <c r="G2940" i="1"/>
  <c r="H2940" i="1"/>
  <c r="I2940" i="1"/>
  <c r="J2940" i="1"/>
  <c r="K2940" i="1"/>
  <c r="M2940" i="1"/>
  <c r="N2940" i="1"/>
  <c r="P2940" i="1"/>
  <c r="Q2940" i="1"/>
  <c r="R2940" i="1"/>
  <c r="S2940" i="1"/>
  <c r="T2940" i="1"/>
  <c r="AL2940" i="1"/>
  <c r="A2941" i="1"/>
  <c r="B2941" i="1"/>
  <c r="C2941" i="1"/>
  <c r="G2941" i="1"/>
  <c r="H2941" i="1"/>
  <c r="I2941" i="1"/>
  <c r="J2941" i="1"/>
  <c r="K2941" i="1"/>
  <c r="M2941" i="1"/>
  <c r="N2941" i="1"/>
  <c r="P2941" i="1"/>
  <c r="Q2941" i="1"/>
  <c r="R2941" i="1"/>
  <c r="S2941" i="1"/>
  <c r="T2941" i="1"/>
  <c r="AL2941" i="1"/>
  <c r="A2942" i="1"/>
  <c r="B2942" i="1"/>
  <c r="C2942" i="1"/>
  <c r="G2942" i="1"/>
  <c r="H2942" i="1"/>
  <c r="I2942" i="1"/>
  <c r="J2942" i="1"/>
  <c r="K2942" i="1"/>
  <c r="M2942" i="1"/>
  <c r="N2942" i="1"/>
  <c r="P2942" i="1"/>
  <c r="Q2942" i="1"/>
  <c r="R2942" i="1"/>
  <c r="S2942" i="1"/>
  <c r="T2942" i="1"/>
  <c r="AL2942" i="1"/>
  <c r="A2943" i="1"/>
  <c r="B2943" i="1"/>
  <c r="C2943" i="1"/>
  <c r="G2943" i="1"/>
  <c r="H2943" i="1"/>
  <c r="I2943" i="1"/>
  <c r="J2943" i="1"/>
  <c r="K2943" i="1"/>
  <c r="M2943" i="1"/>
  <c r="N2943" i="1"/>
  <c r="P2943" i="1"/>
  <c r="Q2943" i="1"/>
  <c r="R2943" i="1"/>
  <c r="S2943" i="1"/>
  <c r="T2943" i="1"/>
  <c r="AL2943" i="1"/>
  <c r="A2944" i="1"/>
  <c r="B2944" i="1"/>
  <c r="C2944" i="1"/>
  <c r="G2944" i="1"/>
  <c r="H2944" i="1"/>
  <c r="I2944" i="1"/>
  <c r="J2944" i="1"/>
  <c r="K2944" i="1"/>
  <c r="M2944" i="1"/>
  <c r="N2944" i="1"/>
  <c r="P2944" i="1"/>
  <c r="Q2944" i="1"/>
  <c r="R2944" i="1"/>
  <c r="S2944" i="1"/>
  <c r="T2944" i="1"/>
  <c r="AL2944" i="1"/>
  <c r="A2945" i="1"/>
  <c r="B2945" i="1"/>
  <c r="C2945" i="1"/>
  <c r="G2945" i="1"/>
  <c r="H2945" i="1"/>
  <c r="I2945" i="1"/>
  <c r="J2945" i="1"/>
  <c r="K2945" i="1"/>
  <c r="M2945" i="1"/>
  <c r="N2945" i="1"/>
  <c r="P2945" i="1"/>
  <c r="Q2945" i="1"/>
  <c r="R2945" i="1"/>
  <c r="S2945" i="1"/>
  <c r="T2945" i="1"/>
  <c r="AL2945" i="1"/>
  <c r="A2946" i="1"/>
  <c r="B2946" i="1"/>
  <c r="C2946" i="1"/>
  <c r="G2946" i="1"/>
  <c r="H2946" i="1"/>
  <c r="I2946" i="1"/>
  <c r="J2946" i="1"/>
  <c r="K2946" i="1"/>
  <c r="M2946" i="1"/>
  <c r="N2946" i="1"/>
  <c r="P2946" i="1"/>
  <c r="Q2946" i="1"/>
  <c r="R2946" i="1"/>
  <c r="S2946" i="1"/>
  <c r="T2946" i="1"/>
  <c r="AL2946" i="1"/>
  <c r="A2947" i="1"/>
  <c r="B2947" i="1"/>
  <c r="C2947" i="1"/>
  <c r="G2947" i="1"/>
  <c r="H2947" i="1"/>
  <c r="I2947" i="1"/>
  <c r="J2947" i="1"/>
  <c r="K2947" i="1"/>
  <c r="M2947" i="1"/>
  <c r="N2947" i="1"/>
  <c r="P2947" i="1"/>
  <c r="Q2947" i="1"/>
  <c r="R2947" i="1"/>
  <c r="S2947" i="1"/>
  <c r="T2947" i="1"/>
  <c r="AL2947" i="1"/>
  <c r="A2948" i="1"/>
  <c r="B2948" i="1"/>
  <c r="C2948" i="1"/>
  <c r="G2948" i="1"/>
  <c r="H2948" i="1"/>
  <c r="I2948" i="1"/>
  <c r="J2948" i="1"/>
  <c r="K2948" i="1"/>
  <c r="M2948" i="1"/>
  <c r="N2948" i="1"/>
  <c r="P2948" i="1"/>
  <c r="Q2948" i="1"/>
  <c r="R2948" i="1"/>
  <c r="S2948" i="1"/>
  <c r="T2948" i="1"/>
  <c r="AL2948" i="1"/>
  <c r="A2949" i="1"/>
  <c r="B2949" i="1"/>
  <c r="C2949" i="1"/>
  <c r="G2949" i="1"/>
  <c r="H2949" i="1"/>
  <c r="J2949" i="1"/>
  <c r="K2949" i="1"/>
  <c r="P2949" i="1"/>
  <c r="Q2949" i="1"/>
  <c r="R2949" i="1"/>
  <c r="T2949" i="1"/>
  <c r="Z2949" i="1"/>
  <c r="AL2949" i="1"/>
  <c r="A2950" i="1"/>
  <c r="B2950" i="1"/>
  <c r="C2950" i="1"/>
  <c r="G2950" i="1"/>
  <c r="H2950" i="1"/>
  <c r="J2950" i="1"/>
  <c r="K2950" i="1"/>
  <c r="P2950" i="1"/>
  <c r="Q2950" i="1"/>
  <c r="R2950" i="1"/>
  <c r="T2950" i="1"/>
  <c r="AL2950" i="1"/>
  <c r="A2951" i="1"/>
  <c r="B2951" i="1"/>
  <c r="C2951" i="1"/>
  <c r="G2951" i="1"/>
  <c r="H2951" i="1"/>
  <c r="I2951" i="1"/>
  <c r="J2951" i="1"/>
  <c r="K2951" i="1"/>
  <c r="P2951" i="1"/>
  <c r="Q2951" i="1"/>
  <c r="R2951" i="1"/>
  <c r="S2951" i="1"/>
  <c r="T2951" i="1"/>
  <c r="AL2951" i="1"/>
  <c r="A2952" i="1"/>
  <c r="B2952" i="1"/>
  <c r="C2952" i="1"/>
  <c r="G2952" i="1"/>
  <c r="H2952" i="1"/>
  <c r="I2952" i="1"/>
  <c r="J2952" i="1"/>
  <c r="K2952" i="1"/>
  <c r="P2952" i="1"/>
  <c r="Q2952" i="1"/>
  <c r="R2952" i="1"/>
  <c r="S2952" i="1"/>
  <c r="T2952" i="1"/>
  <c r="AL2952" i="1"/>
  <c r="A2953" i="1"/>
  <c r="B2953" i="1"/>
  <c r="C2953" i="1"/>
  <c r="G2953" i="1"/>
  <c r="H2953" i="1"/>
  <c r="I2953" i="1"/>
  <c r="J2953" i="1"/>
  <c r="K2953" i="1"/>
  <c r="P2953" i="1"/>
  <c r="Q2953" i="1"/>
  <c r="R2953" i="1"/>
  <c r="S2953" i="1"/>
  <c r="T2953" i="1"/>
  <c r="AL2953" i="1"/>
  <c r="A2954" i="1"/>
  <c r="B2954" i="1"/>
  <c r="C2954" i="1"/>
  <c r="G2954" i="1"/>
  <c r="H2954" i="1"/>
  <c r="I2954" i="1"/>
  <c r="J2954" i="1"/>
  <c r="K2954" i="1"/>
  <c r="P2954" i="1"/>
  <c r="Q2954" i="1"/>
  <c r="R2954" i="1"/>
  <c r="S2954" i="1"/>
  <c r="T2954" i="1"/>
  <c r="AL2954" i="1"/>
  <c r="A2955" i="1"/>
  <c r="B2955" i="1"/>
  <c r="C2955" i="1"/>
  <c r="G2955" i="1"/>
  <c r="H2955" i="1"/>
  <c r="I2955" i="1"/>
  <c r="J2955" i="1"/>
  <c r="K2955" i="1"/>
  <c r="P2955" i="1"/>
  <c r="Q2955" i="1"/>
  <c r="R2955" i="1"/>
  <c r="S2955" i="1"/>
  <c r="T2955" i="1"/>
  <c r="AL2955" i="1"/>
  <c r="A2956" i="1"/>
  <c r="B2956" i="1"/>
  <c r="C2956" i="1"/>
  <c r="G2956" i="1"/>
  <c r="H2956" i="1"/>
  <c r="I2956" i="1"/>
  <c r="J2956" i="1"/>
  <c r="K2956" i="1"/>
  <c r="P2956" i="1"/>
  <c r="Q2956" i="1"/>
  <c r="R2956" i="1"/>
  <c r="S2956" i="1"/>
  <c r="T2956" i="1"/>
  <c r="AL2956" i="1"/>
  <c r="A2957" i="1"/>
  <c r="B2957" i="1"/>
  <c r="C2957" i="1"/>
  <c r="G2957" i="1"/>
  <c r="H2957" i="1"/>
  <c r="I2957" i="1"/>
  <c r="J2957" i="1"/>
  <c r="K2957" i="1"/>
  <c r="P2957" i="1"/>
  <c r="Q2957" i="1"/>
  <c r="R2957" i="1"/>
  <c r="S2957" i="1"/>
  <c r="T2957" i="1"/>
  <c r="AL2957" i="1"/>
  <c r="A2958" i="1"/>
  <c r="B2958" i="1"/>
  <c r="C2958" i="1"/>
  <c r="G2958" i="1"/>
  <c r="H2958" i="1"/>
  <c r="I2958" i="1"/>
  <c r="J2958" i="1"/>
  <c r="K2958" i="1"/>
  <c r="P2958" i="1"/>
  <c r="Q2958" i="1"/>
  <c r="R2958" i="1"/>
  <c r="S2958" i="1"/>
  <c r="T2958" i="1"/>
  <c r="AL2958" i="1"/>
  <c r="A2959" i="1"/>
  <c r="B2959" i="1"/>
  <c r="C2959" i="1"/>
  <c r="G2959" i="1"/>
  <c r="H2959" i="1"/>
  <c r="I2959" i="1"/>
  <c r="J2959" i="1"/>
  <c r="K2959" i="1"/>
  <c r="P2959" i="1"/>
  <c r="Q2959" i="1"/>
  <c r="R2959" i="1"/>
  <c r="S2959" i="1"/>
  <c r="T2959" i="1"/>
  <c r="AL2959" i="1"/>
  <c r="A2960" i="1"/>
  <c r="B2960" i="1"/>
  <c r="C2960" i="1"/>
  <c r="G2960" i="1"/>
  <c r="H2960" i="1"/>
  <c r="I2960" i="1"/>
  <c r="J2960" i="1"/>
  <c r="K2960" i="1"/>
  <c r="P2960" i="1"/>
  <c r="Q2960" i="1"/>
  <c r="R2960" i="1"/>
  <c r="S2960" i="1"/>
  <c r="T2960" i="1"/>
  <c r="AL2960" i="1"/>
  <c r="A2961" i="1"/>
  <c r="B2961" i="1"/>
  <c r="C2961" i="1"/>
  <c r="G2961" i="1"/>
  <c r="H2961" i="1"/>
  <c r="I2961" i="1"/>
  <c r="J2961" i="1"/>
  <c r="K2961" i="1"/>
  <c r="P2961" i="1"/>
  <c r="Q2961" i="1"/>
  <c r="R2961" i="1"/>
  <c r="S2961" i="1"/>
  <c r="T2961" i="1"/>
  <c r="AL2961" i="1"/>
  <c r="A2962" i="1"/>
  <c r="B2962" i="1"/>
  <c r="C2962" i="1"/>
  <c r="G2962" i="1"/>
  <c r="H2962" i="1"/>
  <c r="I2962" i="1"/>
  <c r="J2962" i="1"/>
  <c r="K2962" i="1"/>
  <c r="P2962" i="1"/>
  <c r="Q2962" i="1"/>
  <c r="R2962" i="1"/>
  <c r="S2962" i="1"/>
  <c r="T2962" i="1"/>
  <c r="AL2962" i="1"/>
  <c r="A2963" i="1"/>
  <c r="B2963" i="1"/>
  <c r="C2963" i="1"/>
  <c r="G2963" i="1"/>
  <c r="H2963" i="1"/>
  <c r="I2963" i="1"/>
  <c r="J2963" i="1"/>
  <c r="K2963" i="1"/>
  <c r="P2963" i="1"/>
  <c r="Q2963" i="1"/>
  <c r="R2963" i="1"/>
  <c r="S2963" i="1"/>
  <c r="T2963" i="1"/>
  <c r="AL2963" i="1"/>
  <c r="A2964" i="1"/>
  <c r="B2964" i="1"/>
  <c r="C2964" i="1"/>
  <c r="G2964" i="1"/>
  <c r="H2964" i="1"/>
  <c r="I2964" i="1"/>
  <c r="J2964" i="1"/>
  <c r="K2964" i="1"/>
  <c r="P2964" i="1"/>
  <c r="Q2964" i="1"/>
  <c r="R2964" i="1"/>
  <c r="S2964" i="1"/>
  <c r="T2964" i="1"/>
  <c r="AL2964" i="1"/>
  <c r="A2965" i="1"/>
  <c r="B2965" i="1"/>
  <c r="C2965" i="1"/>
  <c r="G2965" i="1"/>
  <c r="H2965" i="1"/>
  <c r="I2965" i="1"/>
  <c r="J2965" i="1"/>
  <c r="K2965" i="1"/>
  <c r="P2965" i="1"/>
  <c r="Q2965" i="1"/>
  <c r="R2965" i="1"/>
  <c r="S2965" i="1"/>
  <c r="T2965" i="1"/>
  <c r="AL2965" i="1"/>
  <c r="A2966" i="1"/>
  <c r="B2966" i="1"/>
  <c r="C2966" i="1"/>
  <c r="G2966" i="1"/>
  <c r="H2966" i="1"/>
  <c r="I2966" i="1"/>
  <c r="J2966" i="1"/>
  <c r="K2966" i="1"/>
  <c r="P2966" i="1"/>
  <c r="Q2966" i="1"/>
  <c r="R2966" i="1"/>
  <c r="S2966" i="1"/>
  <c r="T2966" i="1"/>
  <c r="AL2966" i="1"/>
  <c r="A2967" i="1"/>
  <c r="B2967" i="1"/>
  <c r="C2967" i="1"/>
  <c r="G2967" i="1"/>
  <c r="H2967" i="1"/>
  <c r="I2967" i="1"/>
  <c r="J2967" i="1"/>
  <c r="K2967" i="1"/>
  <c r="P2967" i="1"/>
  <c r="Q2967" i="1"/>
  <c r="R2967" i="1"/>
  <c r="S2967" i="1"/>
  <c r="T2967" i="1"/>
  <c r="AL2967" i="1"/>
  <c r="A2968" i="1"/>
  <c r="B2968" i="1"/>
  <c r="C2968" i="1"/>
  <c r="G2968" i="1"/>
  <c r="H2968" i="1"/>
  <c r="I2968" i="1"/>
  <c r="J2968" i="1"/>
  <c r="K2968" i="1"/>
  <c r="P2968" i="1"/>
  <c r="Q2968" i="1"/>
  <c r="R2968" i="1"/>
  <c r="S2968" i="1"/>
  <c r="T2968" i="1"/>
  <c r="AL2968" i="1"/>
  <c r="A2969" i="1"/>
  <c r="B2969" i="1"/>
  <c r="C2969" i="1"/>
  <c r="G2969" i="1"/>
  <c r="H2969" i="1"/>
  <c r="I2969" i="1"/>
  <c r="J2969" i="1"/>
  <c r="K2969" i="1"/>
  <c r="P2969" i="1"/>
  <c r="Q2969" i="1"/>
  <c r="R2969" i="1"/>
  <c r="S2969" i="1"/>
  <c r="T2969" i="1"/>
  <c r="AL2969" i="1"/>
  <c r="A2970" i="1"/>
  <c r="B2970" i="1"/>
  <c r="C2970" i="1"/>
  <c r="G2970" i="1"/>
  <c r="H2970" i="1"/>
  <c r="I2970" i="1"/>
  <c r="J2970" i="1"/>
  <c r="K2970" i="1"/>
  <c r="P2970" i="1"/>
  <c r="Q2970" i="1"/>
  <c r="R2970" i="1"/>
  <c r="S2970" i="1"/>
  <c r="T2970" i="1"/>
  <c r="AL2970" i="1"/>
  <c r="A2971" i="1"/>
  <c r="B2971" i="1"/>
  <c r="C2971" i="1"/>
  <c r="G2971" i="1"/>
  <c r="H2971" i="1"/>
  <c r="I2971" i="1"/>
  <c r="J2971" i="1"/>
  <c r="K2971" i="1"/>
  <c r="P2971" i="1"/>
  <c r="Q2971" i="1"/>
  <c r="R2971" i="1"/>
  <c r="S2971" i="1"/>
  <c r="T2971" i="1"/>
  <c r="AL2971" i="1"/>
  <c r="A2972" i="1"/>
  <c r="B2972" i="1"/>
  <c r="C2972" i="1"/>
  <c r="G2972" i="1"/>
  <c r="H2972" i="1"/>
  <c r="I2972" i="1"/>
  <c r="J2972" i="1"/>
  <c r="K2972" i="1"/>
  <c r="P2972" i="1"/>
  <c r="Q2972" i="1"/>
  <c r="R2972" i="1"/>
  <c r="S2972" i="1"/>
  <c r="T2972" i="1"/>
  <c r="AL2972" i="1"/>
  <c r="A2973" i="1"/>
  <c r="B2973" i="1"/>
  <c r="C2973" i="1"/>
  <c r="G2973" i="1"/>
  <c r="H2973" i="1"/>
  <c r="I2973" i="1"/>
  <c r="J2973" i="1"/>
  <c r="K2973" i="1"/>
  <c r="P2973" i="1"/>
  <c r="Q2973" i="1"/>
  <c r="R2973" i="1"/>
  <c r="S2973" i="1"/>
  <c r="T2973" i="1"/>
  <c r="AL2973" i="1"/>
  <c r="A2974" i="1"/>
  <c r="B2974" i="1"/>
  <c r="C2974" i="1"/>
  <c r="G2974" i="1"/>
  <c r="H2974" i="1"/>
  <c r="I2974" i="1"/>
  <c r="J2974" i="1"/>
  <c r="K2974" i="1"/>
  <c r="P2974" i="1"/>
  <c r="Q2974" i="1"/>
  <c r="R2974" i="1"/>
  <c r="S2974" i="1"/>
  <c r="T2974" i="1"/>
  <c r="AL2974" i="1"/>
  <c r="A2975" i="1"/>
  <c r="B2975" i="1"/>
  <c r="C2975" i="1"/>
  <c r="G2975" i="1"/>
  <c r="H2975" i="1"/>
  <c r="I2975" i="1"/>
  <c r="J2975" i="1"/>
  <c r="K2975" i="1"/>
  <c r="P2975" i="1"/>
  <c r="Q2975" i="1"/>
  <c r="R2975" i="1"/>
  <c r="S2975" i="1"/>
  <c r="T2975" i="1"/>
  <c r="AL2975" i="1"/>
  <c r="A2976" i="1"/>
  <c r="B2976" i="1"/>
  <c r="C2976" i="1"/>
  <c r="G2976" i="1"/>
  <c r="H2976" i="1"/>
  <c r="I2976" i="1"/>
  <c r="J2976" i="1"/>
  <c r="K2976" i="1"/>
  <c r="P2976" i="1"/>
  <c r="Q2976" i="1"/>
  <c r="R2976" i="1"/>
  <c r="S2976" i="1"/>
  <c r="T2976" i="1"/>
  <c r="AL2976" i="1"/>
  <c r="A2977" i="1"/>
  <c r="B2977" i="1"/>
  <c r="C2977" i="1"/>
  <c r="G2977" i="1"/>
  <c r="H2977" i="1"/>
  <c r="I2977" i="1"/>
  <c r="J2977" i="1"/>
  <c r="K2977" i="1"/>
  <c r="P2977" i="1"/>
  <c r="Q2977" i="1"/>
  <c r="R2977" i="1"/>
  <c r="S2977" i="1"/>
  <c r="T2977" i="1"/>
  <c r="AL2977" i="1"/>
  <c r="A2978" i="1"/>
  <c r="B2978" i="1"/>
  <c r="C2978" i="1"/>
  <c r="G2978" i="1"/>
  <c r="H2978" i="1"/>
  <c r="I2978" i="1"/>
  <c r="J2978" i="1"/>
  <c r="K2978" i="1"/>
  <c r="P2978" i="1"/>
  <c r="Q2978" i="1"/>
  <c r="R2978" i="1"/>
  <c r="S2978" i="1"/>
  <c r="T2978" i="1"/>
  <c r="AL2978" i="1"/>
  <c r="A2979" i="1"/>
  <c r="B2979" i="1"/>
  <c r="C2979" i="1"/>
  <c r="G2979" i="1"/>
  <c r="H2979" i="1"/>
  <c r="I2979" i="1"/>
  <c r="J2979" i="1"/>
  <c r="K2979" i="1"/>
  <c r="P2979" i="1"/>
  <c r="Q2979" i="1"/>
  <c r="R2979" i="1"/>
  <c r="S2979" i="1"/>
  <c r="T2979" i="1"/>
  <c r="AL2979" i="1"/>
  <c r="A2980" i="1"/>
  <c r="B2980" i="1"/>
  <c r="C2980" i="1"/>
  <c r="G2980" i="1"/>
  <c r="H2980" i="1"/>
  <c r="I2980" i="1"/>
  <c r="J2980" i="1"/>
  <c r="K2980" i="1"/>
  <c r="P2980" i="1"/>
  <c r="Q2980" i="1"/>
  <c r="R2980" i="1"/>
  <c r="S2980" i="1"/>
  <c r="T2980" i="1"/>
  <c r="AL2980" i="1"/>
  <c r="A2981" i="1"/>
  <c r="B2981" i="1"/>
  <c r="C2981" i="1"/>
  <c r="G2981" i="1"/>
  <c r="H2981" i="1"/>
  <c r="I2981" i="1"/>
  <c r="J2981" i="1"/>
  <c r="K2981" i="1"/>
  <c r="P2981" i="1"/>
  <c r="Q2981" i="1"/>
  <c r="R2981" i="1"/>
  <c r="S2981" i="1"/>
  <c r="T2981" i="1"/>
  <c r="AL2981" i="1"/>
  <c r="A2982" i="1"/>
  <c r="B2982" i="1"/>
  <c r="C2982" i="1"/>
  <c r="G2982" i="1"/>
  <c r="H2982" i="1"/>
  <c r="I2982" i="1"/>
  <c r="J2982" i="1"/>
  <c r="K2982" i="1"/>
  <c r="P2982" i="1"/>
  <c r="Q2982" i="1"/>
  <c r="R2982" i="1"/>
  <c r="S2982" i="1"/>
  <c r="T2982" i="1"/>
  <c r="AL2982" i="1"/>
  <c r="A2983" i="1"/>
  <c r="B2983" i="1"/>
  <c r="C2983" i="1"/>
  <c r="G2983" i="1"/>
  <c r="H2983" i="1"/>
  <c r="I2983" i="1"/>
  <c r="J2983" i="1"/>
  <c r="K2983" i="1"/>
  <c r="P2983" i="1"/>
  <c r="Q2983" i="1"/>
  <c r="R2983" i="1"/>
  <c r="S2983" i="1"/>
  <c r="T2983" i="1"/>
  <c r="AL2983" i="1"/>
  <c r="A2984" i="1"/>
  <c r="B2984" i="1"/>
  <c r="C2984" i="1"/>
  <c r="G2984" i="1"/>
  <c r="H2984" i="1"/>
  <c r="I2984" i="1"/>
  <c r="J2984" i="1"/>
  <c r="K2984" i="1"/>
  <c r="P2984" i="1"/>
  <c r="Q2984" i="1"/>
  <c r="R2984" i="1"/>
  <c r="S2984" i="1"/>
  <c r="T2984" i="1"/>
  <c r="AL2984" i="1"/>
  <c r="A2985" i="1"/>
  <c r="B2985" i="1"/>
  <c r="C2985" i="1"/>
  <c r="G2985" i="1"/>
  <c r="H2985" i="1"/>
  <c r="I2985" i="1"/>
  <c r="J2985" i="1"/>
  <c r="K2985" i="1"/>
  <c r="P2985" i="1"/>
  <c r="Q2985" i="1"/>
  <c r="R2985" i="1"/>
  <c r="S2985" i="1"/>
  <c r="T2985" i="1"/>
  <c r="AL2985" i="1"/>
  <c r="A2986" i="1"/>
  <c r="B2986" i="1"/>
  <c r="C2986" i="1"/>
  <c r="G2986" i="1"/>
  <c r="H2986" i="1"/>
  <c r="I2986" i="1"/>
  <c r="J2986" i="1"/>
  <c r="K2986" i="1"/>
  <c r="P2986" i="1"/>
  <c r="Q2986" i="1"/>
  <c r="R2986" i="1"/>
  <c r="S2986" i="1"/>
  <c r="T2986" i="1"/>
  <c r="AL2986" i="1"/>
  <c r="A2987" i="1"/>
  <c r="B2987" i="1"/>
  <c r="C2987" i="1"/>
  <c r="G2987" i="1"/>
  <c r="H2987" i="1"/>
  <c r="I2987" i="1"/>
  <c r="J2987" i="1"/>
  <c r="K2987" i="1"/>
  <c r="P2987" i="1"/>
  <c r="Q2987" i="1"/>
  <c r="R2987" i="1"/>
  <c r="S2987" i="1"/>
  <c r="T2987" i="1"/>
  <c r="AL2987" i="1"/>
  <c r="A2988" i="1"/>
  <c r="B2988" i="1"/>
  <c r="C2988" i="1"/>
  <c r="G2988" i="1"/>
  <c r="H2988" i="1"/>
  <c r="I2988" i="1"/>
  <c r="J2988" i="1"/>
  <c r="K2988" i="1"/>
  <c r="P2988" i="1"/>
  <c r="Q2988" i="1"/>
  <c r="R2988" i="1"/>
  <c r="S2988" i="1"/>
  <c r="T2988" i="1"/>
  <c r="AL2988" i="1"/>
  <c r="A2989" i="1"/>
  <c r="B2989" i="1"/>
  <c r="C2989" i="1"/>
  <c r="G2989" i="1"/>
  <c r="H2989" i="1"/>
  <c r="I2989" i="1"/>
  <c r="J2989" i="1"/>
  <c r="K2989" i="1"/>
  <c r="P2989" i="1"/>
  <c r="Q2989" i="1"/>
  <c r="R2989" i="1"/>
  <c r="S2989" i="1"/>
  <c r="T2989" i="1"/>
  <c r="AL2989" i="1"/>
  <c r="A2990" i="1"/>
  <c r="B2990" i="1"/>
  <c r="C2990" i="1"/>
  <c r="G2990" i="1"/>
  <c r="H2990" i="1"/>
  <c r="I2990" i="1"/>
  <c r="J2990" i="1"/>
  <c r="K2990" i="1"/>
  <c r="P2990" i="1"/>
  <c r="Q2990" i="1"/>
  <c r="R2990" i="1"/>
  <c r="S2990" i="1"/>
  <c r="T2990" i="1"/>
  <c r="AL2990" i="1"/>
  <c r="A2991" i="1"/>
  <c r="B2991" i="1"/>
  <c r="C2991" i="1"/>
  <c r="G2991" i="1"/>
  <c r="H2991" i="1"/>
  <c r="I2991" i="1"/>
  <c r="J2991" i="1"/>
  <c r="K2991" i="1"/>
  <c r="M2991" i="1"/>
  <c r="N2991" i="1"/>
  <c r="P2991" i="1"/>
  <c r="Q2991" i="1"/>
  <c r="R2991" i="1"/>
  <c r="S2991" i="1"/>
  <c r="T2991" i="1"/>
  <c r="AL2991" i="1"/>
  <c r="A2992" i="1"/>
  <c r="B2992" i="1"/>
  <c r="C2992" i="1"/>
  <c r="G2992" i="1"/>
  <c r="H2992" i="1"/>
  <c r="I2992" i="1"/>
  <c r="J2992" i="1"/>
  <c r="K2992" i="1"/>
  <c r="M2992" i="1"/>
  <c r="N2992" i="1"/>
  <c r="P2992" i="1"/>
  <c r="Q2992" i="1"/>
  <c r="R2992" i="1"/>
  <c r="S2992" i="1"/>
  <c r="T2992" i="1"/>
  <c r="AL2992" i="1"/>
  <c r="A2993" i="1"/>
  <c r="B2993" i="1"/>
  <c r="C2993" i="1"/>
  <c r="G2993" i="1"/>
  <c r="H2993" i="1"/>
  <c r="I2993" i="1"/>
  <c r="J2993" i="1"/>
  <c r="K2993" i="1"/>
  <c r="M2993" i="1"/>
  <c r="N2993" i="1"/>
  <c r="P2993" i="1"/>
  <c r="Q2993" i="1"/>
  <c r="R2993" i="1"/>
  <c r="S2993" i="1"/>
  <c r="T2993" i="1"/>
  <c r="AL2993" i="1"/>
  <c r="A2994" i="1"/>
  <c r="B2994" i="1"/>
  <c r="C2994" i="1"/>
  <c r="G2994" i="1"/>
  <c r="H2994" i="1"/>
  <c r="I2994" i="1"/>
  <c r="J2994" i="1"/>
  <c r="K2994" i="1"/>
  <c r="M2994" i="1"/>
  <c r="N2994" i="1"/>
  <c r="P2994" i="1"/>
  <c r="Q2994" i="1"/>
  <c r="R2994" i="1"/>
  <c r="S2994" i="1"/>
  <c r="T2994" i="1"/>
  <c r="AL2994" i="1"/>
  <c r="A2995" i="1"/>
  <c r="B2995" i="1"/>
  <c r="C2995" i="1"/>
  <c r="G2995" i="1"/>
  <c r="H2995" i="1"/>
  <c r="I2995" i="1"/>
  <c r="J2995" i="1"/>
  <c r="K2995" i="1"/>
  <c r="P2995" i="1"/>
  <c r="Q2995" i="1"/>
  <c r="R2995" i="1"/>
  <c r="S2995" i="1"/>
  <c r="T2995" i="1"/>
  <c r="AL2995" i="1"/>
  <c r="A2996" i="1"/>
  <c r="B2996" i="1"/>
  <c r="C2996" i="1"/>
  <c r="G2996" i="1"/>
  <c r="H2996" i="1"/>
  <c r="I2996" i="1"/>
  <c r="J2996" i="1"/>
  <c r="K2996" i="1"/>
  <c r="P2996" i="1"/>
  <c r="Q2996" i="1"/>
  <c r="R2996" i="1"/>
  <c r="S2996" i="1"/>
  <c r="T2996" i="1"/>
  <c r="AL2996" i="1"/>
  <c r="A2997" i="1"/>
  <c r="B2997" i="1"/>
  <c r="C2997" i="1"/>
  <c r="G2997" i="1"/>
  <c r="H2997" i="1"/>
  <c r="I2997" i="1"/>
  <c r="J2997" i="1"/>
  <c r="K2997" i="1"/>
  <c r="P2997" i="1"/>
  <c r="Q2997" i="1"/>
  <c r="R2997" i="1"/>
  <c r="S2997" i="1"/>
  <c r="T2997" i="1"/>
  <c r="AL2997" i="1"/>
  <c r="A2998" i="1"/>
  <c r="B2998" i="1"/>
  <c r="C2998" i="1"/>
  <c r="G2998" i="1"/>
  <c r="H2998" i="1"/>
  <c r="I2998" i="1"/>
  <c r="J2998" i="1"/>
  <c r="K2998" i="1"/>
  <c r="P2998" i="1"/>
  <c r="Q2998" i="1"/>
  <c r="R2998" i="1"/>
  <c r="S2998" i="1"/>
  <c r="T2998" i="1"/>
  <c r="AL2998" i="1"/>
  <c r="A2999" i="1"/>
  <c r="B2999" i="1"/>
  <c r="C2999" i="1"/>
  <c r="G2999" i="1"/>
  <c r="H2999" i="1"/>
  <c r="I2999" i="1"/>
  <c r="J2999" i="1"/>
  <c r="K2999" i="1"/>
  <c r="P2999" i="1"/>
  <c r="Q2999" i="1"/>
  <c r="R2999" i="1"/>
  <c r="S2999" i="1"/>
  <c r="T2999" i="1"/>
  <c r="AL2999" i="1"/>
  <c r="A3000" i="1"/>
  <c r="B3000" i="1"/>
  <c r="C3000" i="1"/>
  <c r="G3000" i="1"/>
  <c r="H3000" i="1"/>
  <c r="I3000" i="1"/>
  <c r="J3000" i="1"/>
  <c r="K3000" i="1"/>
  <c r="P3000" i="1"/>
  <c r="Q3000" i="1"/>
  <c r="R3000" i="1"/>
  <c r="S3000" i="1"/>
  <c r="T3000" i="1"/>
  <c r="AL3000" i="1"/>
  <c r="A3001" i="1"/>
  <c r="B3001" i="1"/>
  <c r="C3001" i="1"/>
  <c r="G3001" i="1"/>
  <c r="H3001" i="1"/>
  <c r="I3001" i="1"/>
  <c r="J3001" i="1"/>
  <c r="K3001" i="1"/>
  <c r="P3001" i="1"/>
  <c r="Q3001" i="1"/>
  <c r="R3001" i="1"/>
  <c r="S3001" i="1"/>
  <c r="T3001" i="1"/>
  <c r="AL3001" i="1"/>
  <c r="A3002" i="1"/>
  <c r="B3002" i="1"/>
  <c r="C3002" i="1"/>
  <c r="G3002" i="1"/>
  <c r="H3002" i="1"/>
  <c r="I3002" i="1"/>
  <c r="J3002" i="1"/>
  <c r="K3002" i="1"/>
  <c r="P3002" i="1"/>
  <c r="Q3002" i="1"/>
  <c r="R3002" i="1"/>
  <c r="S3002" i="1"/>
  <c r="T3002" i="1"/>
  <c r="AL3002" i="1"/>
  <c r="A3003" i="1"/>
  <c r="B3003" i="1"/>
  <c r="C3003" i="1"/>
  <c r="G3003" i="1"/>
  <c r="H3003" i="1"/>
  <c r="I3003" i="1"/>
  <c r="J3003" i="1"/>
  <c r="K3003" i="1"/>
  <c r="P3003" i="1"/>
  <c r="Q3003" i="1"/>
  <c r="R3003" i="1"/>
  <c r="S3003" i="1"/>
  <c r="T3003" i="1"/>
  <c r="AL3003" i="1"/>
  <c r="A3004" i="1"/>
  <c r="B3004" i="1"/>
  <c r="C3004" i="1"/>
  <c r="G3004" i="1"/>
  <c r="H3004" i="1"/>
  <c r="I3004" i="1"/>
  <c r="J3004" i="1"/>
  <c r="K3004" i="1"/>
  <c r="P3004" i="1"/>
  <c r="Q3004" i="1"/>
  <c r="R3004" i="1"/>
  <c r="S3004" i="1"/>
  <c r="T3004" i="1"/>
  <c r="AL3004" i="1"/>
  <c r="A3005" i="1"/>
  <c r="B3005" i="1"/>
  <c r="C3005" i="1"/>
  <c r="G3005" i="1"/>
  <c r="H3005" i="1"/>
  <c r="I3005" i="1"/>
  <c r="J3005" i="1"/>
  <c r="K3005" i="1"/>
  <c r="P3005" i="1"/>
  <c r="Q3005" i="1"/>
  <c r="R3005" i="1"/>
  <c r="S3005" i="1"/>
  <c r="T3005" i="1"/>
  <c r="AL3005" i="1"/>
  <c r="A3006" i="1"/>
  <c r="B3006" i="1"/>
  <c r="C3006" i="1"/>
  <c r="G3006" i="1"/>
  <c r="H3006" i="1"/>
  <c r="I3006" i="1"/>
  <c r="J3006" i="1"/>
  <c r="K3006" i="1"/>
  <c r="P3006" i="1"/>
  <c r="Q3006" i="1"/>
  <c r="R3006" i="1"/>
  <c r="S3006" i="1"/>
  <c r="T3006" i="1"/>
  <c r="AL3006" i="1"/>
  <c r="A3007" i="1"/>
  <c r="B3007" i="1"/>
  <c r="C3007" i="1"/>
  <c r="G3007" i="1"/>
  <c r="H3007" i="1"/>
  <c r="I3007" i="1"/>
  <c r="J3007" i="1"/>
  <c r="K3007" i="1"/>
  <c r="P3007" i="1"/>
  <c r="Q3007" i="1"/>
  <c r="R3007" i="1"/>
  <c r="S3007" i="1"/>
  <c r="T3007" i="1"/>
  <c r="AL3007" i="1"/>
  <c r="A3008" i="1"/>
  <c r="B3008" i="1"/>
  <c r="C3008" i="1"/>
  <c r="G3008" i="1"/>
  <c r="H3008" i="1"/>
  <c r="I3008" i="1"/>
  <c r="J3008" i="1"/>
  <c r="K3008" i="1"/>
  <c r="P3008" i="1"/>
  <c r="Q3008" i="1"/>
  <c r="R3008" i="1"/>
  <c r="S3008" i="1"/>
  <c r="T3008" i="1"/>
  <c r="AL3008" i="1"/>
  <c r="A3009" i="1"/>
  <c r="B3009" i="1"/>
  <c r="C3009" i="1"/>
  <c r="G3009" i="1"/>
  <c r="H3009" i="1"/>
  <c r="I3009" i="1"/>
  <c r="J3009" i="1"/>
  <c r="K3009" i="1"/>
  <c r="P3009" i="1"/>
  <c r="Q3009" i="1"/>
  <c r="R3009" i="1"/>
  <c r="S3009" i="1"/>
  <c r="T3009" i="1"/>
  <c r="AL3009" i="1"/>
  <c r="A3010" i="1"/>
  <c r="B3010" i="1"/>
  <c r="C3010" i="1"/>
  <c r="G3010" i="1"/>
  <c r="H3010" i="1"/>
  <c r="I3010" i="1"/>
  <c r="J3010" i="1"/>
  <c r="K3010" i="1"/>
  <c r="P3010" i="1"/>
  <c r="Q3010" i="1"/>
  <c r="R3010" i="1"/>
  <c r="S3010" i="1"/>
  <c r="T3010" i="1"/>
  <c r="AL3010" i="1"/>
  <c r="A3011" i="1"/>
  <c r="B3011" i="1"/>
  <c r="C3011" i="1"/>
  <c r="G3011" i="1"/>
  <c r="H3011" i="1"/>
  <c r="I3011" i="1"/>
  <c r="J3011" i="1"/>
  <c r="K3011" i="1"/>
  <c r="P3011" i="1"/>
  <c r="Q3011" i="1"/>
  <c r="R3011" i="1"/>
  <c r="S3011" i="1"/>
  <c r="T3011" i="1"/>
  <c r="AL3011" i="1"/>
  <c r="A3012" i="1"/>
  <c r="B3012" i="1"/>
  <c r="C3012" i="1"/>
  <c r="G3012" i="1"/>
  <c r="H3012" i="1"/>
  <c r="I3012" i="1"/>
  <c r="J3012" i="1"/>
  <c r="K3012" i="1"/>
  <c r="P3012" i="1"/>
  <c r="Q3012" i="1"/>
  <c r="R3012" i="1"/>
  <c r="S3012" i="1"/>
  <c r="T3012" i="1"/>
  <c r="AL3012" i="1"/>
  <c r="A3013" i="1"/>
  <c r="B3013" i="1"/>
  <c r="C3013" i="1"/>
  <c r="G3013" i="1"/>
  <c r="H3013" i="1"/>
  <c r="I3013" i="1"/>
  <c r="J3013" i="1"/>
  <c r="K3013" i="1"/>
  <c r="P3013" i="1"/>
  <c r="Q3013" i="1"/>
  <c r="R3013" i="1"/>
  <c r="S3013" i="1"/>
  <c r="T3013" i="1"/>
  <c r="AL3013" i="1"/>
  <c r="A3014" i="1"/>
  <c r="B3014" i="1"/>
  <c r="C3014" i="1"/>
  <c r="G3014" i="1"/>
  <c r="H3014" i="1"/>
  <c r="I3014" i="1"/>
  <c r="J3014" i="1"/>
  <c r="K3014" i="1"/>
  <c r="P3014" i="1"/>
  <c r="Q3014" i="1"/>
  <c r="R3014" i="1"/>
  <c r="S3014" i="1"/>
  <c r="T3014" i="1"/>
  <c r="AL3014" i="1"/>
  <c r="A3015" i="1"/>
  <c r="B3015" i="1"/>
  <c r="C3015" i="1"/>
  <c r="G3015" i="1"/>
  <c r="H3015" i="1"/>
  <c r="I3015" i="1"/>
  <c r="J3015" i="1"/>
  <c r="K3015" i="1"/>
  <c r="P3015" i="1"/>
  <c r="Q3015" i="1"/>
  <c r="R3015" i="1"/>
  <c r="S3015" i="1"/>
  <c r="T3015" i="1"/>
  <c r="Z3015" i="1"/>
  <c r="AL3015" i="1"/>
  <c r="A3016" i="1"/>
  <c r="B3016" i="1"/>
  <c r="C3016" i="1"/>
  <c r="G3016" i="1"/>
  <c r="H3016" i="1"/>
  <c r="I3016" i="1"/>
  <c r="J3016" i="1"/>
  <c r="K3016" i="1"/>
  <c r="P3016" i="1"/>
  <c r="Q3016" i="1"/>
  <c r="R3016" i="1"/>
  <c r="S3016" i="1"/>
  <c r="T3016" i="1"/>
  <c r="Z3016" i="1"/>
  <c r="AL3016" i="1"/>
  <c r="A3017" i="1"/>
  <c r="B3017" i="1"/>
  <c r="C3017" i="1"/>
  <c r="G3017" i="1"/>
  <c r="H3017" i="1"/>
  <c r="J3017" i="1"/>
  <c r="K3017" i="1"/>
  <c r="M3017" i="1"/>
  <c r="N3017" i="1"/>
  <c r="P3017" i="1"/>
  <c r="Q3017" i="1"/>
  <c r="R3017" i="1"/>
  <c r="T3017" i="1"/>
  <c r="AL3017" i="1"/>
  <c r="A3018" i="1"/>
  <c r="B3018" i="1"/>
  <c r="C3018" i="1"/>
  <c r="G3018" i="1"/>
  <c r="H3018" i="1"/>
  <c r="J3018" i="1"/>
  <c r="K3018" i="1"/>
  <c r="M3018" i="1"/>
  <c r="N3018" i="1"/>
  <c r="P3018" i="1"/>
  <c r="Q3018" i="1"/>
  <c r="R3018" i="1"/>
  <c r="T3018" i="1"/>
  <c r="AL3018" i="1"/>
  <c r="A3019" i="1"/>
  <c r="B3019" i="1"/>
  <c r="C3019" i="1"/>
  <c r="G3019" i="1"/>
  <c r="H3019" i="1"/>
  <c r="J3019" i="1"/>
  <c r="K3019" i="1"/>
  <c r="M3019" i="1"/>
  <c r="N3019" i="1"/>
  <c r="P3019" i="1"/>
  <c r="Q3019" i="1"/>
  <c r="R3019" i="1"/>
  <c r="T3019" i="1"/>
  <c r="AL3019" i="1"/>
  <c r="A3020" i="1"/>
  <c r="B3020" i="1"/>
  <c r="C3020" i="1"/>
  <c r="G3020" i="1"/>
  <c r="H3020" i="1"/>
  <c r="J3020" i="1"/>
  <c r="K3020" i="1"/>
  <c r="M3020" i="1"/>
  <c r="N3020" i="1"/>
  <c r="P3020" i="1"/>
  <c r="Q3020" i="1"/>
  <c r="R3020" i="1"/>
  <c r="T3020" i="1"/>
  <c r="AL30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A8AF-7F17-4A39-95BE-51ECA517086D}">
  <dimension ref="A1:AL3020"/>
  <sheetViews>
    <sheetView rightToLeft="1" tabSelected="1" workbookViewId="0">
      <selection activeCell="D1" sqref="D1:D1048576"/>
    </sheetView>
  </sheetViews>
  <sheetFormatPr defaultRowHeight="14" x14ac:dyDescent="0.3"/>
  <cols>
    <col min="1" max="1" width="11.4140625" bestFit="1" customWidth="1"/>
    <col min="2" max="2" width="22.9140625" bestFit="1" customWidth="1"/>
    <col min="3" max="3" width="11.4140625" bestFit="1" customWidth="1"/>
    <col min="4" max="4" width="15.08203125" bestFit="1" customWidth="1"/>
    <col min="5" max="6" width="9.75" bestFit="1" customWidth="1"/>
    <col min="7" max="7" width="7.33203125" bestFit="1" customWidth="1"/>
    <col min="8" max="8" width="15.08203125" bestFit="1" customWidth="1"/>
    <col min="9" max="9" width="9.08203125" bestFit="1" customWidth="1"/>
    <col min="10" max="10" width="14.5" bestFit="1" customWidth="1"/>
    <col min="11" max="11" width="62" style="1" bestFit="1" customWidth="1"/>
    <col min="12" max="12" width="5.25" bestFit="1" customWidth="1"/>
    <col min="13" max="13" width="11.33203125" bestFit="1" customWidth="1"/>
    <col min="14" max="14" width="38.08203125" bestFit="1" customWidth="1"/>
    <col min="15" max="15" width="12" bestFit="1" customWidth="1"/>
    <col min="16" max="16" width="9.1640625" bestFit="1" customWidth="1"/>
    <col min="17" max="17" width="8" bestFit="1" customWidth="1"/>
    <col min="18" max="18" width="12.08203125" bestFit="1" customWidth="1"/>
    <col min="19" max="19" width="6.6640625" bestFit="1" customWidth="1"/>
    <col min="20" max="20" width="11.9140625" bestFit="1" customWidth="1"/>
    <col min="21" max="21" width="10.25" bestFit="1" customWidth="1"/>
    <col min="22" max="22" width="11" bestFit="1" customWidth="1"/>
    <col min="23" max="23" width="10.5" bestFit="1" customWidth="1"/>
    <col min="24" max="24" width="9.75" bestFit="1" customWidth="1"/>
    <col min="25" max="25" width="10.33203125" bestFit="1" customWidth="1"/>
    <col min="26" max="26" width="6.08203125" bestFit="1" customWidth="1"/>
    <col min="27" max="27" width="10.9140625" bestFit="1" customWidth="1"/>
    <col min="28" max="28" width="16.33203125" bestFit="1" customWidth="1"/>
    <col min="29" max="29" width="10.33203125" bestFit="1" customWidth="1"/>
    <col min="30" max="30" width="8.58203125" bestFit="1" customWidth="1"/>
    <col min="31" max="31" width="14.08203125" bestFit="1" customWidth="1"/>
    <col min="32" max="32" width="13.08203125" bestFit="1" customWidth="1"/>
    <col min="33" max="33" width="14.08203125" bestFit="1" customWidth="1"/>
    <col min="34" max="34" width="9.5" bestFit="1" customWidth="1"/>
    <col min="35" max="35" width="11.25" bestFit="1" customWidth="1"/>
    <col min="36" max="36" width="15.25" bestFit="1" customWidth="1"/>
    <col min="37" max="37" width="12.9140625" bestFit="1" customWidth="1"/>
    <col min="38" max="38" width="10" bestFit="1" customWidth="1"/>
  </cols>
  <sheetData>
    <row r="1" spans="1:38" x14ac:dyDescent="0.3">
      <c r="A1" t="str">
        <f>"הזמנה"</f>
        <v>הזמנה</v>
      </c>
      <c r="B1" t="str">
        <f>"הז. רכש (לקוח)"</f>
        <v>הז. רכש (לקוח)</v>
      </c>
      <c r="C1" t="str">
        <f>"סטטוס הזמנה"</f>
        <v>סטטוס הזמנה</v>
      </c>
      <c r="D1" t="str">
        <f>"סטטוס שורת הזמנה"</f>
        <v>סטטוס שורת הזמנה</v>
      </c>
      <c r="E1" t="str">
        <f>"תאריך"</f>
        <v>תאריך</v>
      </c>
      <c r="F1" t="str">
        <f>"ת. אספקה"</f>
        <v>ת. אספקה</v>
      </c>
      <c r="G1" t="str">
        <f>"מס. לקוח"</f>
        <v>מס. לקוח</v>
      </c>
      <c r="H1" t="str">
        <f>"שם לקוח"</f>
        <v>שם לקוח</v>
      </c>
      <c r="I1" t="str">
        <f>"שם סוכן"</f>
        <v>שם סוכן</v>
      </c>
      <c r="J1" t="str">
        <f>"מק""ט"</f>
        <v>מק"ט</v>
      </c>
      <c r="K1" s="1" t="str">
        <f>"תאור מוצר"</f>
        <v>תאור מוצר</v>
      </c>
      <c r="L1" t="str">
        <f>"כמות"</f>
        <v>כמות</v>
      </c>
      <c r="M1" t="str">
        <f>"פרויקט"</f>
        <v>פרויקט</v>
      </c>
      <c r="N1" t="str">
        <f>"תאור פרויקט"</f>
        <v>תאור פרויקט</v>
      </c>
      <c r="O1" t="str">
        <f>"מחיר בתעודה $"</f>
        <v>מחיר בתעודה $</v>
      </c>
      <c r="P1" t="str">
        <f>"מטבע שורה"</f>
        <v>מטבע שורה</v>
      </c>
      <c r="Q1" t="str">
        <f>"סוג מכירה"</f>
        <v>סוג מכירה</v>
      </c>
      <c r="R1" t="str">
        <f>"תאור סוג מכירה"</f>
        <v>תאור סוג מכירה</v>
      </c>
      <c r="S1" t="str">
        <f>"מס' סוכן"</f>
        <v>מס' סוכן</v>
      </c>
      <c r="T1" t="str">
        <f>"לטיפול"</f>
        <v>לטיפול</v>
      </c>
      <c r="U1" t="str">
        <f>"מחיר מינימום"</f>
        <v>מחיר מינימום</v>
      </c>
      <c r="V1" t="str">
        <f>"מחירון בסיס $"</f>
        <v>מחירון בסיס $</v>
      </c>
      <c r="W1" t="str">
        <f>"מחיר בתעודה"</f>
        <v>מחיר בתעודה</v>
      </c>
      <c r="X1" t="str">
        <f>"סה""כ ב-$"</f>
        <v>סה"כ ב-$</v>
      </c>
      <c r="Y1" t="str">
        <f>"תשלום מראש"</f>
        <v>תשלום מראש</v>
      </c>
      <c r="Z1" t="str">
        <f>"סגורה?"</f>
        <v>סגורה?</v>
      </c>
      <c r="AA1" t="str">
        <f>"יתרה לאספקה"</f>
        <v>יתרה לאספקה</v>
      </c>
      <c r="AB1" t="str">
        <f>"מספר פעילות (WBS)"</f>
        <v>מספר פעילות (WBS)</v>
      </c>
      <c r="AC1" t="str">
        <f>"מספר פעילות"</f>
        <v>מספר פעילות</v>
      </c>
      <c r="AD1" t="str">
        <f>"שם פעילות"</f>
        <v>שם פעילות</v>
      </c>
      <c r="AE1" t="str">
        <f>"כ.ארוזה/דווח פנימי"</f>
        <v>כ.ארוזה/דווח פנימי</v>
      </c>
      <c r="AF1" t="str">
        <f>"מחירון בסיס ש""ח"</f>
        <v>מחירון בסיס ש"ח</v>
      </c>
      <c r="AG1" t="str">
        <f>"מחיר בתעודה ש""ח"</f>
        <v>מחיר בתעודה ש"ח</v>
      </c>
      <c r="AH1" t="str">
        <f>"מחירון בסיס"</f>
        <v>מחירון בסיס</v>
      </c>
      <c r="AI1" t="str">
        <f>"סה""כ ב-ש""ח"</f>
        <v>סה"כ ב-ש"ח</v>
      </c>
      <c r="AJ1" t="str">
        <f>"סה""כ במטבע הזמנה"</f>
        <v>סה"כ במטבע הזמנה</v>
      </c>
      <c r="AK1" t="str">
        <f>"סה""כ אחרי הנחה"</f>
        <v>סה"כ אחרי הנחה</v>
      </c>
      <c r="AL1" t="str">
        <f>"מטבע הזמנה"</f>
        <v>מטבע הזמנה</v>
      </c>
    </row>
    <row r="2" spans="1:38" x14ac:dyDescent="0.3">
      <c r="A2" t="str">
        <f>"SO20000009"</f>
        <v>SO20000009</v>
      </c>
      <c r="B2" t="str">
        <f>"E000301744"</f>
        <v>E000301744</v>
      </c>
      <c r="C2" t="str">
        <f>"בוצעה"</f>
        <v>בוצעה</v>
      </c>
      <c r="E2" s="3">
        <v>43835</v>
      </c>
      <c r="F2" s="3">
        <v>43889</v>
      </c>
      <c r="G2" t="str">
        <f>"700065"</f>
        <v>700065</v>
      </c>
      <c r="H2" t="str">
        <f>"אלתא מערכות בע""מ"</f>
        <v>אלתא מערכות בע"מ</v>
      </c>
      <c r="I2" t="str">
        <f>"ערן שלו"</f>
        <v>ערן שלו</v>
      </c>
      <c r="J2" t="str">
        <f>"OP-AR00995"</f>
        <v>OP-AR00995</v>
      </c>
      <c r="K2" s="1" t="str">
        <f>"320VDC 60KW SYSTEM"</f>
        <v>320VDC 60KW SYSTEM</v>
      </c>
      <c r="L2">
        <v>1</v>
      </c>
      <c r="M2" t="str">
        <f>"PR20000012"</f>
        <v>PR20000012</v>
      </c>
      <c r="N2" t="str">
        <f>"ייצור מע' כח 60KVA"</f>
        <v>ייצור מע' כח 60KVA</v>
      </c>
      <c r="O2" s="2">
        <v>19908</v>
      </c>
      <c r="P2" t="str">
        <f>"$"</f>
        <v>$</v>
      </c>
      <c r="Q2" t="str">
        <f>"000"</f>
        <v>000</v>
      </c>
      <c r="R2" t="str">
        <f>"כללית"</f>
        <v>כללית</v>
      </c>
      <c r="S2" t="str">
        <f>"034"</f>
        <v>034</v>
      </c>
      <c r="T2" t="str">
        <f>"גנם הודיה"</f>
        <v>גנם הודיה</v>
      </c>
      <c r="U2">
        <v>0</v>
      </c>
      <c r="V2">
        <v>0</v>
      </c>
      <c r="W2" s="2">
        <v>19908</v>
      </c>
      <c r="X2" s="2">
        <v>19908</v>
      </c>
      <c r="Z2" t="str">
        <f>"Y"</f>
        <v>Y</v>
      </c>
      <c r="AA2">
        <v>0</v>
      </c>
      <c r="AC2">
        <v>0</v>
      </c>
      <c r="AE2">
        <v>0</v>
      </c>
      <c r="AF2">
        <v>0</v>
      </c>
      <c r="AG2" s="2">
        <v>69021.039999999994</v>
      </c>
      <c r="AH2">
        <v>0</v>
      </c>
      <c r="AI2" s="2">
        <v>69021.039999999994</v>
      </c>
      <c r="AJ2" s="2">
        <v>19908</v>
      </c>
      <c r="AK2" s="2">
        <v>19908</v>
      </c>
      <c r="AL2" t="str">
        <f>"$"</f>
        <v>$</v>
      </c>
    </row>
    <row r="3" spans="1:38" x14ac:dyDescent="0.3">
      <c r="A3" t="str">
        <f>"SO20000009"</f>
        <v>SO20000009</v>
      </c>
      <c r="B3" t="str">
        <f>"E000301744"</f>
        <v>E000301744</v>
      </c>
      <c r="C3" t="str">
        <f>"בוצעה"</f>
        <v>בוצעה</v>
      </c>
      <c r="E3" s="3">
        <v>43835</v>
      </c>
      <c r="F3" s="3">
        <v>44143</v>
      </c>
      <c r="G3" t="str">
        <f>"700065"</f>
        <v>700065</v>
      </c>
      <c r="H3" t="str">
        <f>"אלתא מערכות בע""מ"</f>
        <v>אלתא מערכות בע"מ</v>
      </c>
      <c r="I3" t="str">
        <f>"ערן שלו"</f>
        <v>ערן שלו</v>
      </c>
      <c r="J3" t="str">
        <f>"9977"</f>
        <v>9977</v>
      </c>
      <c r="K3" s="1" t="str">
        <f>"חיוב פיגורים בגין 5112172429 SI206000353"</f>
        <v>חיוב פיגורים בגין 5112172429 SI206000353</v>
      </c>
      <c r="L3">
        <v>0</v>
      </c>
      <c r="M3" t="str">
        <f>"PR20000012"</f>
        <v>PR20000012</v>
      </c>
      <c r="N3" t="str">
        <f>"ייצור מע' כח 60KVA"</f>
        <v>ייצור מע' כח 60KVA</v>
      </c>
      <c r="O3">
        <v>597.24</v>
      </c>
      <c r="P3" t="str">
        <f>"$"</f>
        <v>$</v>
      </c>
      <c r="Q3" t="str">
        <f>"000"</f>
        <v>000</v>
      </c>
      <c r="R3" t="str">
        <f>"כללית"</f>
        <v>כללית</v>
      </c>
      <c r="S3" t="str">
        <f>"034"</f>
        <v>034</v>
      </c>
      <c r="T3" t="str">
        <f>"גנם הודיה"</f>
        <v>גנם הודיה</v>
      </c>
      <c r="U3">
        <v>0</v>
      </c>
      <c r="V3">
        <v>0</v>
      </c>
      <c r="W3">
        <v>597.24</v>
      </c>
      <c r="X3">
        <v>0</v>
      </c>
      <c r="Z3" t="str">
        <f>"Y"</f>
        <v>Y</v>
      </c>
      <c r="AA3">
        <v>0</v>
      </c>
      <c r="AC3">
        <v>0</v>
      </c>
      <c r="AE3">
        <v>0</v>
      </c>
      <c r="AF3">
        <v>0</v>
      </c>
      <c r="AG3" s="2">
        <v>2070.63</v>
      </c>
      <c r="AH3">
        <v>0</v>
      </c>
      <c r="AI3">
        <v>0</v>
      </c>
      <c r="AJ3">
        <v>0</v>
      </c>
      <c r="AK3">
        <v>0</v>
      </c>
      <c r="AL3" t="str">
        <f>"$"</f>
        <v>$</v>
      </c>
    </row>
    <row r="4" spans="1:38" x14ac:dyDescent="0.3">
      <c r="A4" t="str">
        <f>"SO20000011"</f>
        <v>SO20000011</v>
      </c>
      <c r="B4" t="str">
        <f>"E000300987"</f>
        <v>E000300987</v>
      </c>
      <c r="C4" t="str">
        <f>"בוצעה"</f>
        <v>בוצעה</v>
      </c>
      <c r="E4" s="3">
        <v>43836</v>
      </c>
      <c r="F4" s="3">
        <v>43872</v>
      </c>
      <c r="G4" t="str">
        <f>"700065"</f>
        <v>700065</v>
      </c>
      <c r="H4" t="str">
        <f>"אלתא מערכות בע""מ"</f>
        <v>אלתא מערכות בע"מ</v>
      </c>
      <c r="I4" t="str">
        <f>"דוד דהן"</f>
        <v>דוד דהן</v>
      </c>
      <c r="J4" t="str">
        <f>"OP-AR01637"</f>
        <v>OP-AR01637</v>
      </c>
      <c r="K4" s="1" t="str">
        <f>"שיפוץ שליטה קרון מופ"</f>
        <v>שיפוץ שליטה קרון מופ</v>
      </c>
      <c r="L4">
        <v>1</v>
      </c>
      <c r="M4" t="str">
        <f>"PR20000013"</f>
        <v>PR20000013</v>
      </c>
      <c r="N4" t="str">
        <f>"שיפןץ שליטה קרון מופ"</f>
        <v>שיפןץ שליטה קרון מופ</v>
      </c>
      <c r="O4" s="2">
        <v>22099.39</v>
      </c>
      <c r="P4" t="str">
        <f>"$"</f>
        <v>$</v>
      </c>
      <c r="Q4" t="str">
        <f>"000"</f>
        <v>000</v>
      </c>
      <c r="R4" t="str">
        <f>"כללית"</f>
        <v>כללית</v>
      </c>
      <c r="S4" t="str">
        <f>"030"</f>
        <v>030</v>
      </c>
      <c r="T4" t="str">
        <f>"גנם הודיה"</f>
        <v>גנם הודיה</v>
      </c>
      <c r="U4">
        <v>0</v>
      </c>
      <c r="V4">
        <v>0</v>
      </c>
      <c r="W4" s="2">
        <v>22099.39</v>
      </c>
      <c r="X4" s="2">
        <v>22099.39</v>
      </c>
      <c r="Z4" t="str">
        <f>"Y"</f>
        <v>Y</v>
      </c>
      <c r="AA4">
        <v>0</v>
      </c>
      <c r="AC4">
        <v>0</v>
      </c>
      <c r="AE4">
        <v>0</v>
      </c>
      <c r="AF4">
        <v>0</v>
      </c>
      <c r="AG4" s="2">
        <v>76795.38</v>
      </c>
      <c r="AH4">
        <v>0</v>
      </c>
      <c r="AI4" s="2">
        <v>76795.38</v>
      </c>
      <c r="AJ4" s="2">
        <v>22099.39</v>
      </c>
      <c r="AK4" s="2">
        <v>22099.39</v>
      </c>
      <c r="AL4" t="str">
        <f>"$"</f>
        <v>$</v>
      </c>
    </row>
    <row r="5" spans="1:38" x14ac:dyDescent="0.3">
      <c r="A5" t="str">
        <f>"SO20000011"</f>
        <v>SO20000011</v>
      </c>
      <c r="B5" t="str">
        <f>"E000300987"</f>
        <v>E000300987</v>
      </c>
      <c r="C5" t="str">
        <f>"בוצעה"</f>
        <v>בוצעה</v>
      </c>
      <c r="E5" s="3">
        <v>43836</v>
      </c>
      <c r="F5" s="3">
        <v>44168</v>
      </c>
      <c r="G5" t="str">
        <f>"700065"</f>
        <v>700065</v>
      </c>
      <c r="H5" t="str">
        <f>"אלתא מערכות בע""מ"</f>
        <v>אלתא מערכות בע"מ</v>
      </c>
      <c r="I5" t="str">
        <f>"דוד דהן"</f>
        <v>דוד דהן</v>
      </c>
      <c r="J5" t="str">
        <f>"9977"</f>
        <v>9977</v>
      </c>
      <c r="K5" s="1" t="str">
        <f>"חיוב פיגורים 51123419852020 SI206000857"</f>
        <v>חיוב פיגורים 51123419852020 SI206000857</v>
      </c>
      <c r="L5">
        <v>0</v>
      </c>
      <c r="M5" t="str">
        <f>"PR20000013"</f>
        <v>PR20000013</v>
      </c>
      <c r="N5" t="str">
        <f>"שיפןץ שליטה קרון מופ"</f>
        <v>שיפןץ שליטה קרון מופ</v>
      </c>
      <c r="O5">
        <v>883.98</v>
      </c>
      <c r="P5" t="str">
        <f>"$"</f>
        <v>$</v>
      </c>
      <c r="Q5" t="str">
        <f>"000"</f>
        <v>000</v>
      </c>
      <c r="R5" t="str">
        <f>"כללית"</f>
        <v>כללית</v>
      </c>
      <c r="S5" t="str">
        <f>"030"</f>
        <v>030</v>
      </c>
      <c r="T5" t="str">
        <f>"גנם הודיה"</f>
        <v>גנם הודיה</v>
      </c>
      <c r="U5">
        <v>0</v>
      </c>
      <c r="V5">
        <v>0</v>
      </c>
      <c r="W5">
        <v>883.98</v>
      </c>
      <c r="X5">
        <v>0</v>
      </c>
      <c r="Z5" t="str">
        <f>"Y"</f>
        <v>Y</v>
      </c>
      <c r="AA5">
        <v>0</v>
      </c>
      <c r="AC5">
        <v>0</v>
      </c>
      <c r="AE5">
        <v>0</v>
      </c>
      <c r="AF5">
        <v>0</v>
      </c>
      <c r="AG5" s="2">
        <v>3071.83</v>
      </c>
      <c r="AH5">
        <v>0</v>
      </c>
      <c r="AI5">
        <v>0</v>
      </c>
      <c r="AJ5">
        <v>0</v>
      </c>
      <c r="AK5">
        <v>0</v>
      </c>
      <c r="AL5" t="str">
        <f>"$"</f>
        <v>$</v>
      </c>
    </row>
    <row r="6" spans="1:38" x14ac:dyDescent="0.3">
      <c r="A6" t="str">
        <f>"SO20000012"</f>
        <v>SO20000012</v>
      </c>
      <c r="B6" t="str">
        <f>"E000301089"</f>
        <v>E000301089</v>
      </c>
      <c r="C6" t="str">
        <f>"בוצעה"</f>
        <v>בוצעה</v>
      </c>
      <c r="E6" s="3">
        <v>43837</v>
      </c>
      <c r="F6" s="3">
        <v>44346</v>
      </c>
      <c r="G6" t="str">
        <f>"700065"</f>
        <v>700065</v>
      </c>
      <c r="H6" t="str">
        <f>"אלתא מערכות בע""מ"</f>
        <v>אלתא מערכות בע"מ</v>
      </c>
      <c r="I6" t="str">
        <f>"ערן שלו"</f>
        <v>ערן שלו</v>
      </c>
      <c r="J6" t="str">
        <f>"OP-KT00091"</f>
        <v>OP-KT00091</v>
      </c>
      <c r="K6" s="1" t="str">
        <f>"P15 EPS CABLE KIT"</f>
        <v>P15 EPS CABLE KIT</v>
      </c>
      <c r="L6">
        <v>1</v>
      </c>
      <c r="M6" t="str">
        <f>"PR19000400"</f>
        <v>PR19000400</v>
      </c>
      <c r="N6" t="str">
        <f>"פרויקט ראשי - BELL7"</f>
        <v>פרויקט ראשי - BELL7</v>
      </c>
      <c r="O6" s="2">
        <v>45570</v>
      </c>
      <c r="P6" t="str">
        <f>"$"</f>
        <v>$</v>
      </c>
      <c r="Q6" t="str">
        <f>"118"</f>
        <v>118</v>
      </c>
      <c r="R6" t="str">
        <f>"מערכות"</f>
        <v>מערכות</v>
      </c>
      <c r="S6" t="str">
        <f>"034"</f>
        <v>034</v>
      </c>
      <c r="T6" t="str">
        <f>"גנם הודיה"</f>
        <v>גנם הודיה</v>
      </c>
      <c r="U6">
        <v>0</v>
      </c>
      <c r="V6">
        <v>0</v>
      </c>
      <c r="W6" s="2">
        <v>45570</v>
      </c>
      <c r="X6" s="2">
        <v>45570</v>
      </c>
      <c r="Z6" t="str">
        <f>"Y"</f>
        <v>Y</v>
      </c>
      <c r="AA6">
        <v>0</v>
      </c>
      <c r="AC6">
        <v>0</v>
      </c>
      <c r="AE6">
        <v>0</v>
      </c>
      <c r="AF6">
        <v>0</v>
      </c>
      <c r="AG6" s="2">
        <v>157991.19</v>
      </c>
      <c r="AH6">
        <v>0</v>
      </c>
      <c r="AI6" s="2">
        <v>157991.19</v>
      </c>
      <c r="AJ6" s="2">
        <v>45570</v>
      </c>
      <c r="AK6" s="2">
        <v>45570</v>
      </c>
      <c r="AL6" t="str">
        <f>"$"</f>
        <v>$</v>
      </c>
    </row>
    <row r="7" spans="1:38" x14ac:dyDescent="0.3">
      <c r="A7" t="str">
        <f>"SO20000012"</f>
        <v>SO20000012</v>
      </c>
      <c r="B7" t="str">
        <f>"E000301089"</f>
        <v>E000301089</v>
      </c>
      <c r="C7" t="str">
        <f>"בוצעה"</f>
        <v>בוצעה</v>
      </c>
      <c r="E7" s="3">
        <v>43837</v>
      </c>
      <c r="F7" s="3">
        <v>45199</v>
      </c>
      <c r="G7" t="str">
        <f>"700065"</f>
        <v>700065</v>
      </c>
      <c r="H7" t="str">
        <f>"אלתא מערכות בע""מ"</f>
        <v>אלתא מערכות בע"מ</v>
      </c>
      <c r="I7" t="str">
        <f>"ערן שלו"</f>
        <v>ערן שלו</v>
      </c>
      <c r="J7" t="str">
        <f>"OP-KT00091"</f>
        <v>OP-KT00091</v>
      </c>
      <c r="K7" s="1" t="str">
        <f>"P15 EPS CABLE KIT"</f>
        <v>P15 EPS CABLE KIT</v>
      </c>
      <c r="L7">
        <v>1</v>
      </c>
      <c r="M7" t="str">
        <f>"PR19000400"</f>
        <v>PR19000400</v>
      </c>
      <c r="N7" t="str">
        <f>"פרויקט ראשי - BELL7"</f>
        <v>פרויקט ראשי - BELL7</v>
      </c>
      <c r="O7" s="2">
        <v>45570</v>
      </c>
      <c r="P7" t="str">
        <f>"$"</f>
        <v>$</v>
      </c>
      <c r="Q7" t="str">
        <f>"118"</f>
        <v>118</v>
      </c>
      <c r="R7" t="str">
        <f>"מערכות"</f>
        <v>מערכות</v>
      </c>
      <c r="S7" t="str">
        <f>"034"</f>
        <v>034</v>
      </c>
      <c r="T7" t="str">
        <f>"גנם הודיה"</f>
        <v>גנם הודיה</v>
      </c>
      <c r="U7">
        <v>0</v>
      </c>
      <c r="V7">
        <v>0</v>
      </c>
      <c r="W7" s="2">
        <v>45570</v>
      </c>
      <c r="X7" s="2">
        <v>45570</v>
      </c>
      <c r="Z7" t="str">
        <f>"Y"</f>
        <v>Y</v>
      </c>
      <c r="AA7">
        <v>0</v>
      </c>
      <c r="AC7">
        <v>0</v>
      </c>
      <c r="AE7">
        <v>0</v>
      </c>
      <c r="AF7">
        <v>0</v>
      </c>
      <c r="AG7" s="2">
        <v>157991.19</v>
      </c>
      <c r="AH7">
        <v>0</v>
      </c>
      <c r="AI7" s="2">
        <v>157991.19</v>
      </c>
      <c r="AJ7" s="2">
        <v>45570</v>
      </c>
      <c r="AK7" s="2">
        <v>45570</v>
      </c>
      <c r="AL7" t="str">
        <f>"$"</f>
        <v>$</v>
      </c>
    </row>
    <row r="8" spans="1:38" x14ac:dyDescent="0.3">
      <c r="A8" t="str">
        <f>"SO20000012"</f>
        <v>SO20000012</v>
      </c>
      <c r="B8" t="str">
        <f>"E000301089"</f>
        <v>E000301089</v>
      </c>
      <c r="C8" t="str">
        <f>"בוצעה"</f>
        <v>בוצעה</v>
      </c>
      <c r="E8" s="3">
        <v>43837</v>
      </c>
      <c r="F8" s="3">
        <v>44530</v>
      </c>
      <c r="G8" t="str">
        <f>"700065"</f>
        <v>700065</v>
      </c>
      <c r="H8" t="str">
        <f>"אלתא מערכות בע""מ"</f>
        <v>אלתא מערכות בע"מ</v>
      </c>
      <c r="I8" t="str">
        <f>"ערן שלו"</f>
        <v>ערן שלו</v>
      </c>
      <c r="J8" t="str">
        <f>"OP-KT00091"</f>
        <v>OP-KT00091</v>
      </c>
      <c r="K8" s="1" t="str">
        <f>"P15 EPS CABLE KIT"</f>
        <v>P15 EPS CABLE KIT</v>
      </c>
      <c r="L8">
        <v>0</v>
      </c>
      <c r="M8" t="str">
        <f>"PR19000400"</f>
        <v>PR19000400</v>
      </c>
      <c r="N8" t="str">
        <f>"פרויקט ראשי - BELL7"</f>
        <v>פרויקט ראשי - BELL7</v>
      </c>
      <c r="O8">
        <v>0</v>
      </c>
      <c r="P8" t="str">
        <f>"$"</f>
        <v>$</v>
      </c>
      <c r="Q8" t="str">
        <f>"118"</f>
        <v>118</v>
      </c>
      <c r="R8" t="str">
        <f>"מערכות"</f>
        <v>מערכות</v>
      </c>
      <c r="S8" t="str">
        <f>"034"</f>
        <v>034</v>
      </c>
      <c r="T8" t="str">
        <f>"גנם הודיה"</f>
        <v>גנם הודיה</v>
      </c>
      <c r="U8">
        <v>0</v>
      </c>
      <c r="V8">
        <v>0</v>
      </c>
      <c r="W8">
        <v>0</v>
      </c>
      <c r="X8">
        <v>0</v>
      </c>
      <c r="Z8" t="str">
        <f>"Y"</f>
        <v>Y</v>
      </c>
      <c r="AA8">
        <v>0</v>
      </c>
      <c r="AC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tr">
        <f>"$"</f>
        <v>$</v>
      </c>
    </row>
    <row r="9" spans="1:38" x14ac:dyDescent="0.3">
      <c r="A9" t="str">
        <f>"SO20000012"</f>
        <v>SO20000012</v>
      </c>
      <c r="B9" t="str">
        <f>"E000301089"</f>
        <v>E000301089</v>
      </c>
      <c r="C9" t="str">
        <f>"בוצעה"</f>
        <v>בוצעה</v>
      </c>
      <c r="E9" s="3">
        <v>43837</v>
      </c>
      <c r="F9" s="3">
        <v>44803</v>
      </c>
      <c r="G9" t="str">
        <f>"700065"</f>
        <v>700065</v>
      </c>
      <c r="H9" t="str">
        <f>"אלתא מערכות בע""מ"</f>
        <v>אלתא מערכות בע"מ</v>
      </c>
      <c r="I9" t="str">
        <f>"ערן שלו"</f>
        <v>ערן שלו</v>
      </c>
      <c r="J9" t="str">
        <f>"OP-KT00091"</f>
        <v>OP-KT00091</v>
      </c>
      <c r="K9" s="1" t="str">
        <f>"P15 EPS CABLE KIT"</f>
        <v>P15 EPS CABLE KIT</v>
      </c>
      <c r="L9">
        <v>0</v>
      </c>
      <c r="M9" t="str">
        <f>"PR19000400"</f>
        <v>PR19000400</v>
      </c>
      <c r="N9" t="str">
        <f>"פרויקט ראשי - BELL7"</f>
        <v>פרויקט ראשי - BELL7</v>
      </c>
      <c r="O9">
        <v>0</v>
      </c>
      <c r="P9" t="str">
        <f>"$"</f>
        <v>$</v>
      </c>
      <c r="Q9" t="str">
        <f>"118"</f>
        <v>118</v>
      </c>
      <c r="R9" t="str">
        <f>"מערכות"</f>
        <v>מערכות</v>
      </c>
      <c r="S9" t="str">
        <f>"034"</f>
        <v>034</v>
      </c>
      <c r="T9" t="str">
        <f>"גנם הודיה"</f>
        <v>גנם הודיה</v>
      </c>
      <c r="U9">
        <v>0</v>
      </c>
      <c r="V9">
        <v>0</v>
      </c>
      <c r="W9">
        <v>0</v>
      </c>
      <c r="X9">
        <v>0</v>
      </c>
      <c r="Z9" t="str">
        <f>"Y"</f>
        <v>Y</v>
      </c>
      <c r="AA9">
        <v>0</v>
      </c>
      <c r="AC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tr">
        <f>"$"</f>
        <v>$</v>
      </c>
    </row>
    <row r="10" spans="1:38" x14ac:dyDescent="0.3">
      <c r="A10" t="str">
        <f>"SO20000012"</f>
        <v>SO20000012</v>
      </c>
      <c r="B10" t="str">
        <f>"E000301089"</f>
        <v>E000301089</v>
      </c>
      <c r="C10" t="str">
        <f>"בוצעה"</f>
        <v>בוצעה</v>
      </c>
      <c r="E10" s="3">
        <v>43837</v>
      </c>
      <c r="F10" s="3">
        <v>44407</v>
      </c>
      <c r="G10" t="str">
        <f>"700065"</f>
        <v>700065</v>
      </c>
      <c r="H10" t="str">
        <f>"אלתא מערכות בע""מ"</f>
        <v>אלתא מערכות בע"מ</v>
      </c>
      <c r="I10" t="str">
        <f>"ערן שלו"</f>
        <v>ערן שלו</v>
      </c>
      <c r="J10" t="str">
        <f>"SH0100044"</f>
        <v>SH0100044</v>
      </c>
      <c r="K10" s="1" t="str">
        <f>"שנאי 200KVA לפי מפרט"</f>
        <v>שנאי 200KVA לפי מפרט</v>
      </c>
      <c r="L10">
        <v>0</v>
      </c>
      <c r="M10" t="str">
        <f>"PR19000400"</f>
        <v>PR19000400</v>
      </c>
      <c r="N10" t="str">
        <f>"פרויקט ראשי - BELL7"</f>
        <v>פרויקט ראשי - BELL7</v>
      </c>
      <c r="O10">
        <v>0</v>
      </c>
      <c r="P10" t="str">
        <f>"$"</f>
        <v>$</v>
      </c>
      <c r="Q10" t="str">
        <f>"118"</f>
        <v>118</v>
      </c>
      <c r="R10" t="str">
        <f>"מערכות"</f>
        <v>מערכות</v>
      </c>
      <c r="S10" t="str">
        <f>"034"</f>
        <v>034</v>
      </c>
      <c r="T10" t="str">
        <f>"גנם הודיה"</f>
        <v>גנם הודיה</v>
      </c>
      <c r="U10">
        <v>0</v>
      </c>
      <c r="V10">
        <v>0</v>
      </c>
      <c r="W10">
        <v>0</v>
      </c>
      <c r="X10">
        <v>0</v>
      </c>
      <c r="Z10" t="str">
        <f>"Y"</f>
        <v>Y</v>
      </c>
      <c r="AA10">
        <v>0</v>
      </c>
      <c r="AC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tr">
        <f>"$"</f>
        <v>$</v>
      </c>
    </row>
    <row r="11" spans="1:38" x14ac:dyDescent="0.3">
      <c r="A11" t="str">
        <f>"SO20000012"</f>
        <v>SO20000012</v>
      </c>
      <c r="B11" t="str">
        <f>"E000301089"</f>
        <v>E000301089</v>
      </c>
      <c r="C11" t="str">
        <f>"בוצעה"</f>
        <v>בוצעה</v>
      </c>
      <c r="E11" s="3">
        <v>43837</v>
      </c>
      <c r="F11" s="3">
        <v>44499</v>
      </c>
      <c r="G11" t="str">
        <f>"700065"</f>
        <v>700065</v>
      </c>
      <c r="H11" t="str">
        <f>"אלתא מערכות בע""מ"</f>
        <v>אלתא מערכות בע"מ</v>
      </c>
      <c r="I11" t="str">
        <f>"ערן שלו"</f>
        <v>ערן שלו</v>
      </c>
      <c r="J11" t="str">
        <f>"OP-PD02881"</f>
        <v>OP-PD02881</v>
      </c>
      <c r="K11" s="1" t="str">
        <f>"POWER DISTRIBUTION BOARD 09-SOCD"</f>
        <v>POWER DISTRIBUTION BOARD 09-SOCD</v>
      </c>
      <c r="L11">
        <v>1</v>
      </c>
      <c r="M11" t="str">
        <f>"PR20000777"</f>
        <v>PR20000777</v>
      </c>
      <c r="N11" t="str">
        <f>"ייצור 4 לוחות PDB 09 - SOCD"</f>
        <v>ייצור 4 לוחות PDB 09 - SOCD</v>
      </c>
      <c r="O11" s="2">
        <v>39999.300000000003</v>
      </c>
      <c r="P11" t="str">
        <f>"$"</f>
        <v>$</v>
      </c>
      <c r="Q11" t="str">
        <f>"118"</f>
        <v>118</v>
      </c>
      <c r="R11" t="str">
        <f>"מערכות"</f>
        <v>מערכות</v>
      </c>
      <c r="S11" t="str">
        <f>"034"</f>
        <v>034</v>
      </c>
      <c r="T11" t="str">
        <f>"גנם הודיה"</f>
        <v>גנם הודיה</v>
      </c>
      <c r="U11">
        <v>0</v>
      </c>
      <c r="V11">
        <v>0</v>
      </c>
      <c r="W11" s="2">
        <v>39999.300000000003</v>
      </c>
      <c r="X11" s="2">
        <v>39999.300000000003</v>
      </c>
      <c r="Z11" t="str">
        <f>"Y"</f>
        <v>Y</v>
      </c>
      <c r="AA11">
        <v>1</v>
      </c>
      <c r="AC11">
        <v>0</v>
      </c>
      <c r="AE11">
        <v>0</v>
      </c>
      <c r="AF11">
        <v>0</v>
      </c>
      <c r="AG11" s="2">
        <v>138677.57</v>
      </c>
      <c r="AH11">
        <v>0</v>
      </c>
      <c r="AI11" s="2">
        <v>138677.57</v>
      </c>
      <c r="AJ11" s="2">
        <v>39999.300000000003</v>
      </c>
      <c r="AK11" s="2">
        <v>39999.300000000003</v>
      </c>
      <c r="AL11" t="str">
        <f>"$"</f>
        <v>$</v>
      </c>
    </row>
    <row r="12" spans="1:38" x14ac:dyDescent="0.3">
      <c r="A12" t="str">
        <f>"SO20000012"</f>
        <v>SO20000012</v>
      </c>
      <c r="B12" t="str">
        <f>"E000301089"</f>
        <v>E000301089</v>
      </c>
      <c r="C12" t="str">
        <f>"בוצעה"</f>
        <v>בוצעה</v>
      </c>
      <c r="E12" s="3">
        <v>43837</v>
      </c>
      <c r="F12" s="3">
        <v>44134</v>
      </c>
      <c r="G12" t="str">
        <f>"700065"</f>
        <v>700065</v>
      </c>
      <c r="H12" t="str">
        <f>"אלתא מערכות בע""מ"</f>
        <v>אלתא מערכות בע"מ</v>
      </c>
      <c r="I12" t="str">
        <f>"ערן שלו"</f>
        <v>ערן שלו</v>
      </c>
      <c r="J12" t="str">
        <f>"OP-KT00091"</f>
        <v>OP-KT00091</v>
      </c>
      <c r="K12" s="1" t="str">
        <f>"P15 EPS CABLE KIT"</f>
        <v>P15 EPS CABLE KIT</v>
      </c>
      <c r="L12">
        <v>0</v>
      </c>
      <c r="M12" t="str">
        <f>"PR19000400"</f>
        <v>PR19000400</v>
      </c>
      <c r="N12" t="str">
        <f>"פרויקט ראשי - BELL7"</f>
        <v>פרויקט ראשי - BELL7</v>
      </c>
      <c r="O12" s="2">
        <v>45570</v>
      </c>
      <c r="P12" t="str">
        <f>"$"</f>
        <v>$</v>
      </c>
      <c r="Q12" t="str">
        <f>"118"</f>
        <v>118</v>
      </c>
      <c r="R12" t="str">
        <f>"מערכות"</f>
        <v>מערכות</v>
      </c>
      <c r="S12" t="str">
        <f>"034"</f>
        <v>034</v>
      </c>
      <c r="T12" t="str">
        <f>"גנם הודיה"</f>
        <v>גנם הודיה</v>
      </c>
      <c r="U12">
        <v>0</v>
      </c>
      <c r="V12">
        <v>0</v>
      </c>
      <c r="W12" s="2">
        <v>45570</v>
      </c>
      <c r="X12">
        <v>0</v>
      </c>
      <c r="Z12" t="str">
        <f>"Y"</f>
        <v>Y</v>
      </c>
      <c r="AA12">
        <v>0</v>
      </c>
      <c r="AC12">
        <v>0</v>
      </c>
      <c r="AE12">
        <v>0</v>
      </c>
      <c r="AF12">
        <v>0</v>
      </c>
      <c r="AG12" s="2">
        <v>157991.19</v>
      </c>
      <c r="AH12">
        <v>0</v>
      </c>
      <c r="AI12">
        <v>0</v>
      </c>
      <c r="AJ12">
        <v>0</v>
      </c>
      <c r="AK12">
        <v>0</v>
      </c>
      <c r="AL12" t="str">
        <f>"$"</f>
        <v>$</v>
      </c>
    </row>
    <row r="13" spans="1:38" x14ac:dyDescent="0.3">
      <c r="A13" t="str">
        <f>"SO20000012"</f>
        <v>SO20000012</v>
      </c>
      <c r="B13" t="str">
        <f>"E000301089"</f>
        <v>E000301089</v>
      </c>
      <c r="C13" t="str">
        <f>"בוצעה"</f>
        <v>בוצעה</v>
      </c>
      <c r="E13" s="3">
        <v>43837</v>
      </c>
      <c r="F13" s="3">
        <v>45015</v>
      </c>
      <c r="G13" t="str">
        <f>"700065"</f>
        <v>700065</v>
      </c>
      <c r="H13" t="str">
        <f>"אלתא מערכות בע""מ"</f>
        <v>אלתא מערכות בע"מ</v>
      </c>
      <c r="I13" t="str">
        <f>"ערן שלו"</f>
        <v>ערן שלו</v>
      </c>
      <c r="J13" t="str">
        <f>"OP-KT00091"</f>
        <v>OP-KT00091</v>
      </c>
      <c r="K13" s="1" t="str">
        <f>"P15 EPS CABLE KIT"</f>
        <v>P15 EPS CABLE KIT</v>
      </c>
      <c r="L13">
        <v>0</v>
      </c>
      <c r="M13" t="str">
        <f>"PR19000400"</f>
        <v>PR19000400</v>
      </c>
      <c r="N13" t="str">
        <f>"פרויקט ראשי - BELL7"</f>
        <v>פרויקט ראשי - BELL7</v>
      </c>
      <c r="O13" s="2">
        <v>45570</v>
      </c>
      <c r="P13" t="str">
        <f>"$"</f>
        <v>$</v>
      </c>
      <c r="Q13" t="str">
        <f>"118"</f>
        <v>118</v>
      </c>
      <c r="R13" t="str">
        <f>"מערכות"</f>
        <v>מערכות</v>
      </c>
      <c r="S13" t="str">
        <f>"034"</f>
        <v>034</v>
      </c>
      <c r="T13" t="str">
        <f>"גנם הודיה"</f>
        <v>גנם הודיה</v>
      </c>
      <c r="U13">
        <v>0</v>
      </c>
      <c r="V13">
        <v>0</v>
      </c>
      <c r="W13" s="2">
        <v>45570</v>
      </c>
      <c r="X13">
        <v>0</v>
      </c>
      <c r="Z13" t="str">
        <f>"Y"</f>
        <v>Y</v>
      </c>
      <c r="AA13">
        <v>0</v>
      </c>
      <c r="AC13">
        <v>0</v>
      </c>
      <c r="AE13">
        <v>0</v>
      </c>
      <c r="AF13">
        <v>0</v>
      </c>
      <c r="AG13" s="2">
        <v>157991.19</v>
      </c>
      <c r="AH13">
        <v>0</v>
      </c>
      <c r="AI13">
        <v>0</v>
      </c>
      <c r="AJ13">
        <v>0</v>
      </c>
      <c r="AK13">
        <v>0</v>
      </c>
      <c r="AL13" t="str">
        <f>"$"</f>
        <v>$</v>
      </c>
    </row>
    <row r="14" spans="1:38" x14ac:dyDescent="0.3">
      <c r="A14" t="str">
        <f>"SO20000012"</f>
        <v>SO20000012</v>
      </c>
      <c r="B14" t="str">
        <f>"E000301089"</f>
        <v>E000301089</v>
      </c>
      <c r="C14" t="str">
        <f>"בוצעה"</f>
        <v>בוצעה</v>
      </c>
      <c r="E14" s="3">
        <v>43837</v>
      </c>
      <c r="F14" s="3">
        <v>44134</v>
      </c>
      <c r="G14" t="str">
        <f>"700065"</f>
        <v>700065</v>
      </c>
      <c r="H14" t="str">
        <f>"אלתא מערכות בע""מ"</f>
        <v>אלתא מערכות בע"מ</v>
      </c>
      <c r="I14" t="str">
        <f>"ערן שלו"</f>
        <v>ערן שלו</v>
      </c>
      <c r="J14" t="str">
        <f>"OP-KT00091"</f>
        <v>OP-KT00091</v>
      </c>
      <c r="K14" s="1" t="str">
        <f>"P15 EPS CABLE KIT"</f>
        <v>P15 EPS CABLE KIT</v>
      </c>
      <c r="L14">
        <v>0</v>
      </c>
      <c r="M14" t="str">
        <f>"PR19000400"</f>
        <v>PR19000400</v>
      </c>
      <c r="N14" t="str">
        <f>"פרויקט ראשי - BELL7"</f>
        <v>פרויקט ראשי - BELL7</v>
      </c>
      <c r="O14" s="2">
        <v>45570</v>
      </c>
      <c r="P14" t="str">
        <f>"$"</f>
        <v>$</v>
      </c>
      <c r="Q14" t="str">
        <f>"118"</f>
        <v>118</v>
      </c>
      <c r="R14" t="str">
        <f>"מערכות"</f>
        <v>מערכות</v>
      </c>
      <c r="S14" t="str">
        <f>"034"</f>
        <v>034</v>
      </c>
      <c r="T14" t="str">
        <f>"גנם הודיה"</f>
        <v>גנם הודיה</v>
      </c>
      <c r="U14">
        <v>0</v>
      </c>
      <c r="V14">
        <v>0</v>
      </c>
      <c r="W14" s="2">
        <v>45570</v>
      </c>
      <c r="X14">
        <v>0</v>
      </c>
      <c r="Z14" t="str">
        <f>"Y"</f>
        <v>Y</v>
      </c>
      <c r="AA14">
        <v>0</v>
      </c>
      <c r="AC14">
        <v>0</v>
      </c>
      <c r="AE14">
        <v>0</v>
      </c>
      <c r="AF14">
        <v>0</v>
      </c>
      <c r="AG14" s="2">
        <v>157991.19</v>
      </c>
      <c r="AH14">
        <v>0</v>
      </c>
      <c r="AI14">
        <v>0</v>
      </c>
      <c r="AJ14">
        <v>0</v>
      </c>
      <c r="AK14">
        <v>0</v>
      </c>
      <c r="AL14" t="str">
        <f>"$"</f>
        <v>$</v>
      </c>
    </row>
    <row r="15" spans="1:38" x14ac:dyDescent="0.3">
      <c r="A15" t="str">
        <f>"SO20000012"</f>
        <v>SO20000012</v>
      </c>
      <c r="B15" t="str">
        <f>"E000301089"</f>
        <v>E000301089</v>
      </c>
      <c r="C15" t="str">
        <f>"בוצעה"</f>
        <v>בוצעה</v>
      </c>
      <c r="E15" s="3">
        <v>43837</v>
      </c>
      <c r="F15" s="3">
        <v>44499</v>
      </c>
      <c r="G15" t="str">
        <f>"700065"</f>
        <v>700065</v>
      </c>
      <c r="H15" t="str">
        <f>"אלתא מערכות בע""מ"</f>
        <v>אלתא מערכות בע"מ</v>
      </c>
      <c r="I15" t="str">
        <f>"ערן שלו"</f>
        <v>ערן שלו</v>
      </c>
      <c r="J15" t="str">
        <f>"OP-PD02880"</f>
        <v>OP-PD02880</v>
      </c>
      <c r="K15" s="1" t="str">
        <f>"POWER DISTRIBUTION BOARD 06/07-SOCD"</f>
        <v>POWER DISTRIBUTION BOARD 06/07-SOCD</v>
      </c>
      <c r="L15">
        <v>2</v>
      </c>
      <c r="M15" t="str">
        <f>"PR20000778"</f>
        <v>PR20000778</v>
      </c>
      <c r="N15" t="str">
        <f>"ייצור 8 לוחות PDB 6/07  SOCD"</f>
        <v>ייצור 8 לוחות PDB 6/07  SOCD</v>
      </c>
      <c r="O15" s="2">
        <v>47244</v>
      </c>
      <c r="P15" t="str">
        <f>"$"</f>
        <v>$</v>
      </c>
      <c r="Q15" t="str">
        <f>"118"</f>
        <v>118</v>
      </c>
      <c r="R15" t="str">
        <f>"מערכות"</f>
        <v>מערכות</v>
      </c>
      <c r="S15" t="str">
        <f>"034"</f>
        <v>034</v>
      </c>
      <c r="T15" t="str">
        <f>"גנם הודיה"</f>
        <v>גנם הודיה</v>
      </c>
      <c r="U15">
        <v>0</v>
      </c>
      <c r="V15">
        <v>0</v>
      </c>
      <c r="W15" s="2">
        <v>47244</v>
      </c>
      <c r="X15" s="2">
        <v>94488</v>
      </c>
      <c r="Z15" t="str">
        <f>"Y"</f>
        <v>Y</v>
      </c>
      <c r="AA15">
        <v>2</v>
      </c>
      <c r="AC15">
        <v>0</v>
      </c>
      <c r="AE15">
        <v>0</v>
      </c>
      <c r="AF15">
        <v>0</v>
      </c>
      <c r="AG15" s="2">
        <v>163794.95000000001</v>
      </c>
      <c r="AH15">
        <v>0</v>
      </c>
      <c r="AI15" s="2">
        <v>327589.90000000002</v>
      </c>
      <c r="AJ15" s="2">
        <v>94488</v>
      </c>
      <c r="AK15" s="2">
        <v>94488</v>
      </c>
      <c r="AL15" t="str">
        <f>"$"</f>
        <v>$</v>
      </c>
    </row>
    <row r="16" spans="1:38" x14ac:dyDescent="0.3">
      <c r="A16" t="str">
        <f>"SO20000012"</f>
        <v>SO20000012</v>
      </c>
      <c r="B16" t="str">
        <f>"E000301089"</f>
        <v>E000301089</v>
      </c>
      <c r="C16" t="str">
        <f>"בוצעה"</f>
        <v>בוצעה</v>
      </c>
      <c r="E16" s="3">
        <v>43837</v>
      </c>
      <c r="F16" s="3">
        <v>44201</v>
      </c>
      <c r="G16" t="str">
        <f>"700065"</f>
        <v>700065</v>
      </c>
      <c r="H16" t="str">
        <f>"אלתא מערכות בע""מ"</f>
        <v>אלתא מערכות בע"מ</v>
      </c>
      <c r="I16" t="str">
        <f>"ערן שלו"</f>
        <v>ערן שלו</v>
      </c>
      <c r="J16" t="str">
        <f>"000"</f>
        <v>000</v>
      </c>
      <c r="K16" s="1" t="str">
        <f>"ברגי קיבוע לוח 09"</f>
        <v>ברגי קיבוע לוח 09</v>
      </c>
      <c r="L16">
        <v>7</v>
      </c>
      <c r="M16" t="str">
        <f>"PR19000400"</f>
        <v>PR19000400</v>
      </c>
      <c r="N16" t="str">
        <f>"פרויקט ראשי - BELL7"</f>
        <v>פרויקט ראשי - BELL7</v>
      </c>
      <c r="O16">
        <v>0.01</v>
      </c>
      <c r="P16" t="str">
        <f>"$"</f>
        <v>$</v>
      </c>
      <c r="Q16" t="str">
        <f>"118"</f>
        <v>118</v>
      </c>
      <c r="R16" t="str">
        <f>"מערכות"</f>
        <v>מערכות</v>
      </c>
      <c r="S16" t="str">
        <f>"034"</f>
        <v>034</v>
      </c>
      <c r="T16" t="str">
        <f>"גנם הודיה"</f>
        <v>גנם הודיה</v>
      </c>
      <c r="U16">
        <v>0</v>
      </c>
      <c r="V16">
        <v>0</v>
      </c>
      <c r="W16">
        <v>0.01</v>
      </c>
      <c r="X16">
        <v>7.0000000000000007E-2</v>
      </c>
      <c r="Z16" t="str">
        <f>"Y"</f>
        <v>Y</v>
      </c>
      <c r="AA16">
        <v>7</v>
      </c>
      <c r="AC16">
        <v>0</v>
      </c>
      <c r="AE16">
        <v>0</v>
      </c>
      <c r="AF16">
        <v>0</v>
      </c>
      <c r="AG16">
        <v>0.03</v>
      </c>
      <c r="AH16">
        <v>0</v>
      </c>
      <c r="AI16">
        <v>0.24</v>
      </c>
      <c r="AJ16">
        <v>7.0000000000000007E-2</v>
      </c>
      <c r="AK16">
        <v>7.0000000000000007E-2</v>
      </c>
      <c r="AL16" t="str">
        <f>"$"</f>
        <v>$</v>
      </c>
    </row>
    <row r="17" spans="1:38" x14ac:dyDescent="0.3">
      <c r="A17" t="str">
        <f>"SO20000012"</f>
        <v>SO20000012</v>
      </c>
      <c r="B17" t="str">
        <f>"E000301089"</f>
        <v>E000301089</v>
      </c>
      <c r="C17" t="str">
        <f>"בוצעה"</f>
        <v>בוצעה</v>
      </c>
      <c r="E17" s="3">
        <v>43837</v>
      </c>
      <c r="F17" s="3">
        <v>44439</v>
      </c>
      <c r="G17" t="str">
        <f>"700065"</f>
        <v>700065</v>
      </c>
      <c r="H17" t="str">
        <f>"אלתא מערכות בע""מ"</f>
        <v>אלתא מערכות בע"מ</v>
      </c>
      <c r="I17" t="str">
        <f>"ערן שלו"</f>
        <v>ערן שלו</v>
      </c>
      <c r="J17" t="str">
        <f>"OP-KT00106"</f>
        <v>OP-KT00106</v>
      </c>
      <c r="K17" s="1" t="str">
        <f>"קיט ברגים 1037C554-001 Transformer 03"</f>
        <v>קיט ברגים 1037C554-001 Transformer 03</v>
      </c>
      <c r="L17">
        <v>7</v>
      </c>
      <c r="M17" t="str">
        <f>"PR19000400"</f>
        <v>PR19000400</v>
      </c>
      <c r="N17" t="str">
        <f>"פרויקט ראשי - BELL7"</f>
        <v>פרויקט ראשי - BELL7</v>
      </c>
      <c r="O17">
        <v>0</v>
      </c>
      <c r="P17" t="str">
        <f>"$"</f>
        <v>$</v>
      </c>
      <c r="Q17" t="str">
        <f>"118"</f>
        <v>118</v>
      </c>
      <c r="R17" t="str">
        <f>"מערכות"</f>
        <v>מערכות</v>
      </c>
      <c r="S17" t="str">
        <f>"034"</f>
        <v>034</v>
      </c>
      <c r="T17" t="str">
        <f>"גנם הודיה"</f>
        <v>גנם הודיה</v>
      </c>
      <c r="U17">
        <v>0</v>
      </c>
      <c r="V17">
        <v>0</v>
      </c>
      <c r="W17">
        <v>0</v>
      </c>
      <c r="X17">
        <v>0</v>
      </c>
      <c r="Z17" t="str">
        <f>"Y"</f>
        <v>Y</v>
      </c>
      <c r="AA17">
        <v>0</v>
      </c>
      <c r="AC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tr">
        <f>"$"</f>
        <v>$</v>
      </c>
    </row>
    <row r="18" spans="1:38" x14ac:dyDescent="0.3">
      <c r="A18" t="str">
        <f>"SO20000012"</f>
        <v>SO20000012</v>
      </c>
      <c r="B18" t="str">
        <f>"E000301089"</f>
        <v>E000301089</v>
      </c>
      <c r="C18" t="str">
        <f>"בוצעה"</f>
        <v>בוצעה</v>
      </c>
      <c r="E18" s="3">
        <v>43837</v>
      </c>
      <c r="F18" s="3">
        <v>43860</v>
      </c>
      <c r="G18" t="str">
        <f>"700065"</f>
        <v>700065</v>
      </c>
      <c r="H18" t="str">
        <f>"אלתא מערכות בע""מ"</f>
        <v>אלתא מערכות בע"מ</v>
      </c>
      <c r="I18" t="str">
        <f>"ערן שלו"</f>
        <v>ערן שלו</v>
      </c>
      <c r="J18" t="str">
        <f>"ZV0280057"</f>
        <v>ZV0280057</v>
      </c>
      <c r="K18" s="1" t="str">
        <f>"DRILLING JIG FOR PDB 6/7"</f>
        <v>DRILLING JIG FOR PDB 6/7</v>
      </c>
      <c r="L18">
        <v>1</v>
      </c>
      <c r="M18" t="str">
        <f>"PR19000400"</f>
        <v>PR19000400</v>
      </c>
      <c r="N18" t="str">
        <f>"פרויקט ראשי - BELL7"</f>
        <v>פרויקט ראשי - BELL7</v>
      </c>
      <c r="O18" s="2">
        <v>2464.5</v>
      </c>
      <c r="P18" t="str">
        <f>"$"</f>
        <v>$</v>
      </c>
      <c r="Q18" t="str">
        <f>"118"</f>
        <v>118</v>
      </c>
      <c r="R18" t="str">
        <f>"מערכות"</f>
        <v>מערכות</v>
      </c>
      <c r="S18" t="str">
        <f>"034"</f>
        <v>034</v>
      </c>
      <c r="T18" t="str">
        <f>"גנם הודיה"</f>
        <v>גנם הודיה</v>
      </c>
      <c r="U18">
        <v>0</v>
      </c>
      <c r="V18">
        <v>0</v>
      </c>
      <c r="W18" s="2">
        <v>2464.5</v>
      </c>
      <c r="X18" s="2">
        <v>2464.5</v>
      </c>
      <c r="Z18" t="str">
        <f>"Y"</f>
        <v>Y</v>
      </c>
      <c r="AA18">
        <v>0</v>
      </c>
      <c r="AC18">
        <v>0</v>
      </c>
      <c r="AE18">
        <v>0</v>
      </c>
      <c r="AF18">
        <v>0</v>
      </c>
      <c r="AG18" s="2">
        <v>8544.42</v>
      </c>
      <c r="AH18">
        <v>0</v>
      </c>
      <c r="AI18" s="2">
        <v>8544.42</v>
      </c>
      <c r="AJ18" s="2">
        <v>2464.5</v>
      </c>
      <c r="AK18" s="2">
        <v>2464.5</v>
      </c>
      <c r="AL18" t="str">
        <f>"$"</f>
        <v>$</v>
      </c>
    </row>
    <row r="19" spans="1:38" x14ac:dyDescent="0.3">
      <c r="A19" t="str">
        <f>"SO20000012"</f>
        <v>SO20000012</v>
      </c>
      <c r="B19" t="str">
        <f>"E000301089"</f>
        <v>E000301089</v>
      </c>
      <c r="C19" t="str">
        <f>"בוצעה"</f>
        <v>בוצעה</v>
      </c>
      <c r="E19" s="3">
        <v>43837</v>
      </c>
      <c r="F19" s="3">
        <v>43860</v>
      </c>
      <c r="G19" t="str">
        <f>"700065"</f>
        <v>700065</v>
      </c>
      <c r="H19" t="str">
        <f>"אלתא מערכות בע""מ"</f>
        <v>אלתא מערכות בע"מ</v>
      </c>
      <c r="I19" t="str">
        <f>"ערן שלו"</f>
        <v>ערן שלו</v>
      </c>
      <c r="J19" t="str">
        <f>"ZV0280056"</f>
        <v>ZV0280056</v>
      </c>
      <c r="K19" s="1" t="str">
        <f>"DRILLING JIG FOR PDB 9"</f>
        <v>DRILLING JIG FOR PDB 9</v>
      </c>
      <c r="L19">
        <v>1</v>
      </c>
      <c r="M19" t="str">
        <f>"PR19000400"</f>
        <v>PR19000400</v>
      </c>
      <c r="N19" t="str">
        <f>"פרויקט ראשי - BELL7"</f>
        <v>פרויקט ראשי - BELL7</v>
      </c>
      <c r="O19" s="2">
        <v>2464.5</v>
      </c>
      <c r="P19" t="str">
        <f>"$"</f>
        <v>$</v>
      </c>
      <c r="Q19" t="str">
        <f>"118"</f>
        <v>118</v>
      </c>
      <c r="R19" t="str">
        <f>"מערכות"</f>
        <v>מערכות</v>
      </c>
      <c r="S19" t="str">
        <f>"034"</f>
        <v>034</v>
      </c>
      <c r="T19" t="str">
        <f>"גנם הודיה"</f>
        <v>גנם הודיה</v>
      </c>
      <c r="U19">
        <v>0</v>
      </c>
      <c r="V19">
        <v>0</v>
      </c>
      <c r="W19" s="2">
        <v>2464.5</v>
      </c>
      <c r="X19" s="2">
        <v>2464.5</v>
      </c>
      <c r="Z19" t="str">
        <f>"Y"</f>
        <v>Y</v>
      </c>
      <c r="AA19">
        <v>0</v>
      </c>
      <c r="AC19">
        <v>0</v>
      </c>
      <c r="AE19">
        <v>0</v>
      </c>
      <c r="AF19">
        <v>0</v>
      </c>
      <c r="AG19" s="2">
        <v>8544.42</v>
      </c>
      <c r="AH19">
        <v>0</v>
      </c>
      <c r="AI19" s="2">
        <v>8544.42</v>
      </c>
      <c r="AJ19" s="2">
        <v>2464.5</v>
      </c>
      <c r="AK19" s="2">
        <v>2464.5</v>
      </c>
      <c r="AL19" t="str">
        <f>"$"</f>
        <v>$</v>
      </c>
    </row>
    <row r="20" spans="1:38" x14ac:dyDescent="0.3">
      <c r="A20" t="str">
        <f>"SO20000012"</f>
        <v>SO20000012</v>
      </c>
      <c r="B20" t="str">
        <f>"E000301089"</f>
        <v>E000301089</v>
      </c>
      <c r="C20" t="str">
        <f>"בוצעה"</f>
        <v>בוצעה</v>
      </c>
      <c r="E20" s="3">
        <v>43837</v>
      </c>
      <c r="F20" s="3">
        <v>44438</v>
      </c>
      <c r="G20" t="str">
        <f>"700065"</f>
        <v>700065</v>
      </c>
      <c r="H20" t="str">
        <f>"אלתא מערכות בע""מ"</f>
        <v>אלתא מערכות בע"מ</v>
      </c>
      <c r="I20" t="str">
        <f>"ערן שלו"</f>
        <v>ערן שלו</v>
      </c>
      <c r="J20" t="str">
        <f>"ZV0280057"</f>
        <v>ZV0280057</v>
      </c>
      <c r="K20" s="1" t="str">
        <f>"DRILLING JIG FOR PDB 6/7"</f>
        <v>DRILLING JIG FOR PDB 6/7</v>
      </c>
      <c r="L20">
        <v>1</v>
      </c>
      <c r="M20" t="str">
        <f>"PR19000400"</f>
        <v>PR19000400</v>
      </c>
      <c r="N20" t="str">
        <f>"פרויקט ראשי - BELL7"</f>
        <v>פרויקט ראשי - BELL7</v>
      </c>
      <c r="O20" s="2">
        <v>2464.5</v>
      </c>
      <c r="P20" t="str">
        <f>"$"</f>
        <v>$</v>
      </c>
      <c r="Q20" t="str">
        <f>"118"</f>
        <v>118</v>
      </c>
      <c r="R20" t="str">
        <f>"מערכות"</f>
        <v>מערכות</v>
      </c>
      <c r="S20" t="str">
        <f>"034"</f>
        <v>034</v>
      </c>
      <c r="T20" t="str">
        <f>"גנם הודיה"</f>
        <v>גנם הודיה</v>
      </c>
      <c r="U20">
        <v>0</v>
      </c>
      <c r="V20">
        <v>0</v>
      </c>
      <c r="W20" s="2">
        <v>2464.5</v>
      </c>
      <c r="X20" s="2">
        <v>2464.5</v>
      </c>
      <c r="Z20" t="str">
        <f>"Y"</f>
        <v>Y</v>
      </c>
      <c r="AA20">
        <v>0</v>
      </c>
      <c r="AC20">
        <v>0</v>
      </c>
      <c r="AE20">
        <v>0</v>
      </c>
      <c r="AF20">
        <v>0</v>
      </c>
      <c r="AG20" s="2">
        <v>8544.42</v>
      </c>
      <c r="AH20">
        <v>0</v>
      </c>
      <c r="AI20" s="2">
        <v>8544.42</v>
      </c>
      <c r="AJ20" s="2">
        <v>2464.5</v>
      </c>
      <c r="AK20" s="2">
        <v>2464.5</v>
      </c>
      <c r="AL20" t="str">
        <f>"$"</f>
        <v>$</v>
      </c>
    </row>
    <row r="21" spans="1:38" x14ac:dyDescent="0.3">
      <c r="A21" t="str">
        <f>"SO20000012"</f>
        <v>SO20000012</v>
      </c>
      <c r="B21" t="str">
        <f>"E000301089"</f>
        <v>E000301089</v>
      </c>
      <c r="C21" t="str">
        <f>"בוצעה"</f>
        <v>בוצעה</v>
      </c>
      <c r="E21" s="3">
        <v>43837</v>
      </c>
      <c r="F21" s="3">
        <v>44438</v>
      </c>
      <c r="G21" t="str">
        <f>"700065"</f>
        <v>700065</v>
      </c>
      <c r="H21" t="str">
        <f>"אלתא מערכות בע""מ"</f>
        <v>אלתא מערכות בע"מ</v>
      </c>
      <c r="I21" t="str">
        <f>"ערן שלו"</f>
        <v>ערן שלו</v>
      </c>
      <c r="J21" t="str">
        <f>"ZV0280056"</f>
        <v>ZV0280056</v>
      </c>
      <c r="K21" s="1" t="str">
        <f>"DRILLING JIG FOR PDB 9"</f>
        <v>DRILLING JIG FOR PDB 9</v>
      </c>
      <c r="L21">
        <v>1</v>
      </c>
      <c r="M21" t="str">
        <f>"PR19000400"</f>
        <v>PR19000400</v>
      </c>
      <c r="N21" t="str">
        <f>"פרויקט ראשי - BELL7"</f>
        <v>פרויקט ראשי - BELL7</v>
      </c>
      <c r="O21" s="2">
        <v>2464.5</v>
      </c>
      <c r="P21" t="str">
        <f>"$"</f>
        <v>$</v>
      </c>
      <c r="Q21" t="str">
        <f>"118"</f>
        <v>118</v>
      </c>
      <c r="R21" t="str">
        <f>"מערכות"</f>
        <v>מערכות</v>
      </c>
      <c r="S21" t="str">
        <f>"034"</f>
        <v>034</v>
      </c>
      <c r="T21" t="str">
        <f>"גנם הודיה"</f>
        <v>גנם הודיה</v>
      </c>
      <c r="U21">
        <v>0</v>
      </c>
      <c r="V21">
        <v>0</v>
      </c>
      <c r="W21" s="2">
        <v>2464.5</v>
      </c>
      <c r="X21" s="2">
        <v>2464.5</v>
      </c>
      <c r="Z21" t="str">
        <f>"Y"</f>
        <v>Y</v>
      </c>
      <c r="AA21">
        <v>0</v>
      </c>
      <c r="AC21">
        <v>0</v>
      </c>
      <c r="AE21">
        <v>0</v>
      </c>
      <c r="AF21">
        <v>0</v>
      </c>
      <c r="AG21" s="2">
        <v>8544.42</v>
      </c>
      <c r="AH21">
        <v>0</v>
      </c>
      <c r="AI21" s="2">
        <v>8544.42</v>
      </c>
      <c r="AJ21" s="2">
        <v>2464.5</v>
      </c>
      <c r="AK21" s="2">
        <v>2464.5</v>
      </c>
      <c r="AL21" t="str">
        <f>"$"</f>
        <v>$</v>
      </c>
    </row>
    <row r="22" spans="1:38" x14ac:dyDescent="0.3">
      <c r="A22" t="str">
        <f>"SO20000012"</f>
        <v>SO20000012</v>
      </c>
      <c r="B22" t="str">
        <f>"E000301089"</f>
        <v>E000301089</v>
      </c>
      <c r="C22" t="str">
        <f>"בוצעה"</f>
        <v>בוצעה</v>
      </c>
      <c r="E22" s="3">
        <v>43837</v>
      </c>
      <c r="F22" s="3">
        <v>43951</v>
      </c>
      <c r="G22" t="str">
        <f>"700065"</f>
        <v>700065</v>
      </c>
      <c r="H22" t="str">
        <f>"אלתא מערכות בע""מ"</f>
        <v>אלתא מערכות בע"מ</v>
      </c>
      <c r="I22" t="str">
        <f>"ערן שלו"</f>
        <v>ערן שלו</v>
      </c>
      <c r="J22" t="str">
        <f>"ZV0280058"</f>
        <v>ZV0280058</v>
      </c>
      <c r="K22" s="1" t="str">
        <f>"DRILLING JIG FOR TRANSFORMER 70KVA"</f>
        <v>DRILLING JIG FOR TRANSFORMER 70KVA</v>
      </c>
      <c r="L22">
        <v>2</v>
      </c>
      <c r="M22" t="str">
        <f>"PR19000400"</f>
        <v>PR19000400</v>
      </c>
      <c r="N22" t="str">
        <f>"פרויקט ראשי - BELL7"</f>
        <v>פרויקט ראשי - BELL7</v>
      </c>
      <c r="O22" s="2">
        <v>2464.5</v>
      </c>
      <c r="P22" t="str">
        <f>"$"</f>
        <v>$</v>
      </c>
      <c r="Q22" t="str">
        <f>"118"</f>
        <v>118</v>
      </c>
      <c r="R22" t="str">
        <f>"מערכות"</f>
        <v>מערכות</v>
      </c>
      <c r="S22" t="str">
        <f>"034"</f>
        <v>034</v>
      </c>
      <c r="T22" t="str">
        <f>"גנם הודיה"</f>
        <v>גנם הודיה</v>
      </c>
      <c r="U22">
        <v>0</v>
      </c>
      <c r="V22">
        <v>0</v>
      </c>
      <c r="W22" s="2">
        <v>2464.5</v>
      </c>
      <c r="X22" s="2">
        <v>4929</v>
      </c>
      <c r="Z22" t="str">
        <f>"Y"</f>
        <v>Y</v>
      </c>
      <c r="AA22">
        <v>0</v>
      </c>
      <c r="AC22">
        <v>0</v>
      </c>
      <c r="AE22">
        <v>0</v>
      </c>
      <c r="AF22">
        <v>0</v>
      </c>
      <c r="AG22" s="2">
        <v>8544.42</v>
      </c>
      <c r="AH22">
        <v>0</v>
      </c>
      <c r="AI22" s="2">
        <v>17088.84</v>
      </c>
      <c r="AJ22" s="2">
        <v>4929</v>
      </c>
      <c r="AK22" s="2">
        <v>4929</v>
      </c>
      <c r="AL22" t="str">
        <f>"$"</f>
        <v>$</v>
      </c>
    </row>
    <row r="23" spans="1:38" x14ac:dyDescent="0.3">
      <c r="A23" t="str">
        <f>"SO20000012"</f>
        <v>SO20000012</v>
      </c>
      <c r="B23" t="str">
        <f>"E000301089"</f>
        <v>E000301089</v>
      </c>
      <c r="C23" t="str">
        <f>"בוצעה"</f>
        <v>בוצעה</v>
      </c>
      <c r="E23" s="3">
        <v>43837</v>
      </c>
      <c r="F23" s="3">
        <v>43951</v>
      </c>
      <c r="G23" t="str">
        <f>"700065"</f>
        <v>700065</v>
      </c>
      <c r="H23" t="str">
        <f>"אלתא מערכות בע""מ"</f>
        <v>אלתא מערכות בע"מ</v>
      </c>
      <c r="I23" t="str">
        <f>"ערן שלו"</f>
        <v>ערן שלו</v>
      </c>
      <c r="J23" t="str">
        <f>"ZV0280059"</f>
        <v>ZV0280059</v>
      </c>
      <c r="K23" s="1" t="str">
        <f>"DRILLING JIG FOR TRANSFORMER 200KVA"</f>
        <v>DRILLING JIG FOR TRANSFORMER 200KVA</v>
      </c>
      <c r="L23">
        <v>2</v>
      </c>
      <c r="M23" t="str">
        <f>"PR19000400"</f>
        <v>PR19000400</v>
      </c>
      <c r="N23" t="str">
        <f>"פרויקט ראשי - BELL7"</f>
        <v>פרויקט ראשי - BELL7</v>
      </c>
      <c r="O23" s="2">
        <v>2464.5</v>
      </c>
      <c r="P23" t="str">
        <f>"$"</f>
        <v>$</v>
      </c>
      <c r="Q23" t="str">
        <f>"118"</f>
        <v>118</v>
      </c>
      <c r="R23" t="str">
        <f>"מערכות"</f>
        <v>מערכות</v>
      </c>
      <c r="S23" t="str">
        <f>"034"</f>
        <v>034</v>
      </c>
      <c r="T23" t="str">
        <f>"גנם הודיה"</f>
        <v>גנם הודיה</v>
      </c>
      <c r="U23">
        <v>0</v>
      </c>
      <c r="V23">
        <v>0</v>
      </c>
      <c r="W23" s="2">
        <v>2464.5</v>
      </c>
      <c r="X23" s="2">
        <v>4929</v>
      </c>
      <c r="Z23" t="str">
        <f>"Y"</f>
        <v>Y</v>
      </c>
      <c r="AA23">
        <v>0</v>
      </c>
      <c r="AC23">
        <v>0</v>
      </c>
      <c r="AE23">
        <v>0</v>
      </c>
      <c r="AF23">
        <v>0</v>
      </c>
      <c r="AG23" s="2">
        <v>8544.42</v>
      </c>
      <c r="AH23">
        <v>0</v>
      </c>
      <c r="AI23" s="2">
        <v>17088.84</v>
      </c>
      <c r="AJ23" s="2">
        <v>4929</v>
      </c>
      <c r="AK23" s="2">
        <v>4929</v>
      </c>
      <c r="AL23" t="str">
        <f>"$"</f>
        <v>$</v>
      </c>
    </row>
    <row r="24" spans="1:38" x14ac:dyDescent="0.3">
      <c r="A24" t="str">
        <f>"SO20000012"</f>
        <v>SO20000012</v>
      </c>
      <c r="B24" t="str">
        <f>"E000301089"</f>
        <v>E000301089</v>
      </c>
      <c r="C24" t="str">
        <f>"בוצעה"</f>
        <v>בוצעה</v>
      </c>
      <c r="E24" s="3">
        <v>43837</v>
      </c>
      <c r="F24" s="3">
        <v>44206</v>
      </c>
      <c r="G24" t="str">
        <f>"700065"</f>
        <v>700065</v>
      </c>
      <c r="H24" t="str">
        <f>"אלתא מערכות בע""מ"</f>
        <v>אלתא מערכות בע"מ</v>
      </c>
      <c r="I24" t="str">
        <f>"ערן שלו"</f>
        <v>ערן שלו</v>
      </c>
      <c r="J24" t="str">
        <f>"OP-KT00109"</f>
        <v>OP-KT00109</v>
      </c>
      <c r="K24" s="1" t="str">
        <f>"BEL07 P15 EPS CABLE KIT"</f>
        <v>BEL07 P15 EPS CABLE KIT</v>
      </c>
      <c r="L24">
        <v>3</v>
      </c>
      <c r="M24" t="str">
        <f>"PR19000400"</f>
        <v>PR19000400</v>
      </c>
      <c r="N24" t="str">
        <f>"פרויקט ראשי - BELL7"</f>
        <v>פרויקט ראשי - BELL7</v>
      </c>
      <c r="O24" s="2">
        <v>28749</v>
      </c>
      <c r="P24" t="str">
        <f>"$"</f>
        <v>$</v>
      </c>
      <c r="Q24" t="str">
        <f>"118"</f>
        <v>118</v>
      </c>
      <c r="R24" t="str">
        <f>"מערכות"</f>
        <v>מערכות</v>
      </c>
      <c r="S24" t="str">
        <f>"034"</f>
        <v>034</v>
      </c>
      <c r="T24" t="str">
        <f>"גנם הודיה"</f>
        <v>גנם הודיה</v>
      </c>
      <c r="U24">
        <v>0</v>
      </c>
      <c r="V24">
        <v>0</v>
      </c>
      <c r="W24" s="2">
        <v>28749</v>
      </c>
      <c r="X24" s="2">
        <v>86247</v>
      </c>
      <c r="Z24" t="str">
        <f>"Y"</f>
        <v>Y</v>
      </c>
      <c r="AA24">
        <v>0</v>
      </c>
      <c r="AC24">
        <v>0</v>
      </c>
      <c r="AE24">
        <v>0</v>
      </c>
      <c r="AF24">
        <v>0</v>
      </c>
      <c r="AG24" s="2">
        <v>99672.78</v>
      </c>
      <c r="AH24">
        <v>0</v>
      </c>
      <c r="AI24" s="2">
        <v>299018.34999999998</v>
      </c>
      <c r="AJ24" s="2">
        <v>86247</v>
      </c>
      <c r="AK24" s="2">
        <v>86247</v>
      </c>
      <c r="AL24" t="str">
        <f>"$"</f>
        <v>$</v>
      </c>
    </row>
    <row r="25" spans="1:38" x14ac:dyDescent="0.3">
      <c r="A25" t="str">
        <f>"SO20000012"</f>
        <v>SO20000012</v>
      </c>
      <c r="B25" t="str">
        <f>"E000301089"</f>
        <v>E000301089</v>
      </c>
      <c r="C25" t="str">
        <f>"בוצעה"</f>
        <v>בוצעה</v>
      </c>
      <c r="E25" s="3">
        <v>43837</v>
      </c>
      <c r="F25" s="3">
        <v>44146</v>
      </c>
      <c r="G25" t="str">
        <f>"700065"</f>
        <v>700065</v>
      </c>
      <c r="H25" t="str">
        <f>"אלתא מערכות בע""מ"</f>
        <v>אלתא מערכות בע"מ</v>
      </c>
      <c r="I25" t="str">
        <f>"ערן שלו"</f>
        <v>ערן שלו</v>
      </c>
      <c r="J25" t="str">
        <f>"OP-KT00109"</f>
        <v>OP-KT00109</v>
      </c>
      <c r="K25" s="1" t="str">
        <f>"BEL07 P15 EPS CABLE KIT"</f>
        <v>BEL07 P15 EPS CABLE KIT</v>
      </c>
      <c r="L25">
        <v>1</v>
      </c>
      <c r="M25" t="str">
        <f>"PR19000400"</f>
        <v>PR19000400</v>
      </c>
      <c r="N25" t="str">
        <f>"פרויקט ראשי - BELL7"</f>
        <v>פרויקט ראשי - BELL7</v>
      </c>
      <c r="O25" s="2">
        <v>28749</v>
      </c>
      <c r="P25" t="str">
        <f>"$"</f>
        <v>$</v>
      </c>
      <c r="Q25" t="str">
        <f>"118"</f>
        <v>118</v>
      </c>
      <c r="R25" t="str">
        <f>"מערכות"</f>
        <v>מערכות</v>
      </c>
      <c r="S25" t="str">
        <f>"034"</f>
        <v>034</v>
      </c>
      <c r="T25" t="str">
        <f>"גנם הודיה"</f>
        <v>גנם הודיה</v>
      </c>
      <c r="U25">
        <v>0</v>
      </c>
      <c r="V25">
        <v>0</v>
      </c>
      <c r="W25" s="2">
        <v>28749</v>
      </c>
      <c r="X25" s="2">
        <v>28749</v>
      </c>
      <c r="Z25" t="str">
        <f>"Y"</f>
        <v>Y</v>
      </c>
      <c r="AA25">
        <v>0</v>
      </c>
      <c r="AC25">
        <v>0</v>
      </c>
      <c r="AE25">
        <v>0</v>
      </c>
      <c r="AF25">
        <v>0</v>
      </c>
      <c r="AG25" s="2">
        <v>99672.78</v>
      </c>
      <c r="AH25">
        <v>0</v>
      </c>
      <c r="AI25" s="2">
        <v>99672.78</v>
      </c>
      <c r="AJ25" s="2">
        <v>28749</v>
      </c>
      <c r="AK25" s="2">
        <v>28749</v>
      </c>
      <c r="AL25" t="str">
        <f>"$"</f>
        <v>$</v>
      </c>
    </row>
    <row r="26" spans="1:38" x14ac:dyDescent="0.3">
      <c r="A26" t="str">
        <f>"SO20000012"</f>
        <v>SO20000012</v>
      </c>
      <c r="B26" t="str">
        <f>"E000301089"</f>
        <v>E000301089</v>
      </c>
      <c r="C26" t="str">
        <f>"בוצעה"</f>
        <v>בוצעה</v>
      </c>
      <c r="E26" s="3">
        <v>43837</v>
      </c>
      <c r="F26" s="3">
        <v>44255</v>
      </c>
      <c r="G26" t="str">
        <f>"700065"</f>
        <v>700065</v>
      </c>
      <c r="H26" t="str">
        <f>"אלתא מערכות בע""מ"</f>
        <v>אלתא מערכות בע"מ</v>
      </c>
      <c r="I26" t="str">
        <f>"ערן שלו"</f>
        <v>ערן שלו</v>
      </c>
      <c r="J26" t="str">
        <f>"OP-KT00109"</f>
        <v>OP-KT00109</v>
      </c>
      <c r="K26" s="1" t="str">
        <f>"BEL07 P15 EPS CABLE KIT"</f>
        <v>BEL07 P15 EPS CABLE KIT</v>
      </c>
      <c r="L26">
        <v>1</v>
      </c>
      <c r="M26" t="str">
        <f>"PR19000400"</f>
        <v>PR19000400</v>
      </c>
      <c r="N26" t="str">
        <f>"פרויקט ראשי - BELL7"</f>
        <v>פרויקט ראשי - BELL7</v>
      </c>
      <c r="O26" s="2">
        <v>28749</v>
      </c>
      <c r="P26" t="str">
        <f>"$"</f>
        <v>$</v>
      </c>
      <c r="Q26" t="str">
        <f>"118"</f>
        <v>118</v>
      </c>
      <c r="R26" t="str">
        <f>"מערכות"</f>
        <v>מערכות</v>
      </c>
      <c r="S26" t="str">
        <f>"034"</f>
        <v>034</v>
      </c>
      <c r="T26" t="str">
        <f>"גנם הודיה"</f>
        <v>גנם הודיה</v>
      </c>
      <c r="U26">
        <v>0</v>
      </c>
      <c r="V26">
        <v>0</v>
      </c>
      <c r="W26" s="2">
        <v>28749</v>
      </c>
      <c r="X26" s="2">
        <v>28749</v>
      </c>
      <c r="Z26" t="str">
        <f>"Y"</f>
        <v>Y</v>
      </c>
      <c r="AA26">
        <v>0</v>
      </c>
      <c r="AC26">
        <v>0</v>
      </c>
      <c r="AE26">
        <v>0</v>
      </c>
      <c r="AF26">
        <v>0</v>
      </c>
      <c r="AG26" s="2">
        <v>99672.78</v>
      </c>
      <c r="AH26">
        <v>0</v>
      </c>
      <c r="AI26" s="2">
        <v>99672.78</v>
      </c>
      <c r="AJ26" s="2">
        <v>28749</v>
      </c>
      <c r="AK26" s="2">
        <v>28749</v>
      </c>
      <c r="AL26" t="str">
        <f>"$"</f>
        <v>$</v>
      </c>
    </row>
    <row r="27" spans="1:38" x14ac:dyDescent="0.3">
      <c r="A27" t="str">
        <f>"SO20000012"</f>
        <v>SO20000012</v>
      </c>
      <c r="B27" t="str">
        <f>"E000301089"</f>
        <v>E000301089</v>
      </c>
      <c r="C27" t="str">
        <f>"בוצעה"</f>
        <v>בוצעה</v>
      </c>
      <c r="E27" s="3">
        <v>43837</v>
      </c>
      <c r="F27" s="3">
        <v>44201</v>
      </c>
      <c r="G27" t="str">
        <f>"700065"</f>
        <v>700065</v>
      </c>
      <c r="H27" t="str">
        <f>"אלתא מערכות בע""מ"</f>
        <v>אלתא מערכות בע"מ</v>
      </c>
      <c r="I27" t="str">
        <f>"ערן שלו"</f>
        <v>ערן שלו</v>
      </c>
      <c r="J27" t="str">
        <f>"OP-KT00103"</f>
        <v>OP-KT00103</v>
      </c>
      <c r="K27" s="1" t="str">
        <f>"קיט ברגים 1037C514-001 PDB9"</f>
        <v>קיט ברגים 1037C514-001 PDB9</v>
      </c>
      <c r="L27">
        <v>7</v>
      </c>
      <c r="O27">
        <v>0.1</v>
      </c>
      <c r="P27" t="str">
        <f>"$"</f>
        <v>$</v>
      </c>
      <c r="Q27" t="str">
        <f>"118"</f>
        <v>118</v>
      </c>
      <c r="R27" t="str">
        <f>"מערכות"</f>
        <v>מערכות</v>
      </c>
      <c r="S27" t="str">
        <f>"034"</f>
        <v>034</v>
      </c>
      <c r="T27" t="str">
        <f>"גנם הודיה"</f>
        <v>גנם הודיה</v>
      </c>
      <c r="U27">
        <v>0</v>
      </c>
      <c r="V27">
        <v>0</v>
      </c>
      <c r="W27">
        <v>0.1</v>
      </c>
      <c r="X27">
        <v>0.7</v>
      </c>
      <c r="Z27" t="str">
        <f>"Y"</f>
        <v>Y</v>
      </c>
      <c r="AA27">
        <v>0</v>
      </c>
      <c r="AC27">
        <v>0</v>
      </c>
      <c r="AE27">
        <v>0</v>
      </c>
      <c r="AF27">
        <v>0</v>
      </c>
      <c r="AG27">
        <v>0.35</v>
      </c>
      <c r="AH27">
        <v>0</v>
      </c>
      <c r="AI27">
        <v>2.4300000000000002</v>
      </c>
      <c r="AJ27">
        <v>0.7</v>
      </c>
      <c r="AK27">
        <v>0.7</v>
      </c>
      <c r="AL27" t="str">
        <f>"$"</f>
        <v>$</v>
      </c>
    </row>
    <row r="28" spans="1:38" x14ac:dyDescent="0.3">
      <c r="A28" t="str">
        <f>"SO20000012"</f>
        <v>SO20000012</v>
      </c>
      <c r="B28" t="str">
        <f>"E000301089"</f>
        <v>E000301089</v>
      </c>
      <c r="C28" t="str">
        <f>"בוצעה"</f>
        <v>בוצעה</v>
      </c>
      <c r="E28" s="3">
        <v>43837</v>
      </c>
      <c r="F28" s="3">
        <v>45048</v>
      </c>
      <c r="G28" t="str">
        <f>"700065"</f>
        <v>700065</v>
      </c>
      <c r="H28" t="str">
        <f>"אלתא מערכות בע""מ"</f>
        <v>אלתא מערכות בע"מ</v>
      </c>
      <c r="I28" t="str">
        <f>"ערן שלו"</f>
        <v>ערן שלו</v>
      </c>
      <c r="J28" t="str">
        <f>"OP-KT00105"</f>
        <v>OP-KT00105</v>
      </c>
      <c r="K28" s="1" t="str">
        <f>"קיט ברגים 1037C544-001 Transformer 01/02"</f>
        <v>קיט ברגים 1037C544-001 Transformer 01/02</v>
      </c>
      <c r="L28">
        <v>7</v>
      </c>
      <c r="M28" t="str">
        <f>"PR19000400"</f>
        <v>PR19000400</v>
      </c>
      <c r="N28" t="str">
        <f>"פרויקט ראשי - BELL7"</f>
        <v>פרויקט ראשי - BELL7</v>
      </c>
      <c r="O28">
        <v>0.1</v>
      </c>
      <c r="P28" t="str">
        <f>"$"</f>
        <v>$</v>
      </c>
      <c r="Q28" t="str">
        <f>"118"</f>
        <v>118</v>
      </c>
      <c r="R28" t="str">
        <f>"מערכות"</f>
        <v>מערכות</v>
      </c>
      <c r="S28" t="str">
        <f>"034"</f>
        <v>034</v>
      </c>
      <c r="T28" t="str">
        <f>"גנם הודיה"</f>
        <v>גנם הודיה</v>
      </c>
      <c r="U28">
        <v>0</v>
      </c>
      <c r="V28">
        <v>0</v>
      </c>
      <c r="W28">
        <v>0.1</v>
      </c>
      <c r="X28">
        <v>0.7</v>
      </c>
      <c r="Z28" t="str">
        <f>"Y"</f>
        <v>Y</v>
      </c>
      <c r="AA28">
        <v>-2</v>
      </c>
      <c r="AC28">
        <v>0</v>
      </c>
      <c r="AE28">
        <v>0</v>
      </c>
      <c r="AF28">
        <v>0</v>
      </c>
      <c r="AG28">
        <v>0.35</v>
      </c>
      <c r="AH28">
        <v>0</v>
      </c>
      <c r="AI28">
        <v>2.4300000000000002</v>
      </c>
      <c r="AJ28">
        <v>0.7</v>
      </c>
      <c r="AK28">
        <v>0.7</v>
      </c>
      <c r="AL28" t="str">
        <f>"$"</f>
        <v>$</v>
      </c>
    </row>
    <row r="29" spans="1:38" x14ac:dyDescent="0.3">
      <c r="A29" t="str">
        <f>"SO20000012"</f>
        <v>SO20000012</v>
      </c>
      <c r="B29" t="str">
        <f>"E000301089"</f>
        <v>E000301089</v>
      </c>
      <c r="C29" t="str">
        <f>"בוצעה"</f>
        <v>בוצעה</v>
      </c>
      <c r="E29" s="3">
        <v>43837</v>
      </c>
      <c r="F29" s="3">
        <v>44307</v>
      </c>
      <c r="G29" t="str">
        <f>"700065"</f>
        <v>700065</v>
      </c>
      <c r="H29" t="str">
        <f>"אלתא מערכות בע""מ"</f>
        <v>אלתא מערכות בע"מ</v>
      </c>
      <c r="I29" t="str">
        <f>"ערן שלו"</f>
        <v>ערן שלו</v>
      </c>
      <c r="J29" t="str">
        <f>"OP-KT00096"</f>
        <v>OP-KT00096</v>
      </c>
      <c r="K29" s="1" t="str">
        <f>"PDB SPARES O LEVEL"</f>
        <v>PDB SPARES O LEVEL</v>
      </c>
      <c r="L29">
        <v>7</v>
      </c>
      <c r="O29">
        <v>0</v>
      </c>
      <c r="P29" t="str">
        <f>"$"</f>
        <v>$</v>
      </c>
      <c r="Q29" t="str">
        <f>"118"</f>
        <v>118</v>
      </c>
      <c r="R29" t="str">
        <f>"מערכות"</f>
        <v>מערכות</v>
      </c>
      <c r="S29" t="str">
        <f>"034"</f>
        <v>034</v>
      </c>
      <c r="T29" t="str">
        <f>"גנם הודיה"</f>
        <v>גנם הודיה</v>
      </c>
      <c r="U29">
        <v>0</v>
      </c>
      <c r="V29">
        <v>0</v>
      </c>
      <c r="W29">
        <v>0</v>
      </c>
      <c r="X29">
        <v>0</v>
      </c>
      <c r="Z29" t="str">
        <f>"Y"</f>
        <v>Y</v>
      </c>
      <c r="AA29">
        <v>0</v>
      </c>
      <c r="AC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tr">
        <f>"$"</f>
        <v>$</v>
      </c>
    </row>
    <row r="30" spans="1:38" x14ac:dyDescent="0.3">
      <c r="A30" t="str">
        <f>"SO20000012"</f>
        <v>SO20000012</v>
      </c>
      <c r="B30" t="str">
        <f>"E000301089"</f>
        <v>E000301089</v>
      </c>
      <c r="C30" t="str">
        <f>"בוצעה"</f>
        <v>בוצעה</v>
      </c>
      <c r="E30" s="3">
        <v>43837</v>
      </c>
      <c r="F30" s="3">
        <v>44484</v>
      </c>
      <c r="G30" t="str">
        <f>"700065"</f>
        <v>700065</v>
      </c>
      <c r="H30" t="str">
        <f>"אלתא מערכות בע""מ"</f>
        <v>אלתא מערכות בע"מ</v>
      </c>
      <c r="I30" t="str">
        <f>"ערן שלו"</f>
        <v>ערן שלו</v>
      </c>
      <c r="J30" t="str">
        <f>"OP-PD02882"</f>
        <v>OP-PD02882</v>
      </c>
      <c r="K30" s="1" t="str">
        <f>"ISOLATION TRANSFORMER UNIT 200KVA"</f>
        <v>ISOLATION TRANSFORMER UNIT 200KVA</v>
      </c>
      <c r="L30">
        <v>2</v>
      </c>
      <c r="M30" t="str">
        <f>"PR20000776"</f>
        <v>PR20000776</v>
      </c>
      <c r="N30" t="str">
        <f>"14 שנאים ITU 200KVA"</f>
        <v>14 שנאים ITU 200KVA</v>
      </c>
      <c r="O30" s="2">
        <v>35340</v>
      </c>
      <c r="P30" t="str">
        <f>"$"</f>
        <v>$</v>
      </c>
      <c r="Q30" t="str">
        <f>"118"</f>
        <v>118</v>
      </c>
      <c r="R30" t="str">
        <f>"מערכות"</f>
        <v>מערכות</v>
      </c>
      <c r="S30" t="str">
        <f>"034"</f>
        <v>034</v>
      </c>
      <c r="T30" t="str">
        <f>"גנם הודיה"</f>
        <v>גנם הודיה</v>
      </c>
      <c r="U30">
        <v>0</v>
      </c>
      <c r="V30">
        <v>0</v>
      </c>
      <c r="W30" s="2">
        <v>35340</v>
      </c>
      <c r="X30" s="2">
        <v>70680</v>
      </c>
      <c r="Z30" t="str">
        <f>"Y"</f>
        <v>Y</v>
      </c>
      <c r="AA30">
        <v>0</v>
      </c>
      <c r="AC30">
        <v>0</v>
      </c>
      <c r="AE30">
        <v>0</v>
      </c>
      <c r="AF30">
        <v>0</v>
      </c>
      <c r="AG30" s="2">
        <v>122523.78</v>
      </c>
      <c r="AH30">
        <v>0</v>
      </c>
      <c r="AI30" s="2">
        <v>245047.56</v>
      </c>
      <c r="AJ30" s="2">
        <v>70680</v>
      </c>
      <c r="AK30" s="2">
        <v>70680</v>
      </c>
      <c r="AL30" t="str">
        <f>"$"</f>
        <v>$</v>
      </c>
    </row>
    <row r="31" spans="1:38" x14ac:dyDescent="0.3">
      <c r="A31" t="str">
        <f>"SO20000012"</f>
        <v>SO20000012</v>
      </c>
      <c r="B31" t="str">
        <f>"E000301089"</f>
        <v>E000301089</v>
      </c>
      <c r="C31" t="str">
        <f>"בוצעה"</f>
        <v>בוצעה</v>
      </c>
      <c r="E31" s="3">
        <v>43837</v>
      </c>
      <c r="F31" s="3">
        <v>44438</v>
      </c>
      <c r="G31" t="str">
        <f>"700065"</f>
        <v>700065</v>
      </c>
      <c r="H31" t="str">
        <f>"אלתא מערכות בע""מ"</f>
        <v>אלתא מערכות בע"מ</v>
      </c>
      <c r="I31" t="str">
        <f>"ערן שלו"</f>
        <v>ערן שלו</v>
      </c>
      <c r="J31" t="str">
        <f>"OP-PD02883"</f>
        <v>OP-PD02883</v>
      </c>
      <c r="K31" s="1" t="str">
        <f>"ISOLATION TRANSFORMER UNIT 70KVA"</f>
        <v>ISOLATION TRANSFORMER UNIT 70KVA</v>
      </c>
      <c r="L31">
        <v>1</v>
      </c>
      <c r="M31" t="str">
        <f>"PR20000775"</f>
        <v>PR20000775</v>
      </c>
      <c r="N31" t="str">
        <f>"7 שנאים ITU 70 KVA"</f>
        <v>7 שנאים ITU 70 KVA</v>
      </c>
      <c r="O31" s="2">
        <v>17670</v>
      </c>
      <c r="P31" t="str">
        <f>"$"</f>
        <v>$</v>
      </c>
      <c r="Q31" t="str">
        <f>"118"</f>
        <v>118</v>
      </c>
      <c r="R31" t="str">
        <f>"מערכות"</f>
        <v>מערכות</v>
      </c>
      <c r="S31" t="str">
        <f>"034"</f>
        <v>034</v>
      </c>
      <c r="T31" t="str">
        <f>"גנם הודיה"</f>
        <v>גנם הודיה</v>
      </c>
      <c r="U31">
        <v>0</v>
      </c>
      <c r="V31">
        <v>0</v>
      </c>
      <c r="W31" s="2">
        <v>17670</v>
      </c>
      <c r="X31" s="2">
        <v>17670</v>
      </c>
      <c r="Z31" t="str">
        <f>"Y"</f>
        <v>Y</v>
      </c>
      <c r="AA31">
        <v>0</v>
      </c>
      <c r="AC31">
        <v>0</v>
      </c>
      <c r="AE31">
        <v>0</v>
      </c>
      <c r="AF31">
        <v>0</v>
      </c>
      <c r="AG31" s="2">
        <v>61261.89</v>
      </c>
      <c r="AH31">
        <v>0</v>
      </c>
      <c r="AI31" s="2">
        <v>61261.89</v>
      </c>
      <c r="AJ31" s="2">
        <v>17670</v>
      </c>
      <c r="AK31" s="2">
        <v>17670</v>
      </c>
      <c r="AL31" t="str">
        <f>"$"</f>
        <v>$</v>
      </c>
    </row>
    <row r="32" spans="1:38" x14ac:dyDescent="0.3">
      <c r="A32" t="str">
        <f>"SO20000013"</f>
        <v>SO20000013</v>
      </c>
      <c r="B32" t="str">
        <f>"E000284829"</f>
        <v>E000284829</v>
      </c>
      <c r="C32" t="str">
        <f>"בוצעה"</f>
        <v>בוצעה</v>
      </c>
      <c r="E32" s="3">
        <v>43842</v>
      </c>
      <c r="F32" s="3">
        <v>43895</v>
      </c>
      <c r="G32" t="str">
        <f>"700065"</f>
        <v>700065</v>
      </c>
      <c r="H32" t="str">
        <f>"אלתא מערכות בע""מ"</f>
        <v>אלתא מערכות בע"מ</v>
      </c>
      <c r="I32" t="str">
        <f>"ערן שלו"</f>
        <v>ערן שלו</v>
      </c>
      <c r="J32" t="str">
        <f>"cust00749"</f>
        <v>cust00749</v>
      </c>
      <c r="K32" s="1" t="str">
        <f>"Remote Control Box 1038N250-001 אלתא"</f>
        <v>Remote Control Box 1038N250-001 אלתא</v>
      </c>
      <c r="L32">
        <v>1</v>
      </c>
      <c r="M32" t="str">
        <f>"PR17001533"</f>
        <v>PR17001533</v>
      </c>
      <c r="N32" t="str">
        <f>"Remote Control Box 1038N250-001"</f>
        <v>Remote Control Box 1038N250-001</v>
      </c>
      <c r="O32">
        <v>0</v>
      </c>
      <c r="P32" t="str">
        <f>"$"</f>
        <v>$</v>
      </c>
      <c r="Q32" t="str">
        <f>"000"</f>
        <v>000</v>
      </c>
      <c r="R32" t="str">
        <f>"כללית"</f>
        <v>כללית</v>
      </c>
      <c r="S32" t="str">
        <f>"034"</f>
        <v>034</v>
      </c>
      <c r="T32" t="str">
        <f>"גנם הודיה"</f>
        <v>גנם הודיה</v>
      </c>
      <c r="U32">
        <v>0</v>
      </c>
      <c r="V32">
        <v>0</v>
      </c>
      <c r="W32">
        <v>0</v>
      </c>
      <c r="X32">
        <v>0</v>
      </c>
      <c r="Z32" t="str">
        <f>"Y"</f>
        <v>Y</v>
      </c>
      <c r="AA32">
        <v>1</v>
      </c>
      <c r="AC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tr">
        <f>"$"</f>
        <v>$</v>
      </c>
    </row>
    <row r="33" spans="1:38" x14ac:dyDescent="0.3">
      <c r="A33" t="str">
        <f>"SO20000014"</f>
        <v>SO20000014</v>
      </c>
      <c r="B33" t="str">
        <f>"E000302912"</f>
        <v>E000302912</v>
      </c>
      <c r="C33" t="str">
        <f>"בוצעה"</f>
        <v>בוצעה</v>
      </c>
      <c r="E33" s="3">
        <v>43842</v>
      </c>
      <c r="F33" s="3">
        <v>43876</v>
      </c>
      <c r="G33" t="str">
        <f>"700065"</f>
        <v>700065</v>
      </c>
      <c r="H33" t="str">
        <f>"אלתא מערכות בע""מ"</f>
        <v>אלתא מערכות בע"מ</v>
      </c>
      <c r="I33" t="str">
        <f>"ערן שלו"</f>
        <v>ערן שלו</v>
      </c>
      <c r="J33" t="str">
        <f>"000"</f>
        <v>000</v>
      </c>
      <c r="K33" s="1" t="str">
        <f>"אנליזה VIBRATION SHOCK 70K"</f>
        <v>אנליזה VIBRATION SHOCK 70K</v>
      </c>
      <c r="L33">
        <v>1</v>
      </c>
      <c r="M33" t="str">
        <f>"PR19000109"</f>
        <v>PR19000109</v>
      </c>
      <c r="N33" t="str">
        <f>"פרויקט ראשי ספינות- SO19000156"</f>
        <v>פרויקט ראשי ספינות- SO19000156</v>
      </c>
      <c r="O33" s="2">
        <v>15200</v>
      </c>
      <c r="P33" t="str">
        <f>"$"</f>
        <v>$</v>
      </c>
      <c r="Q33" t="str">
        <f>"000"</f>
        <v>000</v>
      </c>
      <c r="R33" t="str">
        <f>"כללית"</f>
        <v>כללית</v>
      </c>
      <c r="S33" t="str">
        <f>"034"</f>
        <v>034</v>
      </c>
      <c r="T33" t="str">
        <f>"גנם הודיה"</f>
        <v>גנם הודיה</v>
      </c>
      <c r="U33">
        <v>0</v>
      </c>
      <c r="V33">
        <v>0</v>
      </c>
      <c r="W33" s="2">
        <v>15200</v>
      </c>
      <c r="X33" s="2">
        <v>15200</v>
      </c>
      <c r="Z33" t="str">
        <f>"Y"</f>
        <v>Y</v>
      </c>
      <c r="AA33">
        <v>0</v>
      </c>
      <c r="AC33">
        <v>0</v>
      </c>
      <c r="AE33">
        <v>0</v>
      </c>
      <c r="AF33">
        <v>0</v>
      </c>
      <c r="AG33" s="2">
        <v>52789.599999999999</v>
      </c>
      <c r="AH33">
        <v>0</v>
      </c>
      <c r="AI33" s="2">
        <v>52789.599999999999</v>
      </c>
      <c r="AJ33" s="2">
        <v>15200</v>
      </c>
      <c r="AK33" s="2">
        <v>15200</v>
      </c>
      <c r="AL33" t="str">
        <f>"$"</f>
        <v>$</v>
      </c>
    </row>
    <row r="34" spans="1:38" x14ac:dyDescent="0.3">
      <c r="A34" t="str">
        <f>"SO20000015"</f>
        <v>SO20000015</v>
      </c>
      <c r="B34" t="str">
        <f>"E000301999"</f>
        <v>E000301999</v>
      </c>
      <c r="C34" t="str">
        <f>"בוצעה"</f>
        <v>בוצעה</v>
      </c>
      <c r="E34" s="3">
        <v>43843</v>
      </c>
      <c r="F34" s="3">
        <v>43858</v>
      </c>
      <c r="G34" t="str">
        <f>"700065"</f>
        <v>700065</v>
      </c>
      <c r="H34" t="str">
        <f>"אלתא מערכות בע""מ"</f>
        <v>אלתא מערכות בע"מ</v>
      </c>
      <c r="I34" t="str">
        <f>"ערן שלו"</f>
        <v>ערן שלו</v>
      </c>
      <c r="J34" t="str">
        <f>"OP-AR01607"</f>
        <v>OP-AR01607</v>
      </c>
      <c r="K34" s="1" t="str">
        <f>"תיקון יחידה 1038H185-001"</f>
        <v>תיקון יחידה 1038H185-001</v>
      </c>
      <c r="L34">
        <v>1</v>
      </c>
      <c r="M34" t="str">
        <f>"PR18000547"</f>
        <v>PR18000547</v>
      </c>
      <c r="N34" t="str">
        <f>"SRASR POWER DISTRIUTION UNIT"</f>
        <v>SRASR POWER DISTRIUTION UNIT</v>
      </c>
      <c r="O34">
        <v>0</v>
      </c>
      <c r="P34" t="str">
        <f>"$"</f>
        <v>$</v>
      </c>
      <c r="Q34" t="str">
        <f>"000"</f>
        <v>000</v>
      </c>
      <c r="R34" t="str">
        <f>"כללית"</f>
        <v>כללית</v>
      </c>
      <c r="S34" t="str">
        <f>"034"</f>
        <v>034</v>
      </c>
      <c r="T34" t="str">
        <f>"גנם הודיה"</f>
        <v>גנם הודיה</v>
      </c>
      <c r="U34">
        <v>0</v>
      </c>
      <c r="V34">
        <v>0</v>
      </c>
      <c r="W34">
        <v>0</v>
      </c>
      <c r="X34">
        <v>0</v>
      </c>
      <c r="Z34" t="str">
        <f>"Y"</f>
        <v>Y</v>
      </c>
      <c r="AA34">
        <v>0</v>
      </c>
      <c r="AC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t="str">
        <f>"$"</f>
        <v>$</v>
      </c>
    </row>
    <row r="35" spans="1:38" x14ac:dyDescent="0.3">
      <c r="A35" t="str">
        <f>"SO20000020"</f>
        <v>SO20000020</v>
      </c>
      <c r="B35" t="str">
        <f>"E000302974"</f>
        <v>E000302974</v>
      </c>
      <c r="C35" t="str">
        <f>"בוצעה"</f>
        <v>בוצעה</v>
      </c>
      <c r="E35" s="3">
        <v>43844</v>
      </c>
      <c r="F35" s="3">
        <v>43981</v>
      </c>
      <c r="G35" t="str">
        <f>"700065"</f>
        <v>700065</v>
      </c>
      <c r="H35" t="str">
        <f>"אלתא מערכות בע""מ"</f>
        <v>אלתא מערכות בע"מ</v>
      </c>
      <c r="I35" t="str">
        <f>"ערן שלו"</f>
        <v>ערן שלו</v>
      </c>
      <c r="J35" t="str">
        <f>"OP-AR01602"</f>
        <v>OP-AR01602</v>
      </c>
      <c r="K35" s="1" t="str">
        <f>"1030W535-001 HARNESS W535 PEDESTAL LIMIT SWITCH"</f>
        <v>1030W535-001 HARNESS W535 PEDESTAL LIMIT SWITCH</v>
      </c>
      <c r="L35">
        <v>1</v>
      </c>
      <c r="M35" t="str">
        <f>"PR20000025"</f>
        <v>PR20000025</v>
      </c>
      <c r="N35" t="str">
        <f>"RNESS W535 PEDESTAL LIMIT SWITCH"</f>
        <v>RNESS W535 PEDESTAL LIMIT SWITCH</v>
      </c>
      <c r="O35">
        <v>727.8</v>
      </c>
      <c r="P35" t="str">
        <f>"$"</f>
        <v>$</v>
      </c>
      <c r="Q35" t="str">
        <f>"000"</f>
        <v>000</v>
      </c>
      <c r="R35" t="str">
        <f>"כללית"</f>
        <v>כללית</v>
      </c>
      <c r="S35" t="str">
        <f>"034"</f>
        <v>034</v>
      </c>
      <c r="T35" t="str">
        <f>"גנם הודיה"</f>
        <v>גנם הודיה</v>
      </c>
      <c r="U35">
        <v>0</v>
      </c>
      <c r="V35">
        <v>0</v>
      </c>
      <c r="W35">
        <v>727.8</v>
      </c>
      <c r="X35">
        <v>727.8</v>
      </c>
      <c r="Z35" t="str">
        <f>"Y"</f>
        <v>Y</v>
      </c>
      <c r="AA35">
        <v>0</v>
      </c>
      <c r="AC35">
        <v>0</v>
      </c>
      <c r="AE35">
        <v>0</v>
      </c>
      <c r="AF35">
        <v>0</v>
      </c>
      <c r="AG35" s="2">
        <v>2525.4699999999998</v>
      </c>
      <c r="AH35">
        <v>0</v>
      </c>
      <c r="AI35" s="2">
        <v>2525.4699999999998</v>
      </c>
      <c r="AJ35">
        <v>727.8</v>
      </c>
      <c r="AK35">
        <v>727.8</v>
      </c>
      <c r="AL35" t="str">
        <f>"$"</f>
        <v>$</v>
      </c>
    </row>
    <row r="36" spans="1:38" x14ac:dyDescent="0.3">
      <c r="A36" t="str">
        <f>"SO20000022"</f>
        <v>SO20000022</v>
      </c>
      <c r="B36" t="str">
        <f>"E000303334"</f>
        <v>E000303334</v>
      </c>
      <c r="C36" t="str">
        <f>"בוצעה"</f>
        <v>בוצעה</v>
      </c>
      <c r="E36" s="3">
        <v>43845</v>
      </c>
      <c r="F36" s="3">
        <v>43857</v>
      </c>
      <c r="G36" t="str">
        <f>"700065"</f>
        <v>700065</v>
      </c>
      <c r="H36" t="str">
        <f>"אלתא מערכות בע""מ"</f>
        <v>אלתא מערכות בע"מ</v>
      </c>
      <c r="I36" t="str">
        <f>"מלך רונן"</f>
        <v>מלך רונן</v>
      </c>
      <c r="J36" t="str">
        <f>"999"</f>
        <v>999</v>
      </c>
      <c r="K36" s="1" t="str">
        <f>"ביצוע עבודות לשיפור תשתיות חשמל באתר 2"</f>
        <v>ביצוע עבודות לשיפור תשתיות חשמל באתר 2</v>
      </c>
      <c r="L36">
        <v>1</v>
      </c>
      <c r="M36" t="str">
        <f>"PR20000026"</f>
        <v>PR20000026</v>
      </c>
      <c r="N36" t="str">
        <f>"תשתיות חשמל-פלמחים"</f>
        <v>תשתיות חשמל-פלמחים</v>
      </c>
      <c r="O36" s="2">
        <v>18791.560000000001</v>
      </c>
      <c r="P36" t="str">
        <f>"ש""ח"</f>
        <v>ש"ח</v>
      </c>
      <c r="Q36" t="str">
        <f>"010"</f>
        <v>010</v>
      </c>
      <c r="R36" t="str">
        <f>"מכרז"</f>
        <v>מכרז</v>
      </c>
      <c r="S36" t="str">
        <f>"005"</f>
        <v>005</v>
      </c>
      <c r="T36" t="str">
        <f>"אברהמי עדן"</f>
        <v>אברהמי עדן</v>
      </c>
      <c r="U36">
        <v>0</v>
      </c>
      <c r="V36">
        <v>0</v>
      </c>
      <c r="W36" s="2">
        <v>65000</v>
      </c>
      <c r="X36" s="2">
        <v>18791.560000000001</v>
      </c>
      <c r="Z36" t="str">
        <f>"Y"</f>
        <v>Y</v>
      </c>
      <c r="AA36">
        <v>1</v>
      </c>
      <c r="AC36">
        <v>0</v>
      </c>
      <c r="AE36">
        <v>0</v>
      </c>
      <c r="AF36">
        <v>0</v>
      </c>
      <c r="AG36" s="2">
        <v>65000</v>
      </c>
      <c r="AH36">
        <v>0</v>
      </c>
      <c r="AI36" s="2">
        <v>65000</v>
      </c>
      <c r="AJ36" s="2">
        <v>65000</v>
      </c>
      <c r="AK36" s="2">
        <v>65000</v>
      </c>
      <c r="AL36" t="str">
        <f>"ש""ח"</f>
        <v>ש"ח</v>
      </c>
    </row>
    <row r="37" spans="1:38" x14ac:dyDescent="0.3">
      <c r="A37" t="str">
        <f>"SO20000022"</f>
        <v>SO20000022</v>
      </c>
      <c r="B37" t="str">
        <f>"E000303334"</f>
        <v>E000303334</v>
      </c>
      <c r="C37" t="str">
        <f>"בוצעה"</f>
        <v>בוצעה</v>
      </c>
      <c r="E37" s="3">
        <v>43845</v>
      </c>
      <c r="F37" s="3">
        <v>43976</v>
      </c>
      <c r="G37" t="str">
        <f>"700065"</f>
        <v>700065</v>
      </c>
      <c r="H37" t="str">
        <f>"אלתא מערכות בע""מ"</f>
        <v>אלתא מערכות בע"מ</v>
      </c>
      <c r="I37" t="str">
        <f>"מלך רונן"</f>
        <v>מלך רונן</v>
      </c>
      <c r="J37" t="str">
        <f>"OP-PD03154"</f>
        <v>OP-PD03154</v>
      </c>
      <c r="K37" s="1" t="str">
        <f>"לוח שירות חשמל - פלמחים"</f>
        <v>לוח שירות חשמל - פלמחים</v>
      </c>
      <c r="L37">
        <v>1</v>
      </c>
      <c r="M37" t="str">
        <f>"PR20000026"</f>
        <v>PR20000026</v>
      </c>
      <c r="N37" t="str">
        <f>"תשתיות חשמל-פלמחים"</f>
        <v>תשתיות חשמל-פלמחים</v>
      </c>
      <c r="O37">
        <v>0</v>
      </c>
      <c r="P37" t="str">
        <f>"ש""ח"</f>
        <v>ש"ח</v>
      </c>
      <c r="Q37" t="str">
        <f>"010"</f>
        <v>010</v>
      </c>
      <c r="R37" t="str">
        <f>"מכרז"</f>
        <v>מכרז</v>
      </c>
      <c r="S37" t="str">
        <f>"005"</f>
        <v>005</v>
      </c>
      <c r="T37" t="str">
        <f>"אברהמי עדן"</f>
        <v>אברהמי עדן</v>
      </c>
      <c r="U37">
        <v>0</v>
      </c>
      <c r="V37">
        <v>0</v>
      </c>
      <c r="W37">
        <v>0</v>
      </c>
      <c r="X37">
        <v>0</v>
      </c>
      <c r="Z37" t="str">
        <f>"Y"</f>
        <v>Y</v>
      </c>
      <c r="AA37">
        <v>0</v>
      </c>
      <c r="AC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tr">
        <f>"ש""ח"</f>
        <v>ש"ח</v>
      </c>
    </row>
    <row r="38" spans="1:38" x14ac:dyDescent="0.3">
      <c r="A38" t="str">
        <f>"SO20000026"</f>
        <v>SO20000026</v>
      </c>
      <c r="B38" t="str">
        <f>"E000303327"</f>
        <v>E000303327</v>
      </c>
      <c r="C38" t="str">
        <f>"בוצעה"</f>
        <v>בוצעה</v>
      </c>
      <c r="E38" s="3">
        <v>43849</v>
      </c>
      <c r="F38" s="3">
        <v>43905</v>
      </c>
      <c r="G38" t="str">
        <f>"700065"</f>
        <v>700065</v>
      </c>
      <c r="H38" t="str">
        <f>"אלתא מערכות בע""מ"</f>
        <v>אלתא מערכות בע"מ</v>
      </c>
      <c r="I38" t="str">
        <f>"ערן שלו"</f>
        <v>ערן שלו</v>
      </c>
      <c r="J38" t="str">
        <f>"PS0200013"</f>
        <v>PS0200013</v>
      </c>
      <c r="K38" s="1" t="str">
        <f>"DPR6000B-48"</f>
        <v>DPR6000B-48</v>
      </c>
      <c r="L38">
        <v>2</v>
      </c>
      <c r="M38" t="str">
        <f>"PR20000028"</f>
        <v>PR20000028</v>
      </c>
      <c r="N38" t="str">
        <f>"DPR 6000 EnergE"</f>
        <v>DPR 6000 EnergE</v>
      </c>
      <c r="O38" s="2">
        <v>1525.2</v>
      </c>
      <c r="P38" t="str">
        <f>"$"</f>
        <v>$</v>
      </c>
      <c r="Q38" t="str">
        <f>"000"</f>
        <v>000</v>
      </c>
      <c r="R38" t="str">
        <f>"כללית"</f>
        <v>כללית</v>
      </c>
      <c r="S38" t="str">
        <f>"034"</f>
        <v>034</v>
      </c>
      <c r="T38" t="str">
        <f>"גנם הודיה"</f>
        <v>גנם הודיה</v>
      </c>
      <c r="U38">
        <v>0</v>
      </c>
      <c r="V38">
        <v>0</v>
      </c>
      <c r="W38" s="2">
        <v>1525.2</v>
      </c>
      <c r="X38" s="2">
        <v>3050.4</v>
      </c>
      <c r="Z38" t="str">
        <f>"Y"</f>
        <v>Y</v>
      </c>
      <c r="AA38">
        <v>0</v>
      </c>
      <c r="AC38">
        <v>0</v>
      </c>
      <c r="AE38">
        <v>0</v>
      </c>
      <c r="AF38">
        <v>0</v>
      </c>
      <c r="AG38" s="2">
        <v>5268.04</v>
      </c>
      <c r="AH38">
        <v>0</v>
      </c>
      <c r="AI38" s="2">
        <v>10536.08</v>
      </c>
      <c r="AJ38" s="2">
        <v>3050.4</v>
      </c>
      <c r="AK38" s="2">
        <v>3050.4</v>
      </c>
      <c r="AL38" t="str">
        <f>"$"</f>
        <v>$</v>
      </c>
    </row>
    <row r="39" spans="1:38" x14ac:dyDescent="0.3">
      <c r="A39" t="str">
        <f>"SO20000029"</f>
        <v>SO20000029</v>
      </c>
      <c r="B39" t="str">
        <f>"E000303577"</f>
        <v>E000303577</v>
      </c>
      <c r="C39" t="str">
        <f>"בסיום הרכבה"</f>
        <v>בסיום הרכבה</v>
      </c>
      <c r="E39" s="3">
        <v>43852</v>
      </c>
      <c r="F39" s="3">
        <v>43941</v>
      </c>
      <c r="G39" t="str">
        <f>"700065"</f>
        <v>700065</v>
      </c>
      <c r="H39" t="str">
        <f>"אלתא מערכות בע""מ"</f>
        <v>אלתא מערכות בע"מ</v>
      </c>
      <c r="I39" t="str">
        <f>"ערן שלו"</f>
        <v>ערן שלו</v>
      </c>
      <c r="J39" t="str">
        <f>"OP-AR01603"</f>
        <v>OP-AR01603</v>
      </c>
      <c r="K39" s="1" t="str">
        <f>"1034E631-002 HARNESS W631 - EXT REC CL CABLE"</f>
        <v>1034E631-002 HARNESS W631 - EXT REC CL CABLE</v>
      </c>
      <c r="L39">
        <v>10</v>
      </c>
      <c r="M39" t="str">
        <f>"PR20000029"</f>
        <v>PR20000029</v>
      </c>
      <c r="N39" t="str">
        <f>"HARNESS W631 - EXT REC CL CABLE"</f>
        <v>HARNESS W631 - EXT REC CL CABLE</v>
      </c>
      <c r="O39">
        <v>352.82</v>
      </c>
      <c r="P39" t="str">
        <f>"$"</f>
        <v>$</v>
      </c>
      <c r="Q39" t="str">
        <f>"000"</f>
        <v>000</v>
      </c>
      <c r="R39" t="str">
        <f>"כללית"</f>
        <v>כללית</v>
      </c>
      <c r="S39" t="str">
        <f>"034"</f>
        <v>034</v>
      </c>
      <c r="T39" t="str">
        <f>"גנם הודיה"</f>
        <v>גנם הודיה</v>
      </c>
      <c r="U39">
        <v>0</v>
      </c>
      <c r="V39">
        <v>0</v>
      </c>
      <c r="W39">
        <v>352.82</v>
      </c>
      <c r="X39" s="2">
        <v>3528.2</v>
      </c>
      <c r="Z39" t="str">
        <f>"Y"</f>
        <v>Y</v>
      </c>
      <c r="AA39">
        <v>0</v>
      </c>
      <c r="AC39">
        <v>0</v>
      </c>
      <c r="AE39">
        <v>0</v>
      </c>
      <c r="AF39">
        <v>0</v>
      </c>
      <c r="AG39" s="2">
        <v>1217.93</v>
      </c>
      <c r="AH39">
        <v>0</v>
      </c>
      <c r="AI39" s="2">
        <v>12179.35</v>
      </c>
      <c r="AJ39" s="2">
        <v>3528.2</v>
      </c>
      <c r="AK39" s="2">
        <v>3528.2</v>
      </c>
      <c r="AL39" t="str">
        <f>"$"</f>
        <v>$</v>
      </c>
    </row>
    <row r="40" spans="1:38" x14ac:dyDescent="0.3">
      <c r="A40" t="str">
        <f>"SO20000029"</f>
        <v>SO20000029</v>
      </c>
      <c r="B40" t="str">
        <f>"E000303577"</f>
        <v>E000303577</v>
      </c>
      <c r="C40" t="str">
        <f>"בסיום הרכבה"</f>
        <v>בסיום הרכבה</v>
      </c>
      <c r="E40" s="3">
        <v>43852</v>
      </c>
      <c r="F40" s="3">
        <v>43941</v>
      </c>
      <c r="G40" t="str">
        <f>"700065"</f>
        <v>700065</v>
      </c>
      <c r="H40" t="str">
        <f>"אלתא מערכות בע""מ"</f>
        <v>אלתא מערכות בע"מ</v>
      </c>
      <c r="I40" t="str">
        <f>"ערן שלו"</f>
        <v>ערן שלו</v>
      </c>
      <c r="J40" t="str">
        <f>"OP-AR01604"</f>
        <v>OP-AR01604</v>
      </c>
      <c r="K40" s="1" t="str">
        <f>"נגדיים עבור 1034E631-002"</f>
        <v>נגדיים עבור 1034E631-002</v>
      </c>
      <c r="L40">
        <v>1</v>
      </c>
      <c r="M40" t="str">
        <f>"PR20000029"</f>
        <v>PR20000029</v>
      </c>
      <c r="N40" t="str">
        <f>"HARNESS W631 - EXT REC CL CABLE"</f>
        <v>HARNESS W631 - EXT REC CL CABLE</v>
      </c>
      <c r="O40">
        <v>250</v>
      </c>
      <c r="P40" t="str">
        <f>"$"</f>
        <v>$</v>
      </c>
      <c r="Q40" t="str">
        <f>"000"</f>
        <v>000</v>
      </c>
      <c r="R40" t="str">
        <f>"כללית"</f>
        <v>כללית</v>
      </c>
      <c r="S40" t="str">
        <f>"034"</f>
        <v>034</v>
      </c>
      <c r="T40" t="str">
        <f>"גנם הודיה"</f>
        <v>גנם הודיה</v>
      </c>
      <c r="U40">
        <v>0</v>
      </c>
      <c r="V40">
        <v>0</v>
      </c>
      <c r="W40">
        <v>250</v>
      </c>
      <c r="X40">
        <v>250</v>
      </c>
      <c r="Z40" t="str">
        <f>"Y"</f>
        <v>Y</v>
      </c>
      <c r="AA40">
        <v>1</v>
      </c>
      <c r="AC40">
        <v>0</v>
      </c>
      <c r="AE40">
        <v>0</v>
      </c>
      <c r="AF40">
        <v>0</v>
      </c>
      <c r="AG40">
        <v>863</v>
      </c>
      <c r="AH40">
        <v>0</v>
      </c>
      <c r="AI40">
        <v>863</v>
      </c>
      <c r="AJ40">
        <v>250</v>
      </c>
      <c r="AK40">
        <v>250</v>
      </c>
      <c r="AL40" t="str">
        <f>"$"</f>
        <v>$</v>
      </c>
    </row>
    <row r="41" spans="1:38" x14ac:dyDescent="0.3">
      <c r="A41" t="str">
        <f>"SO20000031"</f>
        <v>SO20000031</v>
      </c>
      <c r="B41" t="str">
        <f>"E000303939"</f>
        <v>E000303939</v>
      </c>
      <c r="C41" t="str">
        <f>"בוצעה"</f>
        <v>בוצעה</v>
      </c>
      <c r="E41" s="3">
        <v>43853</v>
      </c>
      <c r="F41" s="3">
        <v>44378</v>
      </c>
      <c r="G41" t="str">
        <f>"700065"</f>
        <v>700065</v>
      </c>
      <c r="H41" t="str">
        <f>"אלתא מערכות בע""מ"</f>
        <v>אלתא מערכות בע"מ</v>
      </c>
      <c r="I41" t="str">
        <f>"ערן שלו"</f>
        <v>ערן שלו</v>
      </c>
      <c r="J41" t="str">
        <f>"OP-AR01605"</f>
        <v>OP-AR01605</v>
      </c>
      <c r="K41" s="1" t="str">
        <f>"כבל עבור מגירה OP-ML00178"</f>
        <v>כבל עבור מגירה OP-ML00178</v>
      </c>
      <c r="L41">
        <v>1</v>
      </c>
      <c r="M41" t="str">
        <f>"PR20000033"</f>
        <v>PR20000033</v>
      </c>
      <c r="N41" t="str">
        <f>"PDD4 SOCD +כבל הזנה"</f>
        <v>PDD4 SOCD +כבל הזנה</v>
      </c>
      <c r="O41">
        <v>71.400000000000006</v>
      </c>
      <c r="P41" t="str">
        <f>"$"</f>
        <v>$</v>
      </c>
      <c r="Q41" t="str">
        <f>"118"</f>
        <v>118</v>
      </c>
      <c r="R41" t="str">
        <f>"מערכות"</f>
        <v>מערכות</v>
      </c>
      <c r="S41" t="str">
        <f>"034"</f>
        <v>034</v>
      </c>
      <c r="T41" t="str">
        <f>"גנם הודיה"</f>
        <v>גנם הודיה</v>
      </c>
      <c r="U41">
        <v>0</v>
      </c>
      <c r="V41">
        <v>0</v>
      </c>
      <c r="W41">
        <v>71.400000000000006</v>
      </c>
      <c r="X41">
        <v>71.400000000000006</v>
      </c>
      <c r="Z41" t="str">
        <f>"Y"</f>
        <v>Y</v>
      </c>
      <c r="AA41">
        <v>1</v>
      </c>
      <c r="AC41">
        <v>0</v>
      </c>
      <c r="AE41">
        <v>0</v>
      </c>
      <c r="AF41">
        <v>0</v>
      </c>
      <c r="AG41">
        <v>246.9</v>
      </c>
      <c r="AH41">
        <v>0</v>
      </c>
      <c r="AI41">
        <v>246.9</v>
      </c>
      <c r="AJ41">
        <v>71.400000000000006</v>
      </c>
      <c r="AK41">
        <v>71.400000000000006</v>
      </c>
      <c r="AL41" t="str">
        <f>"$"</f>
        <v>$</v>
      </c>
    </row>
    <row r="42" spans="1:38" x14ac:dyDescent="0.3">
      <c r="A42" t="str">
        <f>"SO20000031"</f>
        <v>SO20000031</v>
      </c>
      <c r="B42" t="str">
        <f>"E000303939"</f>
        <v>E000303939</v>
      </c>
      <c r="C42" t="str">
        <f>"בוצעה"</f>
        <v>בוצעה</v>
      </c>
      <c r="E42" s="3">
        <v>43853</v>
      </c>
      <c r="F42" s="3">
        <v>44378</v>
      </c>
      <c r="G42" t="str">
        <f>"700065"</f>
        <v>700065</v>
      </c>
      <c r="H42" t="str">
        <f>"אלתא מערכות בע""מ"</f>
        <v>אלתא מערכות בע"מ</v>
      </c>
      <c r="I42" t="str">
        <f>"ערן שלו"</f>
        <v>ערן שלו</v>
      </c>
      <c r="J42" t="str">
        <f>"000"</f>
        <v>000</v>
      </c>
      <c r="K42" s="1" t="str">
        <f>"התקנה בקרון לפי סעיף 8 במפרט"</f>
        <v>התקנה בקרון לפי סעיף 8 במפרט</v>
      </c>
      <c r="L42">
        <v>1</v>
      </c>
      <c r="M42" t="str">
        <f>"PR20000033"</f>
        <v>PR20000033</v>
      </c>
      <c r="N42" t="str">
        <f>"PDD4 SOCD +כבל הזנה"</f>
        <v>PDD4 SOCD +כבל הזנה</v>
      </c>
      <c r="O42">
        <v>799</v>
      </c>
      <c r="P42" t="str">
        <f>"$"</f>
        <v>$</v>
      </c>
      <c r="Q42" t="str">
        <f>"118"</f>
        <v>118</v>
      </c>
      <c r="R42" t="str">
        <f>"מערכות"</f>
        <v>מערכות</v>
      </c>
      <c r="S42" t="str">
        <f>"034"</f>
        <v>034</v>
      </c>
      <c r="T42" t="str">
        <f>"גנם הודיה"</f>
        <v>גנם הודיה</v>
      </c>
      <c r="U42">
        <v>0</v>
      </c>
      <c r="V42">
        <v>0</v>
      </c>
      <c r="W42">
        <v>799</v>
      </c>
      <c r="X42">
        <v>799</v>
      </c>
      <c r="Z42" t="str">
        <f>"Y"</f>
        <v>Y</v>
      </c>
      <c r="AA42">
        <v>1</v>
      </c>
      <c r="AC42">
        <v>0</v>
      </c>
      <c r="AE42">
        <v>0</v>
      </c>
      <c r="AF42">
        <v>0</v>
      </c>
      <c r="AG42" s="2">
        <v>2762.94</v>
      </c>
      <c r="AH42">
        <v>0</v>
      </c>
      <c r="AI42" s="2">
        <v>2762.94</v>
      </c>
      <c r="AJ42">
        <v>799</v>
      </c>
      <c r="AK42">
        <v>799</v>
      </c>
      <c r="AL42" t="str">
        <f>"$"</f>
        <v>$</v>
      </c>
    </row>
    <row r="43" spans="1:38" x14ac:dyDescent="0.3">
      <c r="A43" t="str">
        <f>"SO20000031"</f>
        <v>SO20000031</v>
      </c>
      <c r="B43" t="str">
        <f>"E000303939"</f>
        <v>E000303939</v>
      </c>
      <c r="C43" t="str">
        <f>"בוצעה"</f>
        <v>בוצעה</v>
      </c>
      <c r="E43" s="3">
        <v>43853</v>
      </c>
      <c r="F43" s="3">
        <v>44378</v>
      </c>
      <c r="G43" t="str">
        <f>"700065"</f>
        <v>700065</v>
      </c>
      <c r="H43" t="str">
        <f>"אלתא מערכות בע""מ"</f>
        <v>אלתא מערכות בע"מ</v>
      </c>
      <c r="I43" t="str">
        <f>"ערן שלו"</f>
        <v>ערן שלו</v>
      </c>
      <c r="J43" t="str">
        <f>"000"</f>
        <v>000</v>
      </c>
      <c r="K43" s="1" t="str">
        <f>"NRE"</f>
        <v>NRE</v>
      </c>
      <c r="L43">
        <v>1</v>
      </c>
      <c r="M43" t="str">
        <f>"PR20000033"</f>
        <v>PR20000033</v>
      </c>
      <c r="N43" t="str">
        <f>"PDD4 SOCD +כבל הזנה"</f>
        <v>PDD4 SOCD +כבל הזנה</v>
      </c>
      <c r="O43" s="2">
        <v>1357.1</v>
      </c>
      <c r="P43" t="str">
        <f>"$"</f>
        <v>$</v>
      </c>
      <c r="Q43" t="str">
        <f>"118"</f>
        <v>118</v>
      </c>
      <c r="R43" t="str">
        <f>"מערכות"</f>
        <v>מערכות</v>
      </c>
      <c r="S43" t="str">
        <f>"034"</f>
        <v>034</v>
      </c>
      <c r="T43" t="str">
        <f>"גנם הודיה"</f>
        <v>גנם הודיה</v>
      </c>
      <c r="U43">
        <v>0</v>
      </c>
      <c r="V43">
        <v>0</v>
      </c>
      <c r="W43" s="2">
        <v>1357.1</v>
      </c>
      <c r="X43" s="2">
        <v>1357.1</v>
      </c>
      <c r="Z43" t="str">
        <f>"Y"</f>
        <v>Y</v>
      </c>
      <c r="AA43">
        <v>1</v>
      </c>
      <c r="AC43">
        <v>0</v>
      </c>
      <c r="AE43">
        <v>0</v>
      </c>
      <c r="AF43">
        <v>0</v>
      </c>
      <c r="AG43" s="2">
        <v>4692.8500000000004</v>
      </c>
      <c r="AH43">
        <v>0</v>
      </c>
      <c r="AI43" s="2">
        <v>4692.8500000000004</v>
      </c>
      <c r="AJ43" s="2">
        <v>1357.1</v>
      </c>
      <c r="AK43" s="2">
        <v>1357.1</v>
      </c>
      <c r="AL43" t="str">
        <f>"$"</f>
        <v>$</v>
      </c>
    </row>
    <row r="44" spans="1:38" x14ac:dyDescent="0.3">
      <c r="A44" t="str">
        <f>"SO20000031"</f>
        <v>SO20000031</v>
      </c>
      <c r="B44" t="str">
        <f>"E000303939"</f>
        <v>E000303939</v>
      </c>
      <c r="C44" t="str">
        <f>"בוצעה"</f>
        <v>בוצעה</v>
      </c>
      <c r="E44" s="3">
        <v>43853</v>
      </c>
      <c r="F44" s="3">
        <v>44134</v>
      </c>
      <c r="G44" t="str">
        <f>"700065"</f>
        <v>700065</v>
      </c>
      <c r="H44" t="str">
        <f>"אלתא מערכות בע""מ"</f>
        <v>אלתא מערכות בע"מ</v>
      </c>
      <c r="I44" t="str">
        <f>"ערן שלו"</f>
        <v>ערן שלו</v>
      </c>
      <c r="J44" t="str">
        <f>"OP-ML00178"</f>
        <v>OP-ML00178</v>
      </c>
      <c r="K44" s="1" t="str">
        <f>"PDD4 SOCD - 1039P702-001"</f>
        <v>PDD4 SOCD - 1039P702-001</v>
      </c>
      <c r="L44">
        <v>1</v>
      </c>
      <c r="M44" t="str">
        <f>"PR20000033"</f>
        <v>PR20000033</v>
      </c>
      <c r="N44" t="str">
        <f>"PDD4 SOCD +כבל הזנה"</f>
        <v>PDD4 SOCD +כבל הזנה</v>
      </c>
      <c r="O44" s="2">
        <v>3474.8</v>
      </c>
      <c r="P44" t="str">
        <f>"$"</f>
        <v>$</v>
      </c>
      <c r="Q44" t="str">
        <f>"118"</f>
        <v>118</v>
      </c>
      <c r="R44" t="str">
        <f>"מערכות"</f>
        <v>מערכות</v>
      </c>
      <c r="S44" t="str">
        <f>"034"</f>
        <v>034</v>
      </c>
      <c r="T44" t="str">
        <f>"גנם הודיה"</f>
        <v>גנם הודיה</v>
      </c>
      <c r="U44">
        <v>0</v>
      </c>
      <c r="V44">
        <v>0</v>
      </c>
      <c r="W44" s="2">
        <v>3474.8</v>
      </c>
      <c r="X44" s="2">
        <v>3474.8</v>
      </c>
      <c r="Z44" t="str">
        <f>"Y"</f>
        <v>Y</v>
      </c>
      <c r="AA44">
        <v>0</v>
      </c>
      <c r="AC44">
        <v>0</v>
      </c>
      <c r="AE44">
        <v>0</v>
      </c>
      <c r="AF44">
        <v>0</v>
      </c>
      <c r="AG44" s="2">
        <v>12015.86</v>
      </c>
      <c r="AH44">
        <v>0</v>
      </c>
      <c r="AI44" s="2">
        <v>12015.86</v>
      </c>
      <c r="AJ44" s="2">
        <v>3474.8</v>
      </c>
      <c r="AK44" s="2">
        <v>3474.8</v>
      </c>
      <c r="AL44" t="str">
        <f>"$"</f>
        <v>$</v>
      </c>
    </row>
    <row r="45" spans="1:38" x14ac:dyDescent="0.3">
      <c r="A45" t="str">
        <f>"SO20000035"</f>
        <v>SO20000035</v>
      </c>
      <c r="B45" t="str">
        <f>"E000304372"</f>
        <v>E000304372</v>
      </c>
      <c r="C45" t="str">
        <f>"בוצעה"</f>
        <v>בוצעה</v>
      </c>
      <c r="E45" s="3">
        <v>43856</v>
      </c>
      <c r="F45" s="3">
        <v>43876</v>
      </c>
      <c r="G45" t="str">
        <f>"700065"</f>
        <v>700065</v>
      </c>
      <c r="H45" t="str">
        <f>"אלתא מערכות בע""מ"</f>
        <v>אלתא מערכות בע"מ</v>
      </c>
      <c r="I45" t="str">
        <f>"ערן שלו"</f>
        <v>ערן שלו</v>
      </c>
      <c r="J45" t="str">
        <f>"CB1500009"</f>
        <v>CB1500009</v>
      </c>
      <c r="K45" s="1" t="str">
        <f>"כבל תקן ימי XTCuZ1-K 4x16"</f>
        <v>כבל תקן ימי XTCuZ1-K 4x16</v>
      </c>
      <c r="L45">
        <v>100</v>
      </c>
      <c r="M45" t="str">
        <f>"PR19000109"</f>
        <v>PR19000109</v>
      </c>
      <c r="N45" t="str">
        <f>"פרויקט ראשי ספינות- SO19000156"</f>
        <v>פרויקט ראשי ספינות- SO19000156</v>
      </c>
      <c r="O45">
        <v>13.5</v>
      </c>
      <c r="P45" t="str">
        <f>"$"</f>
        <v>$</v>
      </c>
      <c r="Q45" t="str">
        <f>"000"</f>
        <v>000</v>
      </c>
      <c r="R45" t="str">
        <f>"כללית"</f>
        <v>כללית</v>
      </c>
      <c r="S45" t="str">
        <f>"034"</f>
        <v>034</v>
      </c>
      <c r="T45" t="str">
        <f>"גנם הודיה"</f>
        <v>גנם הודיה</v>
      </c>
      <c r="U45">
        <v>0</v>
      </c>
      <c r="V45">
        <v>0</v>
      </c>
      <c r="W45">
        <v>13.5</v>
      </c>
      <c r="X45" s="2">
        <v>1350</v>
      </c>
      <c r="Z45" t="str">
        <f>"Y"</f>
        <v>Y</v>
      </c>
      <c r="AA45">
        <v>0</v>
      </c>
      <c r="AC45">
        <v>0</v>
      </c>
      <c r="AE45">
        <v>0</v>
      </c>
      <c r="AF45">
        <v>0</v>
      </c>
      <c r="AG45">
        <v>46.64</v>
      </c>
      <c r="AH45">
        <v>0</v>
      </c>
      <c r="AI45" s="2">
        <v>4664.25</v>
      </c>
      <c r="AJ45" s="2">
        <v>1350</v>
      </c>
      <c r="AK45" s="2">
        <v>1350</v>
      </c>
      <c r="AL45" t="str">
        <f>"$"</f>
        <v>$</v>
      </c>
    </row>
    <row r="46" spans="1:38" x14ac:dyDescent="0.3">
      <c r="A46" t="str">
        <f>"SO20000035"</f>
        <v>SO20000035</v>
      </c>
      <c r="B46" t="str">
        <f>"E000304372"</f>
        <v>E000304372</v>
      </c>
      <c r="C46" t="str">
        <f>"בוצעה"</f>
        <v>בוצעה</v>
      </c>
      <c r="E46" s="3">
        <v>43856</v>
      </c>
      <c r="F46" s="3">
        <v>43876</v>
      </c>
      <c r="G46" t="str">
        <f>"700065"</f>
        <v>700065</v>
      </c>
      <c r="H46" t="str">
        <f>"אלתא מערכות בע""מ"</f>
        <v>אלתא מערכות בע"מ</v>
      </c>
      <c r="I46" t="str">
        <f>"ערן שלו"</f>
        <v>ערן שלו</v>
      </c>
      <c r="J46" t="str">
        <f>"CB1500010"</f>
        <v>CB1500010</v>
      </c>
      <c r="K46" s="1" t="str">
        <f>"כבל תקן ימי XTCuZ1-K 4x50"</f>
        <v>כבל תקן ימי XTCuZ1-K 4x50</v>
      </c>
      <c r="L46">
        <v>25</v>
      </c>
      <c r="M46" t="str">
        <f>"PR19000109"</f>
        <v>PR19000109</v>
      </c>
      <c r="N46" t="str">
        <f>"פרויקט ראשי ספינות- SO19000156"</f>
        <v>פרויקט ראשי ספינות- SO19000156</v>
      </c>
      <c r="O46">
        <v>38.5</v>
      </c>
      <c r="P46" t="str">
        <f>"$"</f>
        <v>$</v>
      </c>
      <c r="Q46" t="str">
        <f>"000"</f>
        <v>000</v>
      </c>
      <c r="R46" t="str">
        <f>"כללית"</f>
        <v>כללית</v>
      </c>
      <c r="S46" t="str">
        <f>"034"</f>
        <v>034</v>
      </c>
      <c r="T46" t="str">
        <f>"גנם הודיה"</f>
        <v>גנם הודיה</v>
      </c>
      <c r="U46">
        <v>0</v>
      </c>
      <c r="V46">
        <v>0</v>
      </c>
      <c r="W46">
        <v>38.5</v>
      </c>
      <c r="X46">
        <v>962.5</v>
      </c>
      <c r="Z46" t="str">
        <f>"Y"</f>
        <v>Y</v>
      </c>
      <c r="AA46">
        <v>0</v>
      </c>
      <c r="AC46">
        <v>0</v>
      </c>
      <c r="AE46">
        <v>0</v>
      </c>
      <c r="AF46">
        <v>0</v>
      </c>
      <c r="AG46">
        <v>133.02000000000001</v>
      </c>
      <c r="AH46">
        <v>0</v>
      </c>
      <c r="AI46" s="2">
        <v>3325.44</v>
      </c>
      <c r="AJ46">
        <v>962.5</v>
      </c>
      <c r="AK46">
        <v>962.5</v>
      </c>
      <c r="AL46" t="str">
        <f>"$"</f>
        <v>$</v>
      </c>
    </row>
    <row r="47" spans="1:38" x14ac:dyDescent="0.3">
      <c r="A47" t="str">
        <f>"SO20000035"</f>
        <v>SO20000035</v>
      </c>
      <c r="B47" t="str">
        <f>"E000304372"</f>
        <v>E000304372</v>
      </c>
      <c r="C47" t="str">
        <f>"בוצעה"</f>
        <v>בוצעה</v>
      </c>
      <c r="E47" s="3">
        <v>43856</v>
      </c>
      <c r="F47" s="3">
        <v>43876</v>
      </c>
      <c r="G47" t="str">
        <f>"700065"</f>
        <v>700065</v>
      </c>
      <c r="H47" t="str">
        <f>"אלתא מערכות בע""מ"</f>
        <v>אלתא מערכות בע"מ</v>
      </c>
      <c r="I47" t="str">
        <f>"ערן שלו"</f>
        <v>ערן שלו</v>
      </c>
      <c r="J47" t="str">
        <f>"CB1500010"</f>
        <v>CB1500010</v>
      </c>
      <c r="K47" s="1" t="str">
        <f>"כבל תקן ימי XTCuZ1-K 4x50"</f>
        <v>כבל תקן ימי XTCuZ1-K 4x50</v>
      </c>
      <c r="L47">
        <v>20</v>
      </c>
      <c r="M47" t="str">
        <f>"PR19000109"</f>
        <v>PR19000109</v>
      </c>
      <c r="N47" t="str">
        <f>"פרויקט ראשי ספינות- SO19000156"</f>
        <v>פרויקט ראשי ספינות- SO19000156</v>
      </c>
      <c r="O47">
        <v>38.5</v>
      </c>
      <c r="P47" t="str">
        <f>"$"</f>
        <v>$</v>
      </c>
      <c r="Q47" t="str">
        <f>"000"</f>
        <v>000</v>
      </c>
      <c r="R47" t="str">
        <f>"כללית"</f>
        <v>כללית</v>
      </c>
      <c r="S47" t="str">
        <f>"034"</f>
        <v>034</v>
      </c>
      <c r="T47" t="str">
        <f>"גנם הודיה"</f>
        <v>גנם הודיה</v>
      </c>
      <c r="U47">
        <v>0</v>
      </c>
      <c r="V47">
        <v>0</v>
      </c>
      <c r="W47">
        <v>38.5</v>
      </c>
      <c r="X47">
        <v>770</v>
      </c>
      <c r="Z47" t="str">
        <f>"Y"</f>
        <v>Y</v>
      </c>
      <c r="AA47">
        <v>0</v>
      </c>
      <c r="AC47">
        <v>0</v>
      </c>
      <c r="AE47">
        <v>0</v>
      </c>
      <c r="AF47">
        <v>0</v>
      </c>
      <c r="AG47">
        <v>133.02000000000001</v>
      </c>
      <c r="AH47">
        <v>0</v>
      </c>
      <c r="AI47" s="2">
        <v>2660.35</v>
      </c>
      <c r="AJ47">
        <v>770</v>
      </c>
      <c r="AK47">
        <v>770</v>
      </c>
      <c r="AL47" t="str">
        <f>"$"</f>
        <v>$</v>
      </c>
    </row>
    <row r="48" spans="1:38" x14ac:dyDescent="0.3">
      <c r="A48" t="str">
        <f>"SO20000035"</f>
        <v>SO20000035</v>
      </c>
      <c r="B48" t="str">
        <f>"E000304372"</f>
        <v>E000304372</v>
      </c>
      <c r="C48" t="str">
        <f>"בוצעה"</f>
        <v>בוצעה</v>
      </c>
      <c r="E48" s="3">
        <v>43856</v>
      </c>
      <c r="F48" s="3">
        <v>43876</v>
      </c>
      <c r="G48" t="str">
        <f>"700065"</f>
        <v>700065</v>
      </c>
      <c r="H48" t="str">
        <f>"אלתא מערכות בע""מ"</f>
        <v>אלתא מערכות בע"מ</v>
      </c>
      <c r="I48" t="str">
        <f>"ערן שלו"</f>
        <v>ערן שלו</v>
      </c>
      <c r="J48" t="str">
        <f>"CB1500011"</f>
        <v>CB1500011</v>
      </c>
      <c r="K48" s="1" t="str">
        <f>"כבל תקן ימי XTCuZ1-K 4x10"</f>
        <v>כבל תקן ימי XTCuZ1-K 4x10</v>
      </c>
      <c r="L48">
        <v>432</v>
      </c>
      <c r="M48" t="str">
        <f>"PR19000109"</f>
        <v>PR19000109</v>
      </c>
      <c r="N48" t="str">
        <f>"פרויקט ראשי ספינות- SO19000156"</f>
        <v>פרויקט ראשי ספינות- SO19000156</v>
      </c>
      <c r="O48">
        <v>9.8000000000000007</v>
      </c>
      <c r="P48" t="str">
        <f>"$"</f>
        <v>$</v>
      </c>
      <c r="Q48" t="str">
        <f>"000"</f>
        <v>000</v>
      </c>
      <c r="R48" t="str">
        <f>"כללית"</f>
        <v>כללית</v>
      </c>
      <c r="S48" t="str">
        <f>"034"</f>
        <v>034</v>
      </c>
      <c r="T48" t="str">
        <f>"גנם הודיה"</f>
        <v>גנם הודיה</v>
      </c>
      <c r="U48">
        <v>0</v>
      </c>
      <c r="V48">
        <v>0</v>
      </c>
      <c r="W48">
        <v>9.8000000000000007</v>
      </c>
      <c r="X48" s="2">
        <v>4233.6000000000004</v>
      </c>
      <c r="Z48" t="str">
        <f>"Y"</f>
        <v>Y</v>
      </c>
      <c r="AA48">
        <v>0</v>
      </c>
      <c r="AC48">
        <v>0</v>
      </c>
      <c r="AE48">
        <v>0</v>
      </c>
      <c r="AF48">
        <v>0</v>
      </c>
      <c r="AG48">
        <v>33.86</v>
      </c>
      <c r="AH48">
        <v>0</v>
      </c>
      <c r="AI48" s="2">
        <v>14627.09</v>
      </c>
      <c r="AJ48" s="2">
        <v>4233.6000000000004</v>
      </c>
      <c r="AK48" s="2">
        <v>4233.6000000000004</v>
      </c>
      <c r="AL48" t="str">
        <f>"$"</f>
        <v>$</v>
      </c>
    </row>
    <row r="49" spans="1:38" x14ac:dyDescent="0.3">
      <c r="A49" t="str">
        <f>"SO20000035"</f>
        <v>SO20000035</v>
      </c>
      <c r="B49" t="str">
        <f>"E000304372"</f>
        <v>E000304372</v>
      </c>
      <c r="C49" t="str">
        <f>"בוצעה"</f>
        <v>בוצעה</v>
      </c>
      <c r="E49" s="3">
        <v>43856</v>
      </c>
      <c r="F49" s="3">
        <v>43931</v>
      </c>
      <c r="G49" t="str">
        <f>"700065"</f>
        <v>700065</v>
      </c>
      <c r="H49" t="str">
        <f>"אלתא מערכות בע""מ"</f>
        <v>אלתא מערכות בע"מ</v>
      </c>
      <c r="I49" t="str">
        <f>"ערן שלו"</f>
        <v>ערן שלו</v>
      </c>
      <c r="J49" t="str">
        <f>"CB1500011"</f>
        <v>CB1500011</v>
      </c>
      <c r="K49" s="1" t="str">
        <f>"כבל תקן ימי XTCuZ1-K 4x10"</f>
        <v>כבל תקן ימי XTCuZ1-K 4x10</v>
      </c>
      <c r="L49">
        <v>818</v>
      </c>
      <c r="M49" t="str">
        <f>"PR19000109"</f>
        <v>PR19000109</v>
      </c>
      <c r="N49" t="str">
        <f>"פרויקט ראשי ספינות- SO19000156"</f>
        <v>פרויקט ראשי ספינות- SO19000156</v>
      </c>
      <c r="O49">
        <v>9.8000000000000007</v>
      </c>
      <c r="P49" t="str">
        <f>"$"</f>
        <v>$</v>
      </c>
      <c r="Q49" t="str">
        <f>"000"</f>
        <v>000</v>
      </c>
      <c r="R49" t="str">
        <f>"כללית"</f>
        <v>כללית</v>
      </c>
      <c r="S49" t="str">
        <f>"034"</f>
        <v>034</v>
      </c>
      <c r="T49" t="str">
        <f>"גנם הודיה"</f>
        <v>גנם הודיה</v>
      </c>
      <c r="U49">
        <v>0</v>
      </c>
      <c r="V49">
        <v>0</v>
      </c>
      <c r="W49">
        <v>9.8000000000000007</v>
      </c>
      <c r="X49" s="2">
        <v>8016.4</v>
      </c>
      <c r="Z49" t="str">
        <f>"Y"</f>
        <v>Y</v>
      </c>
      <c r="AA49">
        <v>0</v>
      </c>
      <c r="AC49">
        <v>0</v>
      </c>
      <c r="AE49">
        <v>0</v>
      </c>
      <c r="AF49">
        <v>0</v>
      </c>
      <c r="AG49">
        <v>33.86</v>
      </c>
      <c r="AH49">
        <v>0</v>
      </c>
      <c r="AI49" s="2">
        <v>27696.66</v>
      </c>
      <c r="AJ49" s="2">
        <v>8016.4</v>
      </c>
      <c r="AK49" s="2">
        <v>8016.4</v>
      </c>
      <c r="AL49" t="str">
        <f>"$"</f>
        <v>$</v>
      </c>
    </row>
    <row r="50" spans="1:38" x14ac:dyDescent="0.3">
      <c r="A50" t="str">
        <f>"SO20000035"</f>
        <v>SO20000035</v>
      </c>
      <c r="B50" t="str">
        <f>"E000304372"</f>
        <v>E000304372</v>
      </c>
      <c r="C50" t="str">
        <f>"בוצעה"</f>
        <v>בוצעה</v>
      </c>
      <c r="E50" s="3">
        <v>43856</v>
      </c>
      <c r="F50" s="3">
        <v>43876</v>
      </c>
      <c r="G50" t="str">
        <f>"700065"</f>
        <v>700065</v>
      </c>
      <c r="H50" t="str">
        <f>"אלתא מערכות בע""מ"</f>
        <v>אלתא מערכות בע"מ</v>
      </c>
      <c r="I50" t="str">
        <f>"ערן שלו"</f>
        <v>ערן שלו</v>
      </c>
      <c r="J50" t="str">
        <f>"CB1500009"</f>
        <v>CB1500009</v>
      </c>
      <c r="K50" s="1" t="str">
        <f>"כבל תקן ימי XTCuZ1-K 4x16"</f>
        <v>כבל תקן ימי XTCuZ1-K 4x16</v>
      </c>
      <c r="L50">
        <v>160</v>
      </c>
      <c r="M50" t="str">
        <f>"PR19000109"</f>
        <v>PR19000109</v>
      </c>
      <c r="N50" t="str">
        <f>"פרויקט ראשי ספינות- SO19000156"</f>
        <v>פרויקט ראשי ספינות- SO19000156</v>
      </c>
      <c r="O50">
        <v>13.5</v>
      </c>
      <c r="P50" t="str">
        <f>"$"</f>
        <v>$</v>
      </c>
      <c r="Q50" t="str">
        <f>"000"</f>
        <v>000</v>
      </c>
      <c r="R50" t="str">
        <f>"כללית"</f>
        <v>כללית</v>
      </c>
      <c r="S50" t="str">
        <f>"034"</f>
        <v>034</v>
      </c>
      <c r="T50" t="str">
        <f>"גנם הודיה"</f>
        <v>גנם הודיה</v>
      </c>
      <c r="U50">
        <v>0</v>
      </c>
      <c r="V50">
        <v>0</v>
      </c>
      <c r="W50">
        <v>13.5</v>
      </c>
      <c r="X50" s="2">
        <v>2160</v>
      </c>
      <c r="Z50" t="str">
        <f>"Y"</f>
        <v>Y</v>
      </c>
      <c r="AA50">
        <v>0</v>
      </c>
      <c r="AC50">
        <v>0</v>
      </c>
      <c r="AE50">
        <v>0</v>
      </c>
      <c r="AF50">
        <v>0</v>
      </c>
      <c r="AG50">
        <v>46.64</v>
      </c>
      <c r="AH50">
        <v>0</v>
      </c>
      <c r="AI50" s="2">
        <v>7462.8</v>
      </c>
      <c r="AJ50" s="2">
        <v>2160</v>
      </c>
      <c r="AK50" s="2">
        <v>2160</v>
      </c>
      <c r="AL50" t="str">
        <f>"$"</f>
        <v>$</v>
      </c>
    </row>
    <row r="51" spans="1:38" x14ac:dyDescent="0.3">
      <c r="A51" t="str">
        <f>"SO20000035"</f>
        <v>SO20000035</v>
      </c>
      <c r="B51" t="str">
        <f>"E000304372"</f>
        <v>E000304372</v>
      </c>
      <c r="C51" t="str">
        <f>"בוצעה"</f>
        <v>בוצעה</v>
      </c>
      <c r="E51" s="3">
        <v>43856</v>
      </c>
      <c r="F51" s="3">
        <v>43876</v>
      </c>
      <c r="G51" t="str">
        <f>"700065"</f>
        <v>700065</v>
      </c>
      <c r="H51" t="str">
        <f>"אלתא מערכות בע""מ"</f>
        <v>אלתא מערכות בע"מ</v>
      </c>
      <c r="I51" t="str">
        <f>"ערן שלו"</f>
        <v>ערן שלו</v>
      </c>
      <c r="J51" t="str">
        <f>"CB1500010"</f>
        <v>CB1500010</v>
      </c>
      <c r="K51" s="1" t="str">
        <f>"כבל תקן ימי XTCuZ1-K 4x50"</f>
        <v>כבל תקן ימי XTCuZ1-K 4x50</v>
      </c>
      <c r="L51">
        <v>25</v>
      </c>
      <c r="M51" t="str">
        <f>"PR19000109"</f>
        <v>PR19000109</v>
      </c>
      <c r="N51" t="str">
        <f>"פרויקט ראשי ספינות- SO19000156"</f>
        <v>פרויקט ראשי ספינות- SO19000156</v>
      </c>
      <c r="O51">
        <v>38.5</v>
      </c>
      <c r="P51" t="str">
        <f>"$"</f>
        <v>$</v>
      </c>
      <c r="Q51" t="str">
        <f>"000"</f>
        <v>000</v>
      </c>
      <c r="R51" t="str">
        <f>"כללית"</f>
        <v>כללית</v>
      </c>
      <c r="S51" t="str">
        <f>"034"</f>
        <v>034</v>
      </c>
      <c r="T51" t="str">
        <f>"גנם הודיה"</f>
        <v>גנם הודיה</v>
      </c>
      <c r="U51">
        <v>0</v>
      </c>
      <c r="V51">
        <v>0</v>
      </c>
      <c r="W51">
        <v>38.5</v>
      </c>
      <c r="X51">
        <v>962.5</v>
      </c>
      <c r="Z51" t="str">
        <f>"Y"</f>
        <v>Y</v>
      </c>
      <c r="AA51">
        <v>0</v>
      </c>
      <c r="AC51">
        <v>0</v>
      </c>
      <c r="AE51">
        <v>0</v>
      </c>
      <c r="AF51">
        <v>0</v>
      </c>
      <c r="AG51">
        <v>133.02000000000001</v>
      </c>
      <c r="AH51">
        <v>0</v>
      </c>
      <c r="AI51" s="2">
        <v>3325.44</v>
      </c>
      <c r="AJ51">
        <v>962.5</v>
      </c>
      <c r="AK51">
        <v>962.5</v>
      </c>
      <c r="AL51" t="str">
        <f>"$"</f>
        <v>$</v>
      </c>
    </row>
    <row r="52" spans="1:38" x14ac:dyDescent="0.3">
      <c r="A52" t="str">
        <f>"SO20000035"</f>
        <v>SO20000035</v>
      </c>
      <c r="B52" t="str">
        <f>"E000304372"</f>
        <v>E000304372</v>
      </c>
      <c r="C52" t="str">
        <f>"בוצעה"</f>
        <v>בוצעה</v>
      </c>
      <c r="E52" s="3">
        <v>43856</v>
      </c>
      <c r="F52" s="3">
        <v>43931</v>
      </c>
      <c r="G52" t="str">
        <f>"700065"</f>
        <v>700065</v>
      </c>
      <c r="H52" t="str">
        <f>"אלתא מערכות בע""מ"</f>
        <v>אלתא מערכות בע"מ</v>
      </c>
      <c r="I52" t="str">
        <f>"ערן שלו"</f>
        <v>ערן שלו</v>
      </c>
      <c r="J52" t="str">
        <f>"CB1500011"</f>
        <v>CB1500011</v>
      </c>
      <c r="K52" s="1" t="str">
        <f>"כבל תקן ימי XTCuZ1-K 4x10"</f>
        <v>כבל תקן ימי XTCuZ1-K 4x10</v>
      </c>
      <c r="L52" s="4">
        <v>1200</v>
      </c>
      <c r="M52" t="str">
        <f>"PR19000109"</f>
        <v>PR19000109</v>
      </c>
      <c r="N52" t="str">
        <f>"פרויקט ראשי ספינות- SO19000156"</f>
        <v>פרויקט ראשי ספינות- SO19000156</v>
      </c>
      <c r="O52">
        <v>9.8000000000000007</v>
      </c>
      <c r="P52" t="str">
        <f>"$"</f>
        <v>$</v>
      </c>
      <c r="Q52" t="str">
        <f>"000"</f>
        <v>000</v>
      </c>
      <c r="R52" t="str">
        <f>"כללית"</f>
        <v>כללית</v>
      </c>
      <c r="S52" t="str">
        <f>"034"</f>
        <v>034</v>
      </c>
      <c r="T52" t="str">
        <f>"גנם הודיה"</f>
        <v>גנם הודיה</v>
      </c>
      <c r="U52">
        <v>0</v>
      </c>
      <c r="V52">
        <v>0</v>
      </c>
      <c r="W52">
        <v>9.8000000000000007</v>
      </c>
      <c r="X52" s="2">
        <v>11760</v>
      </c>
      <c r="Z52" t="str">
        <f>"Y"</f>
        <v>Y</v>
      </c>
      <c r="AA52">
        <v>18</v>
      </c>
      <c r="AC52">
        <v>0</v>
      </c>
      <c r="AE52">
        <v>0</v>
      </c>
      <c r="AF52">
        <v>0</v>
      </c>
      <c r="AG52">
        <v>33.86</v>
      </c>
      <c r="AH52">
        <v>0</v>
      </c>
      <c r="AI52" s="2">
        <v>40630.800000000003</v>
      </c>
      <c r="AJ52" s="2">
        <v>11760</v>
      </c>
      <c r="AK52" s="2">
        <v>11760</v>
      </c>
      <c r="AL52" t="str">
        <f>"$"</f>
        <v>$</v>
      </c>
    </row>
    <row r="53" spans="1:38" x14ac:dyDescent="0.3">
      <c r="A53" t="str">
        <f>"SO20000035"</f>
        <v>SO20000035</v>
      </c>
      <c r="B53" t="str">
        <f>"E000304372"</f>
        <v>E000304372</v>
      </c>
      <c r="C53" t="str">
        <f>"בוצעה"</f>
        <v>בוצעה</v>
      </c>
      <c r="E53" s="3">
        <v>43856</v>
      </c>
      <c r="F53" s="3">
        <v>43920</v>
      </c>
      <c r="G53" t="str">
        <f>"700065"</f>
        <v>700065</v>
      </c>
      <c r="H53" t="str">
        <f>"אלתא מערכות בע""מ"</f>
        <v>אלתא מערכות בע"מ</v>
      </c>
      <c r="I53" t="str">
        <f>"ערן שלו"</f>
        <v>ערן שלו</v>
      </c>
      <c r="J53" t="str">
        <f>"000"</f>
        <v>000</v>
      </c>
      <c r="K53" s="1" t="str">
        <f>"משלוח בהטסה"</f>
        <v>משלוח בהטסה</v>
      </c>
      <c r="L53">
        <v>1</v>
      </c>
      <c r="O53" s="2">
        <v>2500</v>
      </c>
      <c r="P53" t="str">
        <f>"$"</f>
        <v>$</v>
      </c>
      <c r="Q53" t="str">
        <f>"000"</f>
        <v>000</v>
      </c>
      <c r="R53" t="str">
        <f>"כללית"</f>
        <v>כללית</v>
      </c>
      <c r="S53" t="str">
        <f>"034"</f>
        <v>034</v>
      </c>
      <c r="T53" t="str">
        <f>"גנם הודיה"</f>
        <v>גנם הודיה</v>
      </c>
      <c r="U53">
        <v>0</v>
      </c>
      <c r="V53">
        <v>0</v>
      </c>
      <c r="W53" s="2">
        <v>2500</v>
      </c>
      <c r="X53" s="2">
        <v>2500</v>
      </c>
      <c r="Z53" t="str">
        <f>"Y"</f>
        <v>Y</v>
      </c>
      <c r="AA53">
        <v>0</v>
      </c>
      <c r="AC53">
        <v>0</v>
      </c>
      <c r="AE53">
        <v>0</v>
      </c>
      <c r="AF53">
        <v>0</v>
      </c>
      <c r="AG53" s="2">
        <v>8637.5</v>
      </c>
      <c r="AH53">
        <v>0</v>
      </c>
      <c r="AI53" s="2">
        <v>8637.5</v>
      </c>
      <c r="AJ53" s="2">
        <v>2500</v>
      </c>
      <c r="AK53" s="2">
        <v>2500</v>
      </c>
      <c r="AL53" t="str">
        <f>"$"</f>
        <v>$</v>
      </c>
    </row>
    <row r="54" spans="1:38" x14ac:dyDescent="0.3">
      <c r="A54" t="str">
        <f>"SO20000035"</f>
        <v>SO20000035</v>
      </c>
      <c r="B54" t="str">
        <f>"E000304372"</f>
        <v>E000304372</v>
      </c>
      <c r="C54" t="str">
        <f>"בוצעה"</f>
        <v>בוצעה</v>
      </c>
      <c r="E54" s="3">
        <v>43856</v>
      </c>
      <c r="F54" s="3">
        <v>43931</v>
      </c>
      <c r="G54" t="str">
        <f>"700065"</f>
        <v>700065</v>
      </c>
      <c r="H54" t="str">
        <f>"אלתא מערכות בע""מ"</f>
        <v>אלתא מערכות בע"מ</v>
      </c>
      <c r="I54" t="str">
        <f>"ערן שלו"</f>
        <v>ערן שלו</v>
      </c>
      <c r="J54" t="str">
        <f>"000"</f>
        <v>000</v>
      </c>
      <c r="K54" s="1" t="str">
        <f>"הטסה של יתרת הכבלים בהזמנה"</f>
        <v>הטסה של יתרת הכבלים בהזמנה</v>
      </c>
      <c r="L54">
        <v>1</v>
      </c>
      <c r="O54" s="2">
        <v>3400</v>
      </c>
      <c r="P54" t="str">
        <f>"$"</f>
        <v>$</v>
      </c>
      <c r="Q54" t="str">
        <f>"000"</f>
        <v>000</v>
      </c>
      <c r="R54" t="str">
        <f>"כללית"</f>
        <v>כללית</v>
      </c>
      <c r="S54" t="str">
        <f>"034"</f>
        <v>034</v>
      </c>
      <c r="T54" t="str">
        <f>"גנם הודיה"</f>
        <v>גנם הודיה</v>
      </c>
      <c r="U54">
        <v>0</v>
      </c>
      <c r="V54">
        <v>0</v>
      </c>
      <c r="W54" s="2">
        <v>3400</v>
      </c>
      <c r="X54" s="2">
        <v>3400</v>
      </c>
      <c r="Z54" t="str">
        <f>"Y"</f>
        <v>Y</v>
      </c>
      <c r="AA54">
        <v>1</v>
      </c>
      <c r="AC54">
        <v>0</v>
      </c>
      <c r="AE54">
        <v>0</v>
      </c>
      <c r="AF54">
        <v>0</v>
      </c>
      <c r="AG54" s="2">
        <v>11747</v>
      </c>
      <c r="AH54">
        <v>0</v>
      </c>
      <c r="AI54" s="2">
        <v>11747</v>
      </c>
      <c r="AJ54" s="2">
        <v>3400</v>
      </c>
      <c r="AK54" s="2">
        <v>3400</v>
      </c>
      <c r="AL54" t="str">
        <f>"$"</f>
        <v>$</v>
      </c>
    </row>
    <row r="55" spans="1:38" x14ac:dyDescent="0.3">
      <c r="A55" t="str">
        <f>"SO20000045"</f>
        <v>SO20000045</v>
      </c>
      <c r="B55" t="str">
        <f>"פנמית"</f>
        <v>פנמית</v>
      </c>
      <c r="C55" t="str">
        <f>"בוצעה"</f>
        <v>בוצעה</v>
      </c>
      <c r="E55" s="3">
        <v>43863</v>
      </c>
      <c r="F55" s="3">
        <v>43863</v>
      </c>
      <c r="G55" t="str">
        <f>"700065"</f>
        <v>700065</v>
      </c>
      <c r="H55" t="str">
        <f>"אלתא מערכות בע""מ"</f>
        <v>אלתא מערכות בע"מ</v>
      </c>
      <c r="I55" t="str">
        <f>"ערן שלו"</f>
        <v>ערן שלו</v>
      </c>
      <c r="J55" t="str">
        <f>"PA9900339"</f>
        <v>PA9900339</v>
      </c>
      <c r="K55" s="1" t="str">
        <f>"20090T  BELLCO תופסן קליפס אפור"</f>
        <v>20090T  BELLCO תופסן קליפס אפור</v>
      </c>
      <c r="L55">
        <v>1</v>
      </c>
      <c r="M55" t="str">
        <f>"PR20000061"</f>
        <v>PR20000061</v>
      </c>
      <c r="N55" t="str">
        <f>"20090T  BELLCO תופסן קליפס אפור"</f>
        <v>20090T  BELLCO תופסן קליפס אפור</v>
      </c>
      <c r="O55">
        <v>0</v>
      </c>
      <c r="P55" t="str">
        <f>"$"</f>
        <v>$</v>
      </c>
      <c r="Q55" t="str">
        <f>"070"</f>
        <v>070</v>
      </c>
      <c r="R55" t="str">
        <f>"הזמנה פנימית"</f>
        <v>הזמנה פנימית</v>
      </c>
      <c r="S55" t="str">
        <f>"034"</f>
        <v>034</v>
      </c>
      <c r="T55" t="str">
        <f>"גנם הודיה"</f>
        <v>גנם הודיה</v>
      </c>
      <c r="U55">
        <v>0</v>
      </c>
      <c r="V55">
        <v>0</v>
      </c>
      <c r="W55">
        <v>0</v>
      </c>
      <c r="X55">
        <v>0</v>
      </c>
      <c r="Z55" t="str">
        <f>"Y"</f>
        <v>Y</v>
      </c>
      <c r="AA55">
        <v>0</v>
      </c>
      <c r="AC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t="str">
        <f>"$"</f>
        <v>$</v>
      </c>
    </row>
    <row r="56" spans="1:38" x14ac:dyDescent="0.3">
      <c r="A56" t="str">
        <f>"SO20000046"</f>
        <v>SO20000046</v>
      </c>
      <c r="B56" t="str">
        <f>"E000304544"</f>
        <v>E000304544</v>
      </c>
      <c r="C56" t="str">
        <f>"בוצעה"</f>
        <v>בוצעה</v>
      </c>
      <c r="E56" s="3">
        <v>43864</v>
      </c>
      <c r="F56" s="3">
        <v>43946</v>
      </c>
      <c r="G56" t="str">
        <f>"700065"</f>
        <v>700065</v>
      </c>
      <c r="H56" t="str">
        <f>"אלתא מערכות בע""מ"</f>
        <v>אלתא מערכות בע"מ</v>
      </c>
      <c r="I56" t="str">
        <f>"ערן שלו"</f>
        <v>ערן שלו</v>
      </c>
      <c r="J56" t="str">
        <f>"OP-AR01611"</f>
        <v>OP-AR01611</v>
      </c>
      <c r="K56" s="1" t="str">
        <f>"נגדיים לכבל 2210B260-001"</f>
        <v>נגדיים לכבל 2210B260-001</v>
      </c>
      <c r="L56">
        <v>1</v>
      </c>
      <c r="M56" t="str">
        <f>"PR20000056"</f>
        <v>PR20000056</v>
      </c>
      <c r="N56" t="str">
        <f>"GHTP DTS CABLE ASSY W23"</f>
        <v>GHTP DTS CABLE ASSY W23</v>
      </c>
      <c r="O56">
        <v>250</v>
      </c>
      <c r="P56" t="str">
        <f>"$"</f>
        <v>$</v>
      </c>
      <c r="Q56" t="str">
        <f>"000"</f>
        <v>000</v>
      </c>
      <c r="R56" t="str">
        <f>"כללית"</f>
        <v>כללית</v>
      </c>
      <c r="S56" t="str">
        <f>"034"</f>
        <v>034</v>
      </c>
      <c r="T56" t="str">
        <f>"גנם הודיה"</f>
        <v>גנם הודיה</v>
      </c>
      <c r="U56">
        <v>0</v>
      </c>
      <c r="V56">
        <v>0</v>
      </c>
      <c r="W56">
        <v>250</v>
      </c>
      <c r="X56">
        <v>250</v>
      </c>
      <c r="Z56" t="str">
        <f>"Y"</f>
        <v>Y</v>
      </c>
      <c r="AA56">
        <v>1</v>
      </c>
      <c r="AC56">
        <v>0</v>
      </c>
      <c r="AE56">
        <v>0</v>
      </c>
      <c r="AF56">
        <v>0</v>
      </c>
      <c r="AG56">
        <v>861.5</v>
      </c>
      <c r="AH56">
        <v>0</v>
      </c>
      <c r="AI56">
        <v>861.5</v>
      </c>
      <c r="AJ56">
        <v>250</v>
      </c>
      <c r="AK56">
        <v>250</v>
      </c>
      <c r="AL56" t="str">
        <f>"$"</f>
        <v>$</v>
      </c>
    </row>
    <row r="57" spans="1:38" x14ac:dyDescent="0.3">
      <c r="A57" t="str">
        <f>"SO20000046"</f>
        <v>SO20000046</v>
      </c>
      <c r="B57" t="str">
        <f>"E000304544"</f>
        <v>E000304544</v>
      </c>
      <c r="C57" t="str">
        <f>"בוצעה"</f>
        <v>בוצעה</v>
      </c>
      <c r="E57" s="3">
        <v>43864</v>
      </c>
      <c r="F57" s="3">
        <v>43946</v>
      </c>
      <c r="G57" t="str">
        <f>"700065"</f>
        <v>700065</v>
      </c>
      <c r="H57" t="str">
        <f>"אלתא מערכות בע""מ"</f>
        <v>אלתא מערכות בע"מ</v>
      </c>
      <c r="I57" t="str">
        <f>"ערן שלו"</f>
        <v>ערן שלו</v>
      </c>
      <c r="J57" t="str">
        <f>"OP-AR01610"</f>
        <v>OP-AR01610</v>
      </c>
      <c r="K57" s="1" t="str">
        <f>"2210B260-001 GHTP DTS CABLE ASSY W23"</f>
        <v>2210B260-001 GHTP DTS CABLE ASSY W23</v>
      </c>
      <c r="L57">
        <v>1</v>
      </c>
      <c r="M57" t="str">
        <f>"PR20000056"</f>
        <v>PR20000056</v>
      </c>
      <c r="N57" t="str">
        <f>"GHTP DTS CABLE ASSY W23"</f>
        <v>GHTP DTS CABLE ASSY W23</v>
      </c>
      <c r="O57" s="2">
        <v>1242.1300000000001</v>
      </c>
      <c r="P57" t="str">
        <f>"$"</f>
        <v>$</v>
      </c>
      <c r="Q57" t="str">
        <f>"000"</f>
        <v>000</v>
      </c>
      <c r="R57" t="str">
        <f>"כללית"</f>
        <v>כללית</v>
      </c>
      <c r="S57" t="str">
        <f>"034"</f>
        <v>034</v>
      </c>
      <c r="T57" t="str">
        <f>"גנם הודיה"</f>
        <v>גנם הודיה</v>
      </c>
      <c r="U57">
        <v>0</v>
      </c>
      <c r="V57">
        <v>0</v>
      </c>
      <c r="W57" s="2">
        <v>1242.1300000000001</v>
      </c>
      <c r="X57" s="2">
        <v>1242.1300000000001</v>
      </c>
      <c r="Z57" t="str">
        <f>"Y"</f>
        <v>Y</v>
      </c>
      <c r="AA57">
        <v>0</v>
      </c>
      <c r="AC57">
        <v>0</v>
      </c>
      <c r="AE57">
        <v>0</v>
      </c>
      <c r="AF57">
        <v>0</v>
      </c>
      <c r="AG57" s="2">
        <v>4280.38</v>
      </c>
      <c r="AH57">
        <v>0</v>
      </c>
      <c r="AI57" s="2">
        <v>4280.38</v>
      </c>
      <c r="AJ57" s="2">
        <v>1242.1300000000001</v>
      </c>
      <c r="AK57" s="2">
        <v>1242.1300000000001</v>
      </c>
      <c r="AL57" t="str">
        <f>"$"</f>
        <v>$</v>
      </c>
    </row>
    <row r="58" spans="1:38" x14ac:dyDescent="0.3">
      <c r="A58" t="str">
        <f>"SO20000047"</f>
        <v>SO20000047</v>
      </c>
      <c r="B58" t="str">
        <f>"E000304282"</f>
        <v>E000304282</v>
      </c>
      <c r="C58" t="str">
        <f>"בוצעה"</f>
        <v>בוצעה</v>
      </c>
      <c r="E58" s="3">
        <v>43864</v>
      </c>
      <c r="F58" s="3">
        <v>43920</v>
      </c>
      <c r="G58" t="str">
        <f>"700065"</f>
        <v>700065</v>
      </c>
      <c r="H58" t="str">
        <f>"אלתא מערכות בע""מ"</f>
        <v>אלתא מערכות בע"מ</v>
      </c>
      <c r="I58" t="str">
        <f>"ערן שלו"</f>
        <v>ערן שלו</v>
      </c>
      <c r="J58" t="str">
        <f>"OP-AR01612"</f>
        <v>OP-AR01612</v>
      </c>
      <c r="K58" s="1" t="str">
        <f>"1024R212-001 W2-MPC ETH MAINT. CABLE"</f>
        <v>1024R212-001 W2-MPC ETH MAINT. CABLE</v>
      </c>
      <c r="L58">
        <v>3</v>
      </c>
      <c r="M58" t="str">
        <f>"PR20000055"</f>
        <v>PR20000055</v>
      </c>
      <c r="N58" t="str">
        <f>"MPC  CABLE"</f>
        <v>MPC  CABLE</v>
      </c>
      <c r="O58" s="2">
        <v>1136.3499999999999</v>
      </c>
      <c r="P58" t="str">
        <f>"$"</f>
        <v>$</v>
      </c>
      <c r="Q58" t="str">
        <f>"000"</f>
        <v>000</v>
      </c>
      <c r="R58" t="str">
        <f>"כללית"</f>
        <v>כללית</v>
      </c>
      <c r="S58" t="str">
        <f>"034"</f>
        <v>034</v>
      </c>
      <c r="T58" t="str">
        <f>"גנם הודיה"</f>
        <v>גנם הודיה</v>
      </c>
      <c r="U58">
        <v>0</v>
      </c>
      <c r="V58">
        <v>0</v>
      </c>
      <c r="W58" s="2">
        <v>1136.3499999999999</v>
      </c>
      <c r="X58" s="2">
        <v>3409.05</v>
      </c>
      <c r="Z58" t="str">
        <f>"Y"</f>
        <v>Y</v>
      </c>
      <c r="AA58">
        <v>0</v>
      </c>
      <c r="AC58">
        <v>0</v>
      </c>
      <c r="AE58">
        <v>0</v>
      </c>
      <c r="AF58">
        <v>0</v>
      </c>
      <c r="AG58" s="2">
        <v>3915.86</v>
      </c>
      <c r="AH58">
        <v>0</v>
      </c>
      <c r="AI58" s="2">
        <v>11747.59</v>
      </c>
      <c r="AJ58" s="2">
        <v>3409.05</v>
      </c>
      <c r="AK58" s="2">
        <v>3409.05</v>
      </c>
      <c r="AL58" t="str">
        <f>"$"</f>
        <v>$</v>
      </c>
    </row>
    <row r="59" spans="1:38" x14ac:dyDescent="0.3">
      <c r="A59" t="str">
        <f>"SO20000047"</f>
        <v>SO20000047</v>
      </c>
      <c r="B59" t="str">
        <f>"E000304282"</f>
        <v>E000304282</v>
      </c>
      <c r="C59" t="str">
        <f>"בוצעה"</f>
        <v>בוצעה</v>
      </c>
      <c r="E59" s="3">
        <v>43864</v>
      </c>
      <c r="F59" s="3">
        <v>43920</v>
      </c>
      <c r="G59" t="str">
        <f>"700065"</f>
        <v>700065</v>
      </c>
      <c r="H59" t="str">
        <f>"אלתא מערכות בע""מ"</f>
        <v>אלתא מערכות בע"מ</v>
      </c>
      <c r="I59" t="str">
        <f>"ערן שלו"</f>
        <v>ערן שלו</v>
      </c>
      <c r="J59" t="str">
        <f>"OP-AR01613"</f>
        <v>OP-AR01613</v>
      </c>
      <c r="K59" s="1" t="str">
        <f>"1030T810-001 W1- MPC OPERATION CABLE"</f>
        <v>1030T810-001 W1- MPC OPERATION CABLE</v>
      </c>
      <c r="L59">
        <v>3</v>
      </c>
      <c r="M59" t="str">
        <f>"PR20000055"</f>
        <v>PR20000055</v>
      </c>
      <c r="N59" t="str">
        <f>"MPC  CABLE"</f>
        <v>MPC  CABLE</v>
      </c>
      <c r="O59">
        <v>899.22</v>
      </c>
      <c r="P59" t="str">
        <f>"$"</f>
        <v>$</v>
      </c>
      <c r="Q59" t="str">
        <f>"000"</f>
        <v>000</v>
      </c>
      <c r="R59" t="str">
        <f>"כללית"</f>
        <v>כללית</v>
      </c>
      <c r="S59" t="str">
        <f>"034"</f>
        <v>034</v>
      </c>
      <c r="T59" t="str">
        <f>"גנם הודיה"</f>
        <v>גנם הודיה</v>
      </c>
      <c r="U59">
        <v>0</v>
      </c>
      <c r="V59">
        <v>0</v>
      </c>
      <c r="W59">
        <v>899.22</v>
      </c>
      <c r="X59" s="2">
        <v>2697.66</v>
      </c>
      <c r="Z59" t="str">
        <f>"Y"</f>
        <v>Y</v>
      </c>
      <c r="AA59">
        <v>0</v>
      </c>
      <c r="AC59">
        <v>0</v>
      </c>
      <c r="AE59">
        <v>0</v>
      </c>
      <c r="AF59">
        <v>0</v>
      </c>
      <c r="AG59" s="2">
        <v>3098.71</v>
      </c>
      <c r="AH59">
        <v>0</v>
      </c>
      <c r="AI59" s="2">
        <v>9296.14</v>
      </c>
      <c r="AJ59" s="2">
        <v>2697.66</v>
      </c>
      <c r="AK59" s="2">
        <v>2697.66</v>
      </c>
      <c r="AL59" t="str">
        <f>"$"</f>
        <v>$</v>
      </c>
    </row>
    <row r="60" spans="1:38" x14ac:dyDescent="0.3">
      <c r="A60" t="str">
        <f>"SO20000047"</f>
        <v>SO20000047</v>
      </c>
      <c r="B60" t="str">
        <f>"E000304282"</f>
        <v>E000304282</v>
      </c>
      <c r="C60" t="str">
        <f>"בוצעה"</f>
        <v>בוצעה</v>
      </c>
      <c r="E60" s="3">
        <v>43864</v>
      </c>
      <c r="F60" s="3">
        <v>43893</v>
      </c>
      <c r="G60" t="str">
        <f>"700065"</f>
        <v>700065</v>
      </c>
      <c r="H60" t="str">
        <f>"אלתא מערכות בע""מ"</f>
        <v>אלתא מערכות בע"מ</v>
      </c>
      <c r="I60" t="str">
        <f>"ערן שלו"</f>
        <v>ערן שלו</v>
      </c>
      <c r="J60" t="str">
        <f>"OP-AR01614"</f>
        <v>OP-AR01614</v>
      </c>
      <c r="K60" s="1" t="str">
        <f>"9008G215-001 MPC TEST CABLE"</f>
        <v>9008G215-001 MPC TEST CABLE</v>
      </c>
      <c r="L60">
        <v>3</v>
      </c>
      <c r="M60" t="str">
        <f>"PR20000055"</f>
        <v>PR20000055</v>
      </c>
      <c r="N60" t="str">
        <f>"MPC  CABLE"</f>
        <v>MPC  CABLE</v>
      </c>
      <c r="O60">
        <v>441.39</v>
      </c>
      <c r="P60" t="str">
        <f>"$"</f>
        <v>$</v>
      </c>
      <c r="Q60" t="str">
        <f>"000"</f>
        <v>000</v>
      </c>
      <c r="R60" t="str">
        <f>"כללית"</f>
        <v>כללית</v>
      </c>
      <c r="S60" t="str">
        <f>"034"</f>
        <v>034</v>
      </c>
      <c r="T60" t="str">
        <f>"גנם הודיה"</f>
        <v>גנם הודיה</v>
      </c>
      <c r="U60">
        <v>0</v>
      </c>
      <c r="V60">
        <v>0</v>
      </c>
      <c r="W60">
        <v>441.39</v>
      </c>
      <c r="X60" s="2">
        <v>1324.17</v>
      </c>
      <c r="Z60" t="str">
        <f>"Y"</f>
        <v>Y</v>
      </c>
      <c r="AA60">
        <v>0</v>
      </c>
      <c r="AC60">
        <v>0</v>
      </c>
      <c r="AE60">
        <v>0</v>
      </c>
      <c r="AF60">
        <v>0</v>
      </c>
      <c r="AG60" s="2">
        <v>1521.03</v>
      </c>
      <c r="AH60">
        <v>0</v>
      </c>
      <c r="AI60" s="2">
        <v>4563.09</v>
      </c>
      <c r="AJ60" s="2">
        <v>1324.17</v>
      </c>
      <c r="AK60" s="2">
        <v>1324.17</v>
      </c>
      <c r="AL60" t="str">
        <f>"$"</f>
        <v>$</v>
      </c>
    </row>
    <row r="61" spans="1:38" x14ac:dyDescent="0.3">
      <c r="A61" t="str">
        <f>"SO20000047"</f>
        <v>SO20000047</v>
      </c>
      <c r="B61" t="str">
        <f>"E000304282"</f>
        <v>E000304282</v>
      </c>
      <c r="C61" t="str">
        <f>"בוצעה"</f>
        <v>בוצעה</v>
      </c>
      <c r="E61" s="3">
        <v>43864</v>
      </c>
      <c r="F61" s="3">
        <v>43893</v>
      </c>
      <c r="G61" t="str">
        <f>"700065"</f>
        <v>700065</v>
      </c>
      <c r="H61" t="str">
        <f>"אלתא מערכות בע""מ"</f>
        <v>אלתא מערכות בע"מ</v>
      </c>
      <c r="I61" t="str">
        <f>"ערן שלו"</f>
        <v>ערן שלו</v>
      </c>
      <c r="J61" t="str">
        <f>"OP-AR01615"</f>
        <v>OP-AR01615</v>
      </c>
      <c r="K61" s="1" t="str">
        <f>"NRE FOR E000304282"</f>
        <v>NRE FOR E000304282</v>
      </c>
      <c r="L61">
        <v>1</v>
      </c>
      <c r="M61" t="str">
        <f>"PR20000055"</f>
        <v>PR20000055</v>
      </c>
      <c r="N61" t="str">
        <f>"MPC  CABLE"</f>
        <v>MPC  CABLE</v>
      </c>
      <c r="O61">
        <v>452</v>
      </c>
      <c r="P61" t="str">
        <f>"$"</f>
        <v>$</v>
      </c>
      <c r="Q61" t="str">
        <f>"000"</f>
        <v>000</v>
      </c>
      <c r="R61" t="str">
        <f>"כללית"</f>
        <v>כללית</v>
      </c>
      <c r="S61" t="str">
        <f>"034"</f>
        <v>034</v>
      </c>
      <c r="T61" t="str">
        <f>"גנם הודיה"</f>
        <v>גנם הודיה</v>
      </c>
      <c r="U61">
        <v>0</v>
      </c>
      <c r="V61">
        <v>0</v>
      </c>
      <c r="W61">
        <v>452</v>
      </c>
      <c r="X61">
        <v>452</v>
      </c>
      <c r="Z61" t="str">
        <f>"Y"</f>
        <v>Y</v>
      </c>
      <c r="AA61">
        <v>1</v>
      </c>
      <c r="AC61">
        <v>0</v>
      </c>
      <c r="AE61">
        <v>0</v>
      </c>
      <c r="AF61">
        <v>0</v>
      </c>
      <c r="AG61" s="2">
        <v>1557.59</v>
      </c>
      <c r="AH61">
        <v>0</v>
      </c>
      <c r="AI61" s="2">
        <v>1557.59</v>
      </c>
      <c r="AJ61">
        <v>452</v>
      </c>
      <c r="AK61">
        <v>452</v>
      </c>
      <c r="AL61" t="str">
        <f>"$"</f>
        <v>$</v>
      </c>
    </row>
    <row r="62" spans="1:38" x14ac:dyDescent="0.3">
      <c r="A62" t="str">
        <f>"SO20000048"</f>
        <v>SO20000048</v>
      </c>
      <c r="B62" t="str">
        <f>"E000304543"</f>
        <v>E000304543</v>
      </c>
      <c r="C62" t="str">
        <f>"בוצעה"</f>
        <v>בוצעה</v>
      </c>
      <c r="E62" s="3">
        <v>43864</v>
      </c>
      <c r="F62" s="3">
        <v>43997</v>
      </c>
      <c r="G62" t="str">
        <f>"700065"</f>
        <v>700065</v>
      </c>
      <c r="H62" t="str">
        <f>"אלתא מערכות בע""מ"</f>
        <v>אלתא מערכות בע"מ</v>
      </c>
      <c r="I62" t="str">
        <f>"ערן שלו"</f>
        <v>ערן שלו</v>
      </c>
      <c r="J62" t="str">
        <f>"OP-AR01609"</f>
        <v>OP-AR01609</v>
      </c>
      <c r="K62" s="1" t="str">
        <f>"1041G135-001 HARNESS W135-ANTENNA LIMIT SWITCHES"</f>
        <v>1041G135-001 HARNESS W135-ANTENNA LIMIT SWITCHES</v>
      </c>
      <c r="L62">
        <v>4</v>
      </c>
      <c r="M62" t="str">
        <f>"PR20000057"</f>
        <v>PR20000057</v>
      </c>
      <c r="N62" t="str">
        <f>"ANTENNA LIMIT SWITCHES"</f>
        <v>ANTENNA LIMIT SWITCHES</v>
      </c>
      <c r="O62" s="2">
        <v>1506.55</v>
      </c>
      <c r="P62" t="str">
        <f>"$"</f>
        <v>$</v>
      </c>
      <c r="Q62" t="str">
        <f>"000"</f>
        <v>000</v>
      </c>
      <c r="R62" t="str">
        <f>"כללית"</f>
        <v>כללית</v>
      </c>
      <c r="S62" t="str">
        <f>"034"</f>
        <v>034</v>
      </c>
      <c r="T62" t="str">
        <f>"גנם הודיה"</f>
        <v>גנם הודיה</v>
      </c>
      <c r="U62">
        <v>0</v>
      </c>
      <c r="V62">
        <v>0</v>
      </c>
      <c r="W62" s="2">
        <v>1506.55</v>
      </c>
      <c r="X62" s="2">
        <v>6026.2</v>
      </c>
      <c r="Z62" t="str">
        <f>"Y"</f>
        <v>Y</v>
      </c>
      <c r="AA62">
        <v>0</v>
      </c>
      <c r="AC62">
        <v>0</v>
      </c>
      <c r="AE62">
        <v>0</v>
      </c>
      <c r="AF62">
        <v>0</v>
      </c>
      <c r="AG62" s="2">
        <v>5191.57</v>
      </c>
      <c r="AH62">
        <v>0</v>
      </c>
      <c r="AI62" s="2">
        <v>20766.29</v>
      </c>
      <c r="AJ62" s="2">
        <v>6026.2</v>
      </c>
      <c r="AK62" s="2">
        <v>6026.2</v>
      </c>
      <c r="AL62" t="str">
        <f>"$"</f>
        <v>$</v>
      </c>
    </row>
    <row r="63" spans="1:38" x14ac:dyDescent="0.3">
      <c r="A63" t="str">
        <f>"SO20000058"</f>
        <v>SO20000058</v>
      </c>
      <c r="B63" t="str">
        <f>"E000304265"</f>
        <v>E000304265</v>
      </c>
      <c r="C63" t="str">
        <f>"בוצעה"</f>
        <v>בוצעה</v>
      </c>
      <c r="E63" s="3">
        <v>43866</v>
      </c>
      <c r="F63" s="3">
        <v>43891</v>
      </c>
      <c r="G63" t="str">
        <f>"700065"</f>
        <v>700065</v>
      </c>
      <c r="H63" t="str">
        <f>"אלתא מערכות בע""מ"</f>
        <v>אלתא מערכות בע"מ</v>
      </c>
      <c r="I63" t="str">
        <f>"ערן שלו"</f>
        <v>ערן שלו</v>
      </c>
      <c r="J63" t="str">
        <f>"000"</f>
        <v>000</v>
      </c>
      <c r="K63" s="1" t="str">
        <f>"בדיקת EMC לארון PDB09"</f>
        <v>בדיקת EMC לארון PDB09</v>
      </c>
      <c r="L63">
        <v>1</v>
      </c>
      <c r="M63" t="str">
        <f>"PR19000109"</f>
        <v>PR19000109</v>
      </c>
      <c r="N63" t="str">
        <f>"פרויקט ראשי ספינות- SO19000156"</f>
        <v>פרויקט ראשי ספינות- SO19000156</v>
      </c>
      <c r="O63" s="2">
        <v>23500</v>
      </c>
      <c r="P63" t="str">
        <f>"$"</f>
        <v>$</v>
      </c>
      <c r="Q63" t="str">
        <f>"000"</f>
        <v>000</v>
      </c>
      <c r="R63" t="str">
        <f>"כללית"</f>
        <v>כללית</v>
      </c>
      <c r="S63" t="str">
        <f>"034"</f>
        <v>034</v>
      </c>
      <c r="T63" t="str">
        <f>"גנם הודיה"</f>
        <v>גנם הודיה</v>
      </c>
      <c r="U63">
        <v>0</v>
      </c>
      <c r="V63">
        <v>0</v>
      </c>
      <c r="W63" s="2">
        <v>23500</v>
      </c>
      <c r="X63" s="2">
        <v>23500</v>
      </c>
      <c r="Z63" t="str">
        <f>"Y"</f>
        <v>Y</v>
      </c>
      <c r="AA63">
        <v>0</v>
      </c>
      <c r="AC63">
        <v>0</v>
      </c>
      <c r="AE63">
        <v>0</v>
      </c>
      <c r="AF63">
        <v>0</v>
      </c>
      <c r="AG63" s="2">
        <v>77221</v>
      </c>
      <c r="AH63">
        <v>0</v>
      </c>
      <c r="AI63" s="2">
        <v>77221</v>
      </c>
      <c r="AJ63" s="2">
        <v>23500</v>
      </c>
      <c r="AK63" s="2">
        <v>23500</v>
      </c>
      <c r="AL63" t="str">
        <f>"$"</f>
        <v>$</v>
      </c>
    </row>
    <row r="64" spans="1:38" x14ac:dyDescent="0.3">
      <c r="A64" t="str">
        <f>"SO20000058"</f>
        <v>SO20000058</v>
      </c>
      <c r="B64" t="str">
        <f>"E000304265"</f>
        <v>E000304265</v>
      </c>
      <c r="C64" t="str">
        <f>"בוצעה"</f>
        <v>בוצעה</v>
      </c>
      <c r="E64" s="3">
        <v>43866</v>
      </c>
      <c r="F64" s="3">
        <v>43891</v>
      </c>
      <c r="G64" t="str">
        <f>"700065"</f>
        <v>700065</v>
      </c>
      <c r="H64" t="str">
        <f>"אלתא מערכות בע""מ"</f>
        <v>אלתא מערכות בע"מ</v>
      </c>
      <c r="I64" t="str">
        <f>"ערן שלו"</f>
        <v>ערן שלו</v>
      </c>
      <c r="J64" t="str">
        <f>"000"</f>
        <v>000</v>
      </c>
      <c r="K64" s="1" t="str">
        <f>"הקמת מערך בדיקת במעבדת חרמון"</f>
        <v>הקמת מערך בדיקת במעבדת חרמון</v>
      </c>
      <c r="L64">
        <v>1</v>
      </c>
      <c r="M64" t="str">
        <f>"PR19000109"</f>
        <v>PR19000109</v>
      </c>
      <c r="N64" t="str">
        <f>"פרויקט ראשי ספינות- SO19000156"</f>
        <v>פרויקט ראשי ספינות- SO19000156</v>
      </c>
      <c r="O64" s="2">
        <v>6600</v>
      </c>
      <c r="P64" t="str">
        <f>"$"</f>
        <v>$</v>
      </c>
      <c r="Q64" t="str">
        <f>"000"</f>
        <v>000</v>
      </c>
      <c r="R64" t="str">
        <f>"כללית"</f>
        <v>כללית</v>
      </c>
      <c r="S64" t="str">
        <f>"034"</f>
        <v>034</v>
      </c>
      <c r="T64" t="str">
        <f>"גנם הודיה"</f>
        <v>גנם הודיה</v>
      </c>
      <c r="U64">
        <v>0</v>
      </c>
      <c r="V64">
        <v>0</v>
      </c>
      <c r="W64" s="2">
        <v>6600</v>
      </c>
      <c r="X64" s="2">
        <v>6600</v>
      </c>
      <c r="Z64" t="str">
        <f>"Y"</f>
        <v>Y</v>
      </c>
      <c r="AA64">
        <v>0</v>
      </c>
      <c r="AC64">
        <v>0</v>
      </c>
      <c r="AE64">
        <v>0</v>
      </c>
      <c r="AF64">
        <v>0</v>
      </c>
      <c r="AG64" s="2">
        <v>21687.599999999999</v>
      </c>
      <c r="AH64">
        <v>0</v>
      </c>
      <c r="AI64" s="2">
        <v>21687.599999999999</v>
      </c>
      <c r="AJ64" s="2">
        <v>6600</v>
      </c>
      <c r="AK64" s="2">
        <v>6600</v>
      </c>
      <c r="AL64" t="str">
        <f>"$"</f>
        <v>$</v>
      </c>
    </row>
    <row r="65" spans="1:38" x14ac:dyDescent="0.3">
      <c r="A65" t="str">
        <f>"SO20000058"</f>
        <v>SO20000058</v>
      </c>
      <c r="B65" t="str">
        <f>"E000304265"</f>
        <v>E000304265</v>
      </c>
      <c r="C65" t="str">
        <f>"בוצעה"</f>
        <v>בוצעה</v>
      </c>
      <c r="E65" s="3">
        <v>43866</v>
      </c>
      <c r="F65" s="3">
        <v>43891</v>
      </c>
      <c r="G65" t="str">
        <f>"700065"</f>
        <v>700065</v>
      </c>
      <c r="H65" t="str">
        <f>"אלתא מערכות בע""מ"</f>
        <v>אלתא מערכות בע"מ</v>
      </c>
      <c r="I65" t="str">
        <f>"ערן שלו"</f>
        <v>ערן שלו</v>
      </c>
      <c r="J65" t="str">
        <f>"000"</f>
        <v>000</v>
      </c>
      <c r="K65" s="1" t="str">
        <f>"ליווי מהנדס במהלך הבדיקות במעבדה"</f>
        <v>ליווי מהנדס במהלך הבדיקות במעבדה</v>
      </c>
      <c r="L65">
        <v>1</v>
      </c>
      <c r="M65" t="str">
        <f>"PR19000109"</f>
        <v>PR19000109</v>
      </c>
      <c r="N65" t="str">
        <f>"פרויקט ראשי ספינות- SO19000156"</f>
        <v>פרויקט ראשי ספינות- SO19000156</v>
      </c>
      <c r="O65" s="2">
        <v>8600</v>
      </c>
      <c r="P65" t="str">
        <f>"$"</f>
        <v>$</v>
      </c>
      <c r="Q65" t="str">
        <f>"000"</f>
        <v>000</v>
      </c>
      <c r="R65" t="str">
        <f>"כללית"</f>
        <v>כללית</v>
      </c>
      <c r="S65" t="str">
        <f>"034"</f>
        <v>034</v>
      </c>
      <c r="T65" t="str">
        <f>"גנם הודיה"</f>
        <v>גנם הודיה</v>
      </c>
      <c r="U65">
        <v>0</v>
      </c>
      <c r="V65">
        <v>0</v>
      </c>
      <c r="W65" s="2">
        <v>8600</v>
      </c>
      <c r="X65" s="2">
        <v>8600</v>
      </c>
      <c r="Z65" t="str">
        <f>"Y"</f>
        <v>Y</v>
      </c>
      <c r="AA65">
        <v>0</v>
      </c>
      <c r="AC65">
        <v>0</v>
      </c>
      <c r="AE65">
        <v>0</v>
      </c>
      <c r="AF65">
        <v>0</v>
      </c>
      <c r="AG65" s="2">
        <v>28259.599999999999</v>
      </c>
      <c r="AH65">
        <v>0</v>
      </c>
      <c r="AI65" s="2">
        <v>28259.599999999999</v>
      </c>
      <c r="AJ65" s="2">
        <v>8600</v>
      </c>
      <c r="AK65" s="2">
        <v>8600</v>
      </c>
      <c r="AL65" t="str">
        <f>"$"</f>
        <v>$</v>
      </c>
    </row>
    <row r="66" spans="1:38" x14ac:dyDescent="0.3">
      <c r="A66" t="str">
        <f>"SO20000058"</f>
        <v>SO20000058</v>
      </c>
      <c r="B66" t="str">
        <f>"E000304265"</f>
        <v>E000304265</v>
      </c>
      <c r="C66" t="str">
        <f>"בוצעה"</f>
        <v>בוצעה</v>
      </c>
      <c r="E66" s="3">
        <v>43866</v>
      </c>
      <c r="F66" s="3">
        <v>43891</v>
      </c>
      <c r="G66" t="str">
        <f>"700065"</f>
        <v>700065</v>
      </c>
      <c r="H66" t="str">
        <f>"אלתא מערכות בע""מ"</f>
        <v>אלתא מערכות בע"מ</v>
      </c>
      <c r="I66" t="str">
        <f>"ערן שלו"</f>
        <v>ערן שלו</v>
      </c>
      <c r="J66" t="str">
        <f>"000"</f>
        <v>000</v>
      </c>
      <c r="K66" s="1" t="str">
        <f>"דוח ניסוי"</f>
        <v>דוח ניסוי</v>
      </c>
      <c r="L66">
        <v>1</v>
      </c>
      <c r="M66" t="str">
        <f>"PR19000109"</f>
        <v>PR19000109</v>
      </c>
      <c r="N66" t="str">
        <f>"פרויקט ראשי ספינות- SO19000156"</f>
        <v>פרויקט ראשי ספינות- SO19000156</v>
      </c>
      <c r="O66" s="2">
        <v>3200</v>
      </c>
      <c r="P66" t="str">
        <f>"$"</f>
        <v>$</v>
      </c>
      <c r="Q66" t="str">
        <f>"000"</f>
        <v>000</v>
      </c>
      <c r="R66" t="str">
        <f>"כללית"</f>
        <v>כללית</v>
      </c>
      <c r="S66" t="str">
        <f>"034"</f>
        <v>034</v>
      </c>
      <c r="T66" t="str">
        <f>"גנם הודיה"</f>
        <v>גנם הודיה</v>
      </c>
      <c r="U66">
        <v>0</v>
      </c>
      <c r="V66">
        <v>0</v>
      </c>
      <c r="W66" s="2">
        <v>3200</v>
      </c>
      <c r="X66" s="2">
        <v>3200</v>
      </c>
      <c r="Z66" t="str">
        <f>"Y"</f>
        <v>Y</v>
      </c>
      <c r="AA66">
        <v>0</v>
      </c>
      <c r="AC66">
        <v>0</v>
      </c>
      <c r="AE66">
        <v>0</v>
      </c>
      <c r="AF66">
        <v>0</v>
      </c>
      <c r="AG66" s="2">
        <v>10515.2</v>
      </c>
      <c r="AH66">
        <v>0</v>
      </c>
      <c r="AI66" s="2">
        <v>10515.2</v>
      </c>
      <c r="AJ66" s="2">
        <v>3200</v>
      </c>
      <c r="AK66" s="2">
        <v>3200</v>
      </c>
      <c r="AL66" t="str">
        <f>"$"</f>
        <v>$</v>
      </c>
    </row>
    <row r="67" spans="1:38" x14ac:dyDescent="0.3">
      <c r="A67" t="str">
        <f>"SO20000062"</f>
        <v>SO20000062</v>
      </c>
      <c r="B67" t="str">
        <f>"E000305063"</f>
        <v>E000305063</v>
      </c>
      <c r="C67" t="str">
        <f>"בוצעה"</f>
        <v>בוצעה</v>
      </c>
      <c r="E67" s="3">
        <v>43870</v>
      </c>
      <c r="F67" s="3">
        <v>44195</v>
      </c>
      <c r="G67" t="str">
        <f>"700065"</f>
        <v>700065</v>
      </c>
      <c r="H67" t="str">
        <f>"אלתא מערכות בע""מ"</f>
        <v>אלתא מערכות בע"מ</v>
      </c>
      <c r="I67" t="str">
        <f>"ערן שלו"</f>
        <v>ערן שלו</v>
      </c>
      <c r="J67" t="str">
        <f>"OP-AR01616"</f>
        <v>OP-AR01616</v>
      </c>
      <c r="K67" s="1" t="str">
        <f>"1041G103-001 W103 - PWR 220 ANT FRAME TO PS1"</f>
        <v>1041G103-001 W103 - PWR 220 ANT FRAME TO PS1</v>
      </c>
      <c r="L67">
        <v>1</v>
      </c>
      <c r="M67" t="str">
        <f>"PR20000066"</f>
        <v>PR20000066</v>
      </c>
      <c r="N67" t="str">
        <f>"1041G  HARNES"</f>
        <v>1041G  HARNES</v>
      </c>
      <c r="O67">
        <v>635.87</v>
      </c>
      <c r="P67" t="str">
        <f>"$"</f>
        <v>$</v>
      </c>
      <c r="Q67" t="str">
        <f>"117"</f>
        <v>117</v>
      </c>
      <c r="R67" t="str">
        <f>"רתמות"</f>
        <v>רתמות</v>
      </c>
      <c r="S67" t="str">
        <f>"034"</f>
        <v>034</v>
      </c>
      <c r="T67" t="str">
        <f>"גנם הודיה"</f>
        <v>גנם הודיה</v>
      </c>
      <c r="U67">
        <v>0</v>
      </c>
      <c r="V67">
        <v>0</v>
      </c>
      <c r="W67">
        <v>635.87</v>
      </c>
      <c r="X67">
        <v>635.87</v>
      </c>
      <c r="Z67" t="str">
        <f>"Y"</f>
        <v>Y</v>
      </c>
      <c r="AA67">
        <v>0</v>
      </c>
      <c r="AC67">
        <v>0</v>
      </c>
      <c r="AE67">
        <v>0</v>
      </c>
      <c r="AF67">
        <v>0</v>
      </c>
      <c r="AG67" s="2">
        <v>2072.3000000000002</v>
      </c>
      <c r="AH67">
        <v>0</v>
      </c>
      <c r="AI67" s="2">
        <v>2072.3000000000002</v>
      </c>
      <c r="AJ67">
        <v>635.87</v>
      </c>
      <c r="AK67">
        <v>635.87</v>
      </c>
      <c r="AL67" t="str">
        <f>"$"</f>
        <v>$</v>
      </c>
    </row>
    <row r="68" spans="1:38" x14ac:dyDescent="0.3">
      <c r="A68" t="str">
        <f>"SO20000062"</f>
        <v>SO20000062</v>
      </c>
      <c r="B68" t="str">
        <f>"E000305063"</f>
        <v>E000305063</v>
      </c>
      <c r="C68" t="str">
        <f>"בוצעה"</f>
        <v>בוצעה</v>
      </c>
      <c r="E68" s="3">
        <v>43870</v>
      </c>
      <c r="F68" s="3">
        <v>44195</v>
      </c>
      <c r="G68" t="str">
        <f>"700065"</f>
        <v>700065</v>
      </c>
      <c r="H68" t="str">
        <f>"אלתא מערכות בע""מ"</f>
        <v>אלתא מערכות בע"מ</v>
      </c>
      <c r="I68" t="str">
        <f>"ערן שלו"</f>
        <v>ערן שלו</v>
      </c>
      <c r="J68" t="str">
        <f>"OP-AR01627"</f>
        <v>OP-AR01627</v>
      </c>
      <c r="K68" s="1" t="str">
        <f>"1041G103-001 W103-PWR 220 ANT FRAME TO PS1-cust"</f>
        <v>1041G103-001 W103-PWR 220 ANT FRAME TO PS1-cust</v>
      </c>
      <c r="L68">
        <v>2</v>
      </c>
      <c r="M68" t="str">
        <f>"PR20000066"</f>
        <v>PR20000066</v>
      </c>
      <c r="N68" t="str">
        <f>"1041G  HARNES"</f>
        <v>1041G  HARNES</v>
      </c>
      <c r="O68">
        <v>185.92</v>
      </c>
      <c r="P68" t="str">
        <f>"$"</f>
        <v>$</v>
      </c>
      <c r="Q68" t="str">
        <f>"117"</f>
        <v>117</v>
      </c>
      <c r="R68" t="str">
        <f>"רתמות"</f>
        <v>רתמות</v>
      </c>
      <c r="S68" t="str">
        <f>"034"</f>
        <v>034</v>
      </c>
      <c r="T68" t="str">
        <f>"גנם הודיה"</f>
        <v>גנם הודיה</v>
      </c>
      <c r="U68">
        <v>0</v>
      </c>
      <c r="V68">
        <v>0</v>
      </c>
      <c r="W68">
        <v>185.92</v>
      </c>
      <c r="X68">
        <v>371.84</v>
      </c>
      <c r="Z68" t="str">
        <f>"Y"</f>
        <v>Y</v>
      </c>
      <c r="AA68">
        <v>0</v>
      </c>
      <c r="AC68">
        <v>0</v>
      </c>
      <c r="AE68">
        <v>0</v>
      </c>
      <c r="AF68">
        <v>0</v>
      </c>
      <c r="AG68">
        <v>605.91</v>
      </c>
      <c r="AH68">
        <v>0</v>
      </c>
      <c r="AI68" s="2">
        <v>1211.83</v>
      </c>
      <c r="AJ68">
        <v>371.84</v>
      </c>
      <c r="AK68">
        <v>371.84</v>
      </c>
      <c r="AL68" t="str">
        <f>"$"</f>
        <v>$</v>
      </c>
    </row>
    <row r="69" spans="1:38" x14ac:dyDescent="0.3">
      <c r="A69" t="str">
        <f>"SO20000062"</f>
        <v>SO20000062</v>
      </c>
      <c r="B69" t="str">
        <f>"E000305063"</f>
        <v>E000305063</v>
      </c>
      <c r="C69" t="str">
        <f>"בוצעה"</f>
        <v>בוצעה</v>
      </c>
      <c r="E69" s="3">
        <v>43870</v>
      </c>
      <c r="F69" s="3">
        <v>44195</v>
      </c>
      <c r="G69" t="str">
        <f>"700065"</f>
        <v>700065</v>
      </c>
      <c r="H69" t="str">
        <f>"אלתא מערכות בע""מ"</f>
        <v>אלתא מערכות בע"מ</v>
      </c>
      <c r="I69" t="str">
        <f>"ערן שלו"</f>
        <v>ערן שלו</v>
      </c>
      <c r="J69" t="str">
        <f>"OP-AR01617"</f>
        <v>OP-AR01617</v>
      </c>
      <c r="K69" s="1" t="str">
        <f>"1041G104-001 W104 - PWR 220 ANT FRAME TO PS2"</f>
        <v>1041G104-001 W104 - PWR 220 ANT FRAME TO PS2</v>
      </c>
      <c r="L69">
        <v>1</v>
      </c>
      <c r="M69" t="str">
        <f>"PR20000066"</f>
        <v>PR20000066</v>
      </c>
      <c r="N69" t="str">
        <f>"1041G  HARNES"</f>
        <v>1041G  HARNES</v>
      </c>
      <c r="O69">
        <v>635.87</v>
      </c>
      <c r="P69" t="str">
        <f>"$"</f>
        <v>$</v>
      </c>
      <c r="Q69" t="str">
        <f>"117"</f>
        <v>117</v>
      </c>
      <c r="R69" t="str">
        <f>"רתמות"</f>
        <v>רתמות</v>
      </c>
      <c r="S69" t="str">
        <f>"034"</f>
        <v>034</v>
      </c>
      <c r="T69" t="str">
        <f>"גנם הודיה"</f>
        <v>גנם הודיה</v>
      </c>
      <c r="U69">
        <v>0</v>
      </c>
      <c r="V69">
        <v>0</v>
      </c>
      <c r="W69">
        <v>635.87</v>
      </c>
      <c r="X69">
        <v>635.87</v>
      </c>
      <c r="Z69" t="str">
        <f>"Y"</f>
        <v>Y</v>
      </c>
      <c r="AA69">
        <v>0</v>
      </c>
      <c r="AC69">
        <v>0</v>
      </c>
      <c r="AE69">
        <v>0</v>
      </c>
      <c r="AF69">
        <v>0</v>
      </c>
      <c r="AG69" s="2">
        <v>2072.3000000000002</v>
      </c>
      <c r="AH69">
        <v>0</v>
      </c>
      <c r="AI69" s="2">
        <v>2072.3000000000002</v>
      </c>
      <c r="AJ69">
        <v>635.87</v>
      </c>
      <c r="AK69">
        <v>635.87</v>
      </c>
      <c r="AL69" t="str">
        <f>"$"</f>
        <v>$</v>
      </c>
    </row>
    <row r="70" spans="1:38" x14ac:dyDescent="0.3">
      <c r="A70" t="str">
        <f>"SO20000062"</f>
        <v>SO20000062</v>
      </c>
      <c r="B70" t="str">
        <f>"E000305063"</f>
        <v>E000305063</v>
      </c>
      <c r="C70" t="str">
        <f>"בוצעה"</f>
        <v>בוצעה</v>
      </c>
      <c r="E70" s="3">
        <v>43870</v>
      </c>
      <c r="F70" s="3">
        <v>44195</v>
      </c>
      <c r="G70" t="str">
        <f>"700065"</f>
        <v>700065</v>
      </c>
      <c r="H70" t="str">
        <f>"אלתא מערכות בע""מ"</f>
        <v>אלתא מערכות בע"מ</v>
      </c>
      <c r="I70" t="str">
        <f>"ערן שלו"</f>
        <v>ערן שלו</v>
      </c>
      <c r="J70" t="str">
        <f>"OP-AR01628"</f>
        <v>OP-AR01628</v>
      </c>
      <c r="K70" s="1" t="str">
        <f>"1041G104-001 W104-PWR 220 ANT FRAME TO PS2-cust"</f>
        <v>1041G104-001 W104-PWR 220 ANT FRAME TO PS2-cust</v>
      </c>
      <c r="L70">
        <v>2</v>
      </c>
      <c r="M70" t="str">
        <f>"PR20000066"</f>
        <v>PR20000066</v>
      </c>
      <c r="N70" t="str">
        <f>"1041G  HARNES"</f>
        <v>1041G  HARNES</v>
      </c>
      <c r="O70">
        <v>185.92</v>
      </c>
      <c r="P70" t="str">
        <f>"$"</f>
        <v>$</v>
      </c>
      <c r="Q70" t="str">
        <f>"117"</f>
        <v>117</v>
      </c>
      <c r="R70" t="str">
        <f>"רתמות"</f>
        <v>רתמות</v>
      </c>
      <c r="S70" t="str">
        <f>"034"</f>
        <v>034</v>
      </c>
      <c r="T70" t="str">
        <f>"גנם הודיה"</f>
        <v>גנם הודיה</v>
      </c>
      <c r="U70">
        <v>0</v>
      </c>
      <c r="V70">
        <v>0</v>
      </c>
      <c r="W70">
        <v>185.92</v>
      </c>
      <c r="X70">
        <v>371.84</v>
      </c>
      <c r="Z70" t="str">
        <f>"Y"</f>
        <v>Y</v>
      </c>
      <c r="AA70">
        <v>0</v>
      </c>
      <c r="AC70">
        <v>0</v>
      </c>
      <c r="AE70">
        <v>0</v>
      </c>
      <c r="AF70">
        <v>0</v>
      </c>
      <c r="AG70">
        <v>605.91</v>
      </c>
      <c r="AH70">
        <v>0</v>
      </c>
      <c r="AI70" s="2">
        <v>1211.83</v>
      </c>
      <c r="AJ70">
        <v>371.84</v>
      </c>
      <c r="AK70">
        <v>371.84</v>
      </c>
      <c r="AL70" t="str">
        <f>"$"</f>
        <v>$</v>
      </c>
    </row>
    <row r="71" spans="1:38" x14ac:dyDescent="0.3">
      <c r="A71" t="str">
        <f>"SO20000062"</f>
        <v>SO20000062</v>
      </c>
      <c r="B71" t="str">
        <f>"E000305063"</f>
        <v>E000305063</v>
      </c>
      <c r="C71" t="str">
        <f>"בוצעה"</f>
        <v>בוצעה</v>
      </c>
      <c r="E71" s="3">
        <v>43870</v>
      </c>
      <c r="F71" s="3">
        <v>44195</v>
      </c>
      <c r="G71" t="str">
        <f>"700065"</f>
        <v>700065</v>
      </c>
      <c r="H71" t="str">
        <f>"אלתא מערכות בע""מ"</f>
        <v>אלתא מערכות בע"מ</v>
      </c>
      <c r="I71" t="str">
        <f>"ערן שלו"</f>
        <v>ערן שלו</v>
      </c>
      <c r="J71" t="str">
        <f>"OP-AR01618"</f>
        <v>OP-AR01618</v>
      </c>
      <c r="K71" s="1" t="str">
        <f>"1041G111-001 W111 - ANT LH SIDE FSC 30V PWR"</f>
        <v>1041G111-001 W111 - ANT LH SIDE FSC 30V PWR</v>
      </c>
      <c r="L71">
        <v>1</v>
      </c>
      <c r="M71" t="str">
        <f>"PR20000066"</f>
        <v>PR20000066</v>
      </c>
      <c r="N71" t="str">
        <f>"1041G  HARNES"</f>
        <v>1041G  HARNES</v>
      </c>
      <c r="O71" s="2">
        <v>2968.81</v>
      </c>
      <c r="P71" t="str">
        <f>"$"</f>
        <v>$</v>
      </c>
      <c r="Q71" t="str">
        <f>"117"</f>
        <v>117</v>
      </c>
      <c r="R71" t="str">
        <f>"רתמות"</f>
        <v>רתמות</v>
      </c>
      <c r="S71" t="str">
        <f>"034"</f>
        <v>034</v>
      </c>
      <c r="T71" t="str">
        <f>"גנם הודיה"</f>
        <v>גנם הודיה</v>
      </c>
      <c r="U71">
        <v>0</v>
      </c>
      <c r="V71">
        <v>0</v>
      </c>
      <c r="W71" s="2">
        <v>2968.81</v>
      </c>
      <c r="X71" s="2">
        <v>2968.81</v>
      </c>
      <c r="Z71" t="str">
        <f>"Y"</f>
        <v>Y</v>
      </c>
      <c r="AA71">
        <v>0</v>
      </c>
      <c r="AC71">
        <v>0</v>
      </c>
      <c r="AE71">
        <v>0</v>
      </c>
      <c r="AF71">
        <v>0</v>
      </c>
      <c r="AG71" s="2">
        <v>9675.35</v>
      </c>
      <c r="AH71">
        <v>0</v>
      </c>
      <c r="AI71" s="2">
        <v>9675.35</v>
      </c>
      <c r="AJ71" s="2">
        <v>2968.81</v>
      </c>
      <c r="AK71" s="2">
        <v>2968.81</v>
      </c>
      <c r="AL71" t="str">
        <f>"$"</f>
        <v>$</v>
      </c>
    </row>
    <row r="72" spans="1:38" x14ac:dyDescent="0.3">
      <c r="A72" t="str">
        <f>"SO20000062"</f>
        <v>SO20000062</v>
      </c>
      <c r="B72" t="str">
        <f>"E000305063"</f>
        <v>E000305063</v>
      </c>
      <c r="C72" t="str">
        <f>"בוצעה"</f>
        <v>בוצעה</v>
      </c>
      <c r="E72" s="3">
        <v>43870</v>
      </c>
      <c r="F72" s="3">
        <v>44195</v>
      </c>
      <c r="G72" t="str">
        <f>"700065"</f>
        <v>700065</v>
      </c>
      <c r="H72" t="str">
        <f>"אלתא מערכות בע""מ"</f>
        <v>אלתא מערכות בע"מ</v>
      </c>
      <c r="I72" t="str">
        <f>"ערן שלו"</f>
        <v>ערן שלו</v>
      </c>
      <c r="J72" t="str">
        <f>"OP-AR01629"</f>
        <v>OP-AR01629</v>
      </c>
      <c r="K72" s="1" t="str">
        <f>"1041G111-001 W111-ANT LH SIDE FSC 30V PWR-cust"</f>
        <v>1041G111-001 W111-ANT LH SIDE FSC 30V PWR-cust</v>
      </c>
      <c r="L72">
        <v>2</v>
      </c>
      <c r="M72" t="str">
        <f>"PR20000066"</f>
        <v>PR20000066</v>
      </c>
      <c r="N72" t="str">
        <f>"1041G  HARNES"</f>
        <v>1041G  HARNES</v>
      </c>
      <c r="O72" s="2">
        <v>1564.01</v>
      </c>
      <c r="P72" t="str">
        <f>"$"</f>
        <v>$</v>
      </c>
      <c r="Q72" t="str">
        <f>"117"</f>
        <v>117</v>
      </c>
      <c r="R72" t="str">
        <f>"רתמות"</f>
        <v>רתמות</v>
      </c>
      <c r="S72" t="str">
        <f>"034"</f>
        <v>034</v>
      </c>
      <c r="T72" t="str">
        <f>"גנם הודיה"</f>
        <v>גנם הודיה</v>
      </c>
      <c r="U72">
        <v>0</v>
      </c>
      <c r="V72">
        <v>0</v>
      </c>
      <c r="W72" s="2">
        <v>1564.01</v>
      </c>
      <c r="X72" s="2">
        <v>3128.02</v>
      </c>
      <c r="Z72" t="str">
        <f>"Y"</f>
        <v>Y</v>
      </c>
      <c r="AA72">
        <v>0</v>
      </c>
      <c r="AC72">
        <v>0</v>
      </c>
      <c r="AE72">
        <v>0</v>
      </c>
      <c r="AF72">
        <v>0</v>
      </c>
      <c r="AG72" s="2">
        <v>5097.1099999999997</v>
      </c>
      <c r="AH72">
        <v>0</v>
      </c>
      <c r="AI72" s="2">
        <v>10194.219999999999</v>
      </c>
      <c r="AJ72" s="2">
        <v>3128.02</v>
      </c>
      <c r="AK72" s="2">
        <v>3128.02</v>
      </c>
      <c r="AL72" t="str">
        <f>"$"</f>
        <v>$</v>
      </c>
    </row>
    <row r="73" spans="1:38" x14ac:dyDescent="0.3">
      <c r="A73" t="str">
        <f>"SO20000062"</f>
        <v>SO20000062</v>
      </c>
      <c r="B73" t="str">
        <f>"E000305063"</f>
        <v>E000305063</v>
      </c>
      <c r="C73" t="str">
        <f>"בוצעה"</f>
        <v>בוצעה</v>
      </c>
      <c r="E73" s="3">
        <v>43870</v>
      </c>
      <c r="F73" s="3">
        <v>44195</v>
      </c>
      <c r="G73" t="str">
        <f>"700065"</f>
        <v>700065</v>
      </c>
      <c r="H73" t="str">
        <f>"אלתא מערכות בע""מ"</f>
        <v>אלתא מערכות בע"מ</v>
      </c>
      <c r="I73" t="str">
        <f>"ערן שלו"</f>
        <v>ערן שלו</v>
      </c>
      <c r="J73" t="str">
        <f>"OP-AR01619"</f>
        <v>OP-AR01619</v>
      </c>
      <c r="K73" s="1" t="str">
        <f>"1041G112-001 W112 - ANT RH SIDE FSC 30V PWR"</f>
        <v>1041G112-001 W112 - ANT RH SIDE FSC 30V PWR</v>
      </c>
      <c r="L73">
        <v>1</v>
      </c>
      <c r="M73" t="str">
        <f>"PR20000066"</f>
        <v>PR20000066</v>
      </c>
      <c r="N73" t="str">
        <f>"1041G  HARNES"</f>
        <v>1041G  HARNES</v>
      </c>
      <c r="O73" s="2">
        <v>2993.68</v>
      </c>
      <c r="P73" t="str">
        <f>"$"</f>
        <v>$</v>
      </c>
      <c r="Q73" t="str">
        <f>"117"</f>
        <v>117</v>
      </c>
      <c r="R73" t="str">
        <f>"רתמות"</f>
        <v>רתמות</v>
      </c>
      <c r="S73" t="str">
        <f>"034"</f>
        <v>034</v>
      </c>
      <c r="T73" t="str">
        <f>"גנם הודיה"</f>
        <v>גנם הודיה</v>
      </c>
      <c r="U73">
        <v>0</v>
      </c>
      <c r="V73">
        <v>0</v>
      </c>
      <c r="W73" s="2">
        <v>2993.68</v>
      </c>
      <c r="X73" s="2">
        <v>2993.68</v>
      </c>
      <c r="Z73" t="str">
        <f>"Y"</f>
        <v>Y</v>
      </c>
      <c r="AA73">
        <v>0</v>
      </c>
      <c r="AC73">
        <v>0</v>
      </c>
      <c r="AE73">
        <v>0</v>
      </c>
      <c r="AF73">
        <v>0</v>
      </c>
      <c r="AG73" s="2">
        <v>9756.4</v>
      </c>
      <c r="AH73">
        <v>0</v>
      </c>
      <c r="AI73" s="2">
        <v>9756.4</v>
      </c>
      <c r="AJ73" s="2">
        <v>2993.68</v>
      </c>
      <c r="AK73" s="2">
        <v>2993.68</v>
      </c>
      <c r="AL73" t="str">
        <f>"$"</f>
        <v>$</v>
      </c>
    </row>
    <row r="74" spans="1:38" x14ac:dyDescent="0.3">
      <c r="A74" t="str">
        <f>"SO20000062"</f>
        <v>SO20000062</v>
      </c>
      <c r="B74" t="str">
        <f>"E000305063"</f>
        <v>E000305063</v>
      </c>
      <c r="C74" t="str">
        <f>"בוצעה"</f>
        <v>בוצעה</v>
      </c>
      <c r="E74" s="3">
        <v>43870</v>
      </c>
      <c r="F74" s="3">
        <v>44195</v>
      </c>
      <c r="G74" t="str">
        <f>"700065"</f>
        <v>700065</v>
      </c>
      <c r="H74" t="str">
        <f>"אלתא מערכות בע""מ"</f>
        <v>אלתא מערכות בע"מ</v>
      </c>
      <c r="I74" t="str">
        <f>"ערן שלו"</f>
        <v>ערן שלו</v>
      </c>
      <c r="J74" t="str">
        <f>"OP-AR01630"</f>
        <v>OP-AR01630</v>
      </c>
      <c r="K74" s="1" t="str">
        <f>"1041G112-001 W112-ANT RH SIDE FSC 30V PWR-cust"</f>
        <v>1041G112-001 W112-ANT RH SIDE FSC 30V PWR-cust</v>
      </c>
      <c r="L74">
        <v>2</v>
      </c>
      <c r="M74" t="str">
        <f>"PR20000066"</f>
        <v>PR20000066</v>
      </c>
      <c r="N74" t="str">
        <f>"1041G  HARNES"</f>
        <v>1041G  HARNES</v>
      </c>
      <c r="O74" s="2">
        <v>1571.24</v>
      </c>
      <c r="P74" t="str">
        <f>"$"</f>
        <v>$</v>
      </c>
      <c r="Q74" t="str">
        <f>"117"</f>
        <v>117</v>
      </c>
      <c r="R74" t="str">
        <f>"רתמות"</f>
        <v>רתמות</v>
      </c>
      <c r="S74" t="str">
        <f>"034"</f>
        <v>034</v>
      </c>
      <c r="T74" t="str">
        <f>"גנם הודיה"</f>
        <v>גנם הודיה</v>
      </c>
      <c r="U74">
        <v>0</v>
      </c>
      <c r="V74">
        <v>0</v>
      </c>
      <c r="W74" s="2">
        <v>1571.24</v>
      </c>
      <c r="X74" s="2">
        <v>3142.48</v>
      </c>
      <c r="Z74" t="str">
        <f>"Y"</f>
        <v>Y</v>
      </c>
      <c r="AA74">
        <v>0</v>
      </c>
      <c r="AC74">
        <v>0</v>
      </c>
      <c r="AE74">
        <v>0</v>
      </c>
      <c r="AF74">
        <v>0</v>
      </c>
      <c r="AG74" s="2">
        <v>5120.67</v>
      </c>
      <c r="AH74">
        <v>0</v>
      </c>
      <c r="AI74" s="2">
        <v>10241.34</v>
      </c>
      <c r="AJ74" s="2">
        <v>3142.48</v>
      </c>
      <c r="AK74" s="2">
        <v>3142.48</v>
      </c>
      <c r="AL74" t="str">
        <f>"$"</f>
        <v>$</v>
      </c>
    </row>
    <row r="75" spans="1:38" x14ac:dyDescent="0.3">
      <c r="A75" t="str">
        <f>"SO20000062"</f>
        <v>SO20000062</v>
      </c>
      <c r="B75" t="str">
        <f>"E000305063"</f>
        <v>E000305063</v>
      </c>
      <c r="C75" t="str">
        <f>"בוצעה"</f>
        <v>בוצעה</v>
      </c>
      <c r="E75" s="3">
        <v>43870</v>
      </c>
      <c r="F75" s="3">
        <v>44195</v>
      </c>
      <c r="G75" t="str">
        <f>"700065"</f>
        <v>700065</v>
      </c>
      <c r="H75" t="str">
        <f>"אלתא מערכות בע""מ"</f>
        <v>אלתא מערכות בע"מ</v>
      </c>
      <c r="I75" t="str">
        <f>"ערן שלו"</f>
        <v>ערן שלו</v>
      </c>
      <c r="J75" t="str">
        <f>"OP-AR01620"</f>
        <v>OP-AR01620</v>
      </c>
      <c r="K75" s="1" t="str">
        <f>"1041G113-001 W113 - ANT LH SIDE FSC 30V PWR"</f>
        <v>1041G113-001 W113 - ANT LH SIDE FSC 30V PWR</v>
      </c>
      <c r="L75">
        <v>1</v>
      </c>
      <c r="M75" t="str">
        <f>"PR20000066"</f>
        <v>PR20000066</v>
      </c>
      <c r="N75" t="str">
        <f>"1041G  HARNES"</f>
        <v>1041G  HARNES</v>
      </c>
      <c r="O75" s="2">
        <v>3094.86</v>
      </c>
      <c r="P75" t="str">
        <f>"$"</f>
        <v>$</v>
      </c>
      <c r="Q75" t="str">
        <f>"117"</f>
        <v>117</v>
      </c>
      <c r="R75" t="str">
        <f>"רתמות"</f>
        <v>רתמות</v>
      </c>
      <c r="S75" t="str">
        <f>"034"</f>
        <v>034</v>
      </c>
      <c r="T75" t="str">
        <f>"גנם הודיה"</f>
        <v>גנם הודיה</v>
      </c>
      <c r="U75">
        <v>0</v>
      </c>
      <c r="V75">
        <v>0</v>
      </c>
      <c r="W75" s="2">
        <v>3094.86</v>
      </c>
      <c r="X75" s="2">
        <v>3094.86</v>
      </c>
      <c r="Z75" t="str">
        <f>"Y"</f>
        <v>Y</v>
      </c>
      <c r="AA75">
        <v>0</v>
      </c>
      <c r="AC75">
        <v>0</v>
      </c>
      <c r="AE75">
        <v>0</v>
      </c>
      <c r="AF75">
        <v>0</v>
      </c>
      <c r="AG75" s="2">
        <v>10086.15</v>
      </c>
      <c r="AH75">
        <v>0</v>
      </c>
      <c r="AI75" s="2">
        <v>10086.15</v>
      </c>
      <c r="AJ75" s="2">
        <v>3094.86</v>
      </c>
      <c r="AK75" s="2">
        <v>3094.86</v>
      </c>
      <c r="AL75" t="str">
        <f>"$"</f>
        <v>$</v>
      </c>
    </row>
    <row r="76" spans="1:38" x14ac:dyDescent="0.3">
      <c r="A76" t="str">
        <f>"SO20000062"</f>
        <v>SO20000062</v>
      </c>
      <c r="B76" t="str">
        <f>"E000305063"</f>
        <v>E000305063</v>
      </c>
      <c r="C76" t="str">
        <f>"בוצעה"</f>
        <v>בוצעה</v>
      </c>
      <c r="E76" s="3">
        <v>43870</v>
      </c>
      <c r="F76" s="3">
        <v>44195</v>
      </c>
      <c r="G76" t="str">
        <f>"700065"</f>
        <v>700065</v>
      </c>
      <c r="H76" t="str">
        <f>"אלתא מערכות בע""מ"</f>
        <v>אלתא מערכות בע"מ</v>
      </c>
      <c r="I76" t="str">
        <f>"ערן שלו"</f>
        <v>ערן שלו</v>
      </c>
      <c r="J76" t="str">
        <f>"OP-AR01631"</f>
        <v>OP-AR01631</v>
      </c>
      <c r="K76" s="1" t="str">
        <f>"1041G113-001 W113-ANT LH SIDE FSC 30V PWR-cust"</f>
        <v>1041G113-001 W113-ANT LH SIDE FSC 30V PWR-cust</v>
      </c>
      <c r="L76">
        <v>2</v>
      </c>
      <c r="M76" t="str">
        <f>"PR20000066"</f>
        <v>PR20000066</v>
      </c>
      <c r="N76" t="str">
        <f>"1041G  HARNES"</f>
        <v>1041G  HARNES</v>
      </c>
      <c r="O76" s="2">
        <v>1596.18</v>
      </c>
      <c r="P76" t="str">
        <f>"$"</f>
        <v>$</v>
      </c>
      <c r="Q76" t="str">
        <f>"117"</f>
        <v>117</v>
      </c>
      <c r="R76" t="str">
        <f>"רתמות"</f>
        <v>רתמות</v>
      </c>
      <c r="S76" t="str">
        <f>"034"</f>
        <v>034</v>
      </c>
      <c r="T76" t="str">
        <f>"גנם הודיה"</f>
        <v>גנם הודיה</v>
      </c>
      <c r="U76">
        <v>0</v>
      </c>
      <c r="V76">
        <v>0</v>
      </c>
      <c r="W76" s="2">
        <v>1596.18</v>
      </c>
      <c r="X76" s="2">
        <v>3192.36</v>
      </c>
      <c r="Z76" t="str">
        <f>"Y"</f>
        <v>Y</v>
      </c>
      <c r="AA76">
        <v>0</v>
      </c>
      <c r="AC76">
        <v>0</v>
      </c>
      <c r="AE76">
        <v>0</v>
      </c>
      <c r="AF76">
        <v>0</v>
      </c>
      <c r="AG76" s="2">
        <v>5201.95</v>
      </c>
      <c r="AH76">
        <v>0</v>
      </c>
      <c r="AI76" s="2">
        <v>10403.9</v>
      </c>
      <c r="AJ76" s="2">
        <v>3192.36</v>
      </c>
      <c r="AK76" s="2">
        <v>3192.36</v>
      </c>
      <c r="AL76" t="str">
        <f>"$"</f>
        <v>$</v>
      </c>
    </row>
    <row r="77" spans="1:38" x14ac:dyDescent="0.3">
      <c r="A77" t="str">
        <f>"SO20000062"</f>
        <v>SO20000062</v>
      </c>
      <c r="B77" t="str">
        <f>"E000305063"</f>
        <v>E000305063</v>
      </c>
      <c r="C77" t="str">
        <f>"בוצעה"</f>
        <v>בוצעה</v>
      </c>
      <c r="E77" s="3">
        <v>43870</v>
      </c>
      <c r="F77" s="3">
        <v>44195</v>
      </c>
      <c r="G77" t="str">
        <f>"700065"</f>
        <v>700065</v>
      </c>
      <c r="H77" t="str">
        <f>"אלתא מערכות בע""מ"</f>
        <v>אלתא מערכות בע"מ</v>
      </c>
      <c r="I77" t="str">
        <f>"ערן שלו"</f>
        <v>ערן שלו</v>
      </c>
      <c r="J77" t="str">
        <f>"OP-AR01621"</f>
        <v>OP-AR01621</v>
      </c>
      <c r="K77" s="1" t="str">
        <f>"1041G114-001 W114 - ANT RH SIDE FSC 30V PWR"</f>
        <v>1041G114-001 W114 - ANT RH SIDE FSC 30V PWR</v>
      </c>
      <c r="L77">
        <v>1</v>
      </c>
      <c r="M77" t="str">
        <f>"PR20000066"</f>
        <v>PR20000066</v>
      </c>
      <c r="N77" t="str">
        <f>"1041G  HARNES"</f>
        <v>1041G  HARNES</v>
      </c>
      <c r="O77" s="2">
        <v>3064.26</v>
      </c>
      <c r="P77" t="str">
        <f>"$"</f>
        <v>$</v>
      </c>
      <c r="Q77" t="str">
        <f>"117"</f>
        <v>117</v>
      </c>
      <c r="R77" t="str">
        <f>"רתמות"</f>
        <v>רתמות</v>
      </c>
      <c r="S77" t="str">
        <f>"034"</f>
        <v>034</v>
      </c>
      <c r="T77" t="str">
        <f>"גנם הודיה"</f>
        <v>גנם הודיה</v>
      </c>
      <c r="U77">
        <v>0</v>
      </c>
      <c r="V77">
        <v>0</v>
      </c>
      <c r="W77" s="2">
        <v>3064.26</v>
      </c>
      <c r="X77" s="2">
        <v>3064.26</v>
      </c>
      <c r="Z77" t="str">
        <f>"Y"</f>
        <v>Y</v>
      </c>
      <c r="AA77">
        <v>0</v>
      </c>
      <c r="AC77">
        <v>0</v>
      </c>
      <c r="AE77">
        <v>0</v>
      </c>
      <c r="AF77">
        <v>0</v>
      </c>
      <c r="AG77" s="2">
        <v>9986.42</v>
      </c>
      <c r="AH77">
        <v>0</v>
      </c>
      <c r="AI77" s="2">
        <v>9986.42</v>
      </c>
      <c r="AJ77" s="2">
        <v>3064.26</v>
      </c>
      <c r="AK77" s="2">
        <v>3064.26</v>
      </c>
      <c r="AL77" t="str">
        <f>"$"</f>
        <v>$</v>
      </c>
    </row>
    <row r="78" spans="1:38" x14ac:dyDescent="0.3">
      <c r="A78" t="str">
        <f>"SO20000062"</f>
        <v>SO20000062</v>
      </c>
      <c r="B78" t="str">
        <f>"E000305063"</f>
        <v>E000305063</v>
      </c>
      <c r="C78" t="str">
        <f>"בוצעה"</f>
        <v>בוצעה</v>
      </c>
      <c r="E78" s="3">
        <v>43870</v>
      </c>
      <c r="F78" s="3">
        <v>44195</v>
      </c>
      <c r="G78" t="str">
        <f>"700065"</f>
        <v>700065</v>
      </c>
      <c r="H78" t="str">
        <f>"אלתא מערכות בע""מ"</f>
        <v>אלתא מערכות בע"מ</v>
      </c>
      <c r="I78" t="str">
        <f>"ערן שלו"</f>
        <v>ערן שלו</v>
      </c>
      <c r="J78" t="str">
        <f>"OP-AR01632"</f>
        <v>OP-AR01632</v>
      </c>
      <c r="K78" s="1" t="str">
        <f>"1041G114-001 W114-ANT RH SIDE FSC 30V PWR-cust"</f>
        <v>1041G114-001 W114-ANT RH SIDE FSC 30V PWR-cust</v>
      </c>
      <c r="L78">
        <v>2</v>
      </c>
      <c r="M78" t="str">
        <f>"PR20000066"</f>
        <v>PR20000066</v>
      </c>
      <c r="N78" t="str">
        <f>"1041G  HARNES"</f>
        <v>1041G  HARNES</v>
      </c>
      <c r="O78" s="2">
        <v>1587.13</v>
      </c>
      <c r="P78" t="str">
        <f>"$"</f>
        <v>$</v>
      </c>
      <c r="Q78" t="str">
        <f>"117"</f>
        <v>117</v>
      </c>
      <c r="R78" t="str">
        <f>"רתמות"</f>
        <v>רתמות</v>
      </c>
      <c r="S78" t="str">
        <f>"034"</f>
        <v>034</v>
      </c>
      <c r="T78" t="str">
        <f>"גנם הודיה"</f>
        <v>גנם הודיה</v>
      </c>
      <c r="U78">
        <v>0</v>
      </c>
      <c r="V78">
        <v>0</v>
      </c>
      <c r="W78" s="2">
        <v>1587.13</v>
      </c>
      <c r="X78" s="2">
        <v>3174.26</v>
      </c>
      <c r="Z78" t="str">
        <f>"Y"</f>
        <v>Y</v>
      </c>
      <c r="AA78">
        <v>0</v>
      </c>
      <c r="AC78">
        <v>0</v>
      </c>
      <c r="AE78">
        <v>0</v>
      </c>
      <c r="AF78">
        <v>0</v>
      </c>
      <c r="AG78" s="2">
        <v>5172.46</v>
      </c>
      <c r="AH78">
        <v>0</v>
      </c>
      <c r="AI78" s="2">
        <v>10344.91</v>
      </c>
      <c r="AJ78" s="2">
        <v>3174.26</v>
      </c>
      <c r="AK78" s="2">
        <v>3174.26</v>
      </c>
      <c r="AL78" t="str">
        <f>"$"</f>
        <v>$</v>
      </c>
    </row>
    <row r="79" spans="1:38" x14ac:dyDescent="0.3">
      <c r="A79" t="str">
        <f>"SO20000062"</f>
        <v>SO20000062</v>
      </c>
      <c r="B79" t="str">
        <f>"E000305063"</f>
        <v>E000305063</v>
      </c>
      <c r="C79" t="str">
        <f>"בוצעה"</f>
        <v>בוצעה</v>
      </c>
      <c r="E79" s="3">
        <v>43870</v>
      </c>
      <c r="F79" s="3">
        <v>44195</v>
      </c>
      <c r="G79" t="str">
        <f>"700065"</f>
        <v>700065</v>
      </c>
      <c r="H79" t="str">
        <f>"אלתא מערכות בע""מ"</f>
        <v>אלתא מערכות בע"מ</v>
      </c>
      <c r="I79" t="str">
        <f>"ערן שלו"</f>
        <v>ערן שלו</v>
      </c>
      <c r="J79" t="str">
        <f>"OP-AR01622"</f>
        <v>OP-AR01622</v>
      </c>
      <c r="K79" s="1" t="str">
        <f>"1041G132-001 W132 : ANT PS HPLS CTRL"</f>
        <v>1041G132-001 W132 : ANT PS HPLS CTRL</v>
      </c>
      <c r="L79">
        <v>1</v>
      </c>
      <c r="M79" t="str">
        <f>"PR20000066"</f>
        <v>PR20000066</v>
      </c>
      <c r="N79" t="str">
        <f>"1041G  HARNES"</f>
        <v>1041G  HARNES</v>
      </c>
      <c r="O79" s="2">
        <v>2594.1999999999998</v>
      </c>
      <c r="P79" t="str">
        <f>"$"</f>
        <v>$</v>
      </c>
      <c r="Q79" t="str">
        <f>"117"</f>
        <v>117</v>
      </c>
      <c r="R79" t="str">
        <f>"רתמות"</f>
        <v>רתמות</v>
      </c>
      <c r="S79" t="str">
        <f>"034"</f>
        <v>034</v>
      </c>
      <c r="T79" t="str">
        <f>"גנם הודיה"</f>
        <v>גנם הודיה</v>
      </c>
      <c r="U79">
        <v>0</v>
      </c>
      <c r="V79">
        <v>0</v>
      </c>
      <c r="W79" s="2">
        <v>2594.1999999999998</v>
      </c>
      <c r="X79" s="2">
        <v>2594.1999999999998</v>
      </c>
      <c r="Z79" t="str">
        <f>"Y"</f>
        <v>Y</v>
      </c>
      <c r="AA79">
        <v>0</v>
      </c>
      <c r="AC79">
        <v>0</v>
      </c>
      <c r="AE79">
        <v>0</v>
      </c>
      <c r="AF79">
        <v>0</v>
      </c>
      <c r="AG79" s="2">
        <v>8454.5</v>
      </c>
      <c r="AH79">
        <v>0</v>
      </c>
      <c r="AI79" s="2">
        <v>8454.5</v>
      </c>
      <c r="AJ79" s="2">
        <v>2594.1999999999998</v>
      </c>
      <c r="AK79" s="2">
        <v>2594.1999999999998</v>
      </c>
      <c r="AL79" t="str">
        <f>"$"</f>
        <v>$</v>
      </c>
    </row>
    <row r="80" spans="1:38" x14ac:dyDescent="0.3">
      <c r="A80" t="str">
        <f>"SO20000062"</f>
        <v>SO20000062</v>
      </c>
      <c r="B80" t="str">
        <f>"E000305063"</f>
        <v>E000305063</v>
      </c>
      <c r="C80" t="str">
        <f>"בוצעה"</f>
        <v>בוצעה</v>
      </c>
      <c r="E80" s="3">
        <v>43870</v>
      </c>
      <c r="F80" s="3">
        <v>44140</v>
      </c>
      <c r="G80" t="str">
        <f>"700065"</f>
        <v>700065</v>
      </c>
      <c r="H80" t="str">
        <f>"אלתא מערכות בע""מ"</f>
        <v>אלתא מערכות בע"מ</v>
      </c>
      <c r="I80" t="str">
        <f>"ערן שלו"</f>
        <v>ערן שלו</v>
      </c>
      <c r="J80" t="str">
        <f>"9977"</f>
        <v>9977</v>
      </c>
      <c r="K80" s="1" t="str">
        <f>"חיוב פיגורים בגין 5112300040 SI206000734"</f>
        <v>חיוב פיגורים בגין 5112300040 SI206000734</v>
      </c>
      <c r="L80">
        <v>0</v>
      </c>
      <c r="M80" t="str">
        <f>"PR20000066"</f>
        <v>PR20000066</v>
      </c>
      <c r="N80" t="str">
        <f>"1041G  HARNES"</f>
        <v>1041G  HARNES</v>
      </c>
      <c r="O80">
        <v>155.65</v>
      </c>
      <c r="P80" t="str">
        <f>"$"</f>
        <v>$</v>
      </c>
      <c r="Q80" t="str">
        <f>"117"</f>
        <v>117</v>
      </c>
      <c r="R80" t="str">
        <f>"רתמות"</f>
        <v>רתמות</v>
      </c>
      <c r="S80" t="str">
        <f>"034"</f>
        <v>034</v>
      </c>
      <c r="T80" t="str">
        <f>"גנם הודיה"</f>
        <v>גנם הודיה</v>
      </c>
      <c r="U80">
        <v>0</v>
      </c>
      <c r="V80">
        <v>0</v>
      </c>
      <c r="W80">
        <v>155.65</v>
      </c>
      <c r="X80">
        <v>0</v>
      </c>
      <c r="Z80" t="str">
        <f>"Y"</f>
        <v>Y</v>
      </c>
      <c r="AA80">
        <v>0</v>
      </c>
      <c r="AC80">
        <v>0</v>
      </c>
      <c r="AE80">
        <v>0</v>
      </c>
      <c r="AF80">
        <v>0</v>
      </c>
      <c r="AG80">
        <v>507.26</v>
      </c>
      <c r="AH80">
        <v>0</v>
      </c>
      <c r="AI80">
        <v>0</v>
      </c>
      <c r="AJ80">
        <v>0</v>
      </c>
      <c r="AK80">
        <v>0</v>
      </c>
      <c r="AL80" t="str">
        <f>"$"</f>
        <v>$</v>
      </c>
    </row>
    <row r="81" spans="1:38" x14ac:dyDescent="0.3">
      <c r="A81" t="str">
        <f>"SO20000062"</f>
        <v>SO20000062</v>
      </c>
      <c r="B81" t="str">
        <f>"E000305063"</f>
        <v>E000305063</v>
      </c>
      <c r="C81" t="str">
        <f>"בוצעה"</f>
        <v>בוצעה</v>
      </c>
      <c r="E81" s="3">
        <v>43870</v>
      </c>
      <c r="F81" s="3">
        <v>44195</v>
      </c>
      <c r="G81" t="str">
        <f>"700065"</f>
        <v>700065</v>
      </c>
      <c r="H81" t="str">
        <f>"אלתא מערכות בע""מ"</f>
        <v>אלתא מערכות בע"מ</v>
      </c>
      <c r="I81" t="str">
        <f>"ערן שלו"</f>
        <v>ערן שלו</v>
      </c>
      <c r="J81" t="str">
        <f>"OP-AR01633"</f>
        <v>OP-AR01633</v>
      </c>
      <c r="K81" s="1" t="str">
        <f>"1041G132-001 W132 : ANT PS HPLS CTRL-cust"</f>
        <v>1041G132-001 W132 : ANT PS HPLS CTRL-cust</v>
      </c>
      <c r="L81">
        <v>2</v>
      </c>
      <c r="M81" t="str">
        <f>"PR20000066"</f>
        <v>PR20000066</v>
      </c>
      <c r="N81" t="str">
        <f>"1041G  HARNES"</f>
        <v>1041G  HARNES</v>
      </c>
      <c r="O81" s="2">
        <v>1329.55</v>
      </c>
      <c r="P81" t="str">
        <f>"$"</f>
        <v>$</v>
      </c>
      <c r="Q81" t="str">
        <f>"117"</f>
        <v>117</v>
      </c>
      <c r="R81" t="str">
        <f>"רתמות"</f>
        <v>רתמות</v>
      </c>
      <c r="S81" t="str">
        <f>"034"</f>
        <v>034</v>
      </c>
      <c r="T81" t="str">
        <f>"גנם הודיה"</f>
        <v>גנם הודיה</v>
      </c>
      <c r="U81">
        <v>0</v>
      </c>
      <c r="V81">
        <v>0</v>
      </c>
      <c r="W81" s="2">
        <v>1329.55</v>
      </c>
      <c r="X81" s="2">
        <v>2659.1</v>
      </c>
      <c r="Z81" t="str">
        <f>"Y"</f>
        <v>Y</v>
      </c>
      <c r="AA81">
        <v>0</v>
      </c>
      <c r="AC81">
        <v>0</v>
      </c>
      <c r="AE81">
        <v>0</v>
      </c>
      <c r="AF81">
        <v>0</v>
      </c>
      <c r="AG81" s="2">
        <v>4333</v>
      </c>
      <c r="AH81">
        <v>0</v>
      </c>
      <c r="AI81" s="2">
        <v>8666.01</v>
      </c>
      <c r="AJ81" s="2">
        <v>2659.1</v>
      </c>
      <c r="AK81" s="2">
        <v>2659.1</v>
      </c>
      <c r="AL81" t="str">
        <f>"$"</f>
        <v>$</v>
      </c>
    </row>
    <row r="82" spans="1:38" x14ac:dyDescent="0.3">
      <c r="A82" t="str">
        <f>"SO20000062"</f>
        <v>SO20000062</v>
      </c>
      <c r="B82" t="str">
        <f>"E000305063"</f>
        <v>E000305063</v>
      </c>
      <c r="C82" t="str">
        <f>"בוצעה"</f>
        <v>בוצעה</v>
      </c>
      <c r="E82" s="3">
        <v>43870</v>
      </c>
      <c r="F82" s="3">
        <v>43992</v>
      </c>
      <c r="G82" t="str">
        <f>"700065"</f>
        <v>700065</v>
      </c>
      <c r="H82" t="str">
        <f>"אלתא מערכות בע""מ"</f>
        <v>אלתא מערכות בע"מ</v>
      </c>
      <c r="I82" t="str">
        <f>"ערן שלו"</f>
        <v>ערן שלו</v>
      </c>
      <c r="J82" t="str">
        <f>"OP-AR01636"</f>
        <v>OP-AR01636</v>
      </c>
      <c r="K82" s="1" t="str">
        <f>"1041G200-001 FSC control cable-cust"</f>
        <v>1041G200-001 FSC control cable-cust</v>
      </c>
      <c r="L82">
        <v>0</v>
      </c>
      <c r="M82" t="str">
        <f>"PR20000066"</f>
        <v>PR20000066</v>
      </c>
      <c r="N82" t="str">
        <f>"1041G  HARNES"</f>
        <v>1041G  HARNES</v>
      </c>
      <c r="O82" s="2">
        <v>1064</v>
      </c>
      <c r="P82" t="str">
        <f>"$"</f>
        <v>$</v>
      </c>
      <c r="Q82" t="str">
        <f>"117"</f>
        <v>117</v>
      </c>
      <c r="R82" t="str">
        <f>"רתמות"</f>
        <v>רתמות</v>
      </c>
      <c r="S82" t="str">
        <f>"034"</f>
        <v>034</v>
      </c>
      <c r="T82" t="str">
        <f>"גנם הודיה"</f>
        <v>גנם הודיה</v>
      </c>
      <c r="U82">
        <v>0</v>
      </c>
      <c r="V82">
        <v>0</v>
      </c>
      <c r="W82" s="2">
        <v>1064</v>
      </c>
      <c r="X82">
        <v>0</v>
      </c>
      <c r="Z82" t="str">
        <f>"Y"</f>
        <v>Y</v>
      </c>
      <c r="AA82">
        <v>0</v>
      </c>
      <c r="AC82">
        <v>0</v>
      </c>
      <c r="AE82">
        <v>0</v>
      </c>
      <c r="AF82">
        <v>0</v>
      </c>
      <c r="AG82" s="2">
        <v>3467.58</v>
      </c>
      <c r="AH82">
        <v>0</v>
      </c>
      <c r="AI82">
        <v>0</v>
      </c>
      <c r="AJ82">
        <v>0</v>
      </c>
      <c r="AK82">
        <v>0</v>
      </c>
      <c r="AL82" t="str">
        <f>"$"</f>
        <v>$</v>
      </c>
    </row>
    <row r="83" spans="1:38" x14ac:dyDescent="0.3">
      <c r="A83" t="str">
        <f>"SO20000062"</f>
        <v>SO20000062</v>
      </c>
      <c r="B83" t="str">
        <f>"E000305063"</f>
        <v>E000305063</v>
      </c>
      <c r="C83" t="str">
        <f>"בוצעה"</f>
        <v>בוצעה</v>
      </c>
      <c r="E83" s="3">
        <v>43870</v>
      </c>
      <c r="F83" s="3">
        <v>44195</v>
      </c>
      <c r="G83" t="str">
        <f>"700065"</f>
        <v>700065</v>
      </c>
      <c r="H83" t="str">
        <f>"אלתא מערכות בע""מ"</f>
        <v>אלתא מערכות בע"מ</v>
      </c>
      <c r="I83" t="str">
        <f>"ערן שלו"</f>
        <v>ערן שלו</v>
      </c>
      <c r="J83" t="str">
        <f>"OP-AR01623"</f>
        <v>OP-AR01623</v>
      </c>
      <c r="K83" s="1" t="str">
        <f>"1041G200-001 FSC control cable"</f>
        <v>1041G200-001 FSC control cable</v>
      </c>
      <c r="L83">
        <v>1</v>
      </c>
      <c r="M83" t="str">
        <f>"PR20000066"</f>
        <v>PR20000066</v>
      </c>
      <c r="N83" t="str">
        <f>"1041G  HARNES"</f>
        <v>1041G  HARNES</v>
      </c>
      <c r="O83" s="2">
        <v>1703.06</v>
      </c>
      <c r="P83" t="str">
        <f>"$"</f>
        <v>$</v>
      </c>
      <c r="Q83" t="str">
        <f>"117"</f>
        <v>117</v>
      </c>
      <c r="R83" t="str">
        <f>"רתמות"</f>
        <v>רתמות</v>
      </c>
      <c r="S83" t="str">
        <f>"034"</f>
        <v>034</v>
      </c>
      <c r="T83" t="str">
        <f>"גנם הודיה"</f>
        <v>גנם הודיה</v>
      </c>
      <c r="U83">
        <v>0</v>
      </c>
      <c r="V83">
        <v>0</v>
      </c>
      <c r="W83" s="2">
        <v>1703.06</v>
      </c>
      <c r="X83" s="2">
        <v>1703.06</v>
      </c>
      <c r="Z83" t="str">
        <f>"Y"</f>
        <v>Y</v>
      </c>
      <c r="AA83">
        <v>0</v>
      </c>
      <c r="AC83">
        <v>0</v>
      </c>
      <c r="AE83">
        <v>0</v>
      </c>
      <c r="AF83">
        <v>0</v>
      </c>
      <c r="AG83" s="2">
        <v>5550.27</v>
      </c>
      <c r="AH83">
        <v>0</v>
      </c>
      <c r="AI83" s="2">
        <v>5550.27</v>
      </c>
      <c r="AJ83" s="2">
        <v>1703.06</v>
      </c>
      <c r="AK83" s="2">
        <v>1703.06</v>
      </c>
      <c r="AL83" t="str">
        <f>"$"</f>
        <v>$</v>
      </c>
    </row>
    <row r="84" spans="1:38" x14ac:dyDescent="0.3">
      <c r="A84" t="str">
        <f>"SO20000062"</f>
        <v>SO20000062</v>
      </c>
      <c r="B84" t="str">
        <f>"E000305063"</f>
        <v>E000305063</v>
      </c>
      <c r="C84" t="str">
        <f>"בוצעה"</f>
        <v>בוצעה</v>
      </c>
      <c r="E84" s="3">
        <v>43870</v>
      </c>
      <c r="F84" s="3">
        <v>44195</v>
      </c>
      <c r="G84" t="str">
        <f>"700065"</f>
        <v>700065</v>
      </c>
      <c r="H84" t="str">
        <f>"אלתא מערכות בע""מ"</f>
        <v>אלתא מערכות בע"מ</v>
      </c>
      <c r="I84" t="str">
        <f>"ערן שלו"</f>
        <v>ערן שלו</v>
      </c>
      <c r="J84" t="str">
        <f>"OP-AR01624"</f>
        <v>OP-AR01624</v>
      </c>
      <c r="K84" s="1" t="str">
        <f>"1041G201-001 FSC control short cable"</f>
        <v>1041G201-001 FSC control short cable</v>
      </c>
      <c r="L84">
        <v>1</v>
      </c>
      <c r="M84" t="str">
        <f>"PR20000066"</f>
        <v>PR20000066</v>
      </c>
      <c r="N84" t="str">
        <f>"1041G  HARNES"</f>
        <v>1041G  HARNES</v>
      </c>
      <c r="O84" s="2">
        <v>1269.83</v>
      </c>
      <c r="P84" t="str">
        <f>"$"</f>
        <v>$</v>
      </c>
      <c r="Q84" t="str">
        <f>"117"</f>
        <v>117</v>
      </c>
      <c r="R84" t="str">
        <f>"רתמות"</f>
        <v>רתמות</v>
      </c>
      <c r="S84" t="str">
        <f>"034"</f>
        <v>034</v>
      </c>
      <c r="T84" t="str">
        <f>"גנם הודיה"</f>
        <v>גנם הודיה</v>
      </c>
      <c r="U84">
        <v>0</v>
      </c>
      <c r="V84">
        <v>0</v>
      </c>
      <c r="W84" s="2">
        <v>1269.83</v>
      </c>
      <c r="X84" s="2">
        <v>1269.83</v>
      </c>
      <c r="Z84" t="str">
        <f>"Y"</f>
        <v>Y</v>
      </c>
      <c r="AA84">
        <v>0</v>
      </c>
      <c r="AC84">
        <v>0</v>
      </c>
      <c r="AE84">
        <v>0</v>
      </c>
      <c r="AF84">
        <v>0</v>
      </c>
      <c r="AG84" s="2">
        <v>4138.38</v>
      </c>
      <c r="AH84">
        <v>0</v>
      </c>
      <c r="AI84" s="2">
        <v>4138.38</v>
      </c>
      <c r="AJ84" s="2">
        <v>1269.83</v>
      </c>
      <c r="AK84" s="2">
        <v>1269.83</v>
      </c>
      <c r="AL84" t="str">
        <f>"$"</f>
        <v>$</v>
      </c>
    </row>
    <row r="85" spans="1:38" x14ac:dyDescent="0.3">
      <c r="A85" t="str">
        <f>"SO20000062"</f>
        <v>SO20000062</v>
      </c>
      <c r="B85" t="str">
        <f>"E000305063"</f>
        <v>E000305063</v>
      </c>
      <c r="C85" t="str">
        <f>"בוצעה"</f>
        <v>בוצעה</v>
      </c>
      <c r="E85" s="3">
        <v>43870</v>
      </c>
      <c r="F85" s="3">
        <v>43992</v>
      </c>
      <c r="G85" t="str">
        <f>"700065"</f>
        <v>700065</v>
      </c>
      <c r="H85" t="str">
        <f>"אלתא מערכות בע""מ"</f>
        <v>אלתא מערכות בע"מ</v>
      </c>
      <c r="I85" t="str">
        <f>"ערן שלו"</f>
        <v>ערן שלו</v>
      </c>
      <c r="J85" t="str">
        <f>"OP-AR01634"</f>
        <v>OP-AR01634</v>
      </c>
      <c r="K85" s="1" t="str">
        <f>"1041G201-001 FSC control short cable-cust"</f>
        <v>1041G201-001 FSC control short cable-cust</v>
      </c>
      <c r="L85">
        <v>0</v>
      </c>
      <c r="M85" t="str">
        <f>"PR20000066"</f>
        <v>PR20000066</v>
      </c>
      <c r="N85" t="str">
        <f>"1041G  HARNES"</f>
        <v>1041G  HARNES</v>
      </c>
      <c r="O85">
        <v>838.02</v>
      </c>
      <c r="P85" t="str">
        <f>"$"</f>
        <v>$</v>
      </c>
      <c r="Q85" t="str">
        <f>"117"</f>
        <v>117</v>
      </c>
      <c r="R85" t="str">
        <f>"רתמות"</f>
        <v>רתמות</v>
      </c>
      <c r="S85" t="str">
        <f>"034"</f>
        <v>034</v>
      </c>
      <c r="T85" t="str">
        <f>"גנם הודיה"</f>
        <v>גנם הודיה</v>
      </c>
      <c r="U85">
        <v>0</v>
      </c>
      <c r="V85">
        <v>0</v>
      </c>
      <c r="W85">
        <v>838.02</v>
      </c>
      <c r="X85">
        <v>0</v>
      </c>
      <c r="Z85" t="str">
        <f>"Y"</f>
        <v>Y</v>
      </c>
      <c r="AA85">
        <v>0</v>
      </c>
      <c r="AC85">
        <v>0</v>
      </c>
      <c r="AE85">
        <v>0</v>
      </c>
      <c r="AF85">
        <v>0</v>
      </c>
      <c r="AG85" s="2">
        <v>2731.11</v>
      </c>
      <c r="AH85">
        <v>0</v>
      </c>
      <c r="AI85">
        <v>0</v>
      </c>
      <c r="AJ85">
        <v>0</v>
      </c>
      <c r="AK85">
        <v>0</v>
      </c>
      <c r="AL85" t="str">
        <f>"$"</f>
        <v>$</v>
      </c>
    </row>
    <row r="86" spans="1:38" x14ac:dyDescent="0.3">
      <c r="A86" t="str">
        <f>"SO20000062"</f>
        <v>SO20000062</v>
      </c>
      <c r="B86" t="str">
        <f>"E000305063"</f>
        <v>E000305063</v>
      </c>
      <c r="C86" t="str">
        <f>"בוצעה"</f>
        <v>בוצעה</v>
      </c>
      <c r="E86" s="3">
        <v>43870</v>
      </c>
      <c r="F86" s="3">
        <v>43992</v>
      </c>
      <c r="G86" t="str">
        <f>"700065"</f>
        <v>700065</v>
      </c>
      <c r="H86" t="str">
        <f>"אלתא מערכות בע""מ"</f>
        <v>אלתא מערכות בע"מ</v>
      </c>
      <c r="I86" t="str">
        <f>"ערן שלו"</f>
        <v>ערן שלו</v>
      </c>
      <c r="J86" t="str">
        <f>"OP-AR01625"</f>
        <v>OP-AR01625</v>
      </c>
      <c r="K86" s="1" t="str">
        <f>"1041G202-001 FSC power cable"</f>
        <v>1041G202-001 FSC power cable</v>
      </c>
      <c r="L86">
        <v>0</v>
      </c>
      <c r="M86" t="str">
        <f>"PR20000066"</f>
        <v>PR20000066</v>
      </c>
      <c r="N86" t="str">
        <f>"1041G  HARNES"</f>
        <v>1041G  HARNES</v>
      </c>
      <c r="O86">
        <v>540.38</v>
      </c>
      <c r="P86" t="str">
        <f>"$"</f>
        <v>$</v>
      </c>
      <c r="Q86" t="str">
        <f>"117"</f>
        <v>117</v>
      </c>
      <c r="R86" t="str">
        <f>"רתמות"</f>
        <v>רתמות</v>
      </c>
      <c r="S86" t="str">
        <f>"034"</f>
        <v>034</v>
      </c>
      <c r="T86" t="str">
        <f>"גנם הודיה"</f>
        <v>גנם הודיה</v>
      </c>
      <c r="U86">
        <v>0</v>
      </c>
      <c r="V86">
        <v>0</v>
      </c>
      <c r="W86">
        <v>540.38</v>
      </c>
      <c r="X86">
        <v>0</v>
      </c>
      <c r="Z86" t="str">
        <f>"Y"</f>
        <v>Y</v>
      </c>
      <c r="AA86">
        <v>0</v>
      </c>
      <c r="AC86">
        <v>0</v>
      </c>
      <c r="AE86">
        <v>0</v>
      </c>
      <c r="AF86">
        <v>0</v>
      </c>
      <c r="AG86" s="2">
        <v>1761.1</v>
      </c>
      <c r="AH86">
        <v>0</v>
      </c>
      <c r="AI86">
        <v>0</v>
      </c>
      <c r="AJ86">
        <v>0</v>
      </c>
      <c r="AK86">
        <v>0</v>
      </c>
      <c r="AL86" t="str">
        <f>"$"</f>
        <v>$</v>
      </c>
    </row>
    <row r="87" spans="1:38" x14ac:dyDescent="0.3">
      <c r="A87" t="str">
        <f>"SO20000062"</f>
        <v>SO20000062</v>
      </c>
      <c r="B87" t="str">
        <f>"E000305063"</f>
        <v>E000305063</v>
      </c>
      <c r="C87" t="str">
        <f>"בוצעה"</f>
        <v>בוצעה</v>
      </c>
      <c r="E87" s="3">
        <v>43870</v>
      </c>
      <c r="F87" s="3">
        <v>44195</v>
      </c>
      <c r="G87" t="str">
        <f>"700065"</f>
        <v>700065</v>
      </c>
      <c r="H87" t="str">
        <f>"אלתא מערכות בע""מ"</f>
        <v>אלתא מערכות בע"מ</v>
      </c>
      <c r="I87" t="str">
        <f>"ערן שלו"</f>
        <v>ערן שלו</v>
      </c>
      <c r="J87" t="str">
        <f>"OP-AR01635"</f>
        <v>OP-AR01635</v>
      </c>
      <c r="K87" s="1" t="str">
        <f>"1041G202-001 FSC power cable-cust"</f>
        <v>1041G202-001 FSC power cable-cust</v>
      </c>
      <c r="L87">
        <v>1</v>
      </c>
      <c r="M87" t="str">
        <f>"PR20000066"</f>
        <v>PR20000066</v>
      </c>
      <c r="N87" t="str">
        <f>"1041G  HARNES"</f>
        <v>1041G  HARNES</v>
      </c>
      <c r="O87">
        <v>803.39</v>
      </c>
      <c r="P87" t="str">
        <f>"$"</f>
        <v>$</v>
      </c>
      <c r="Q87" t="str">
        <f>"117"</f>
        <v>117</v>
      </c>
      <c r="R87" t="str">
        <f>"רתמות"</f>
        <v>רתמות</v>
      </c>
      <c r="S87" t="str">
        <f>"034"</f>
        <v>034</v>
      </c>
      <c r="T87" t="str">
        <f>"גנם הודיה"</f>
        <v>גנם הודיה</v>
      </c>
      <c r="U87">
        <v>0</v>
      </c>
      <c r="V87">
        <v>0</v>
      </c>
      <c r="W87">
        <v>803.39</v>
      </c>
      <c r="X87">
        <v>803.39</v>
      </c>
      <c r="Z87" t="str">
        <f>"Y"</f>
        <v>Y</v>
      </c>
      <c r="AA87">
        <v>0</v>
      </c>
      <c r="AC87">
        <v>0</v>
      </c>
      <c r="AE87">
        <v>0</v>
      </c>
      <c r="AF87">
        <v>0</v>
      </c>
      <c r="AG87" s="2">
        <v>2618.25</v>
      </c>
      <c r="AH87">
        <v>0</v>
      </c>
      <c r="AI87" s="2">
        <v>2618.25</v>
      </c>
      <c r="AJ87">
        <v>803.39</v>
      </c>
      <c r="AK87">
        <v>803.39</v>
      </c>
      <c r="AL87" t="str">
        <f>"$"</f>
        <v>$</v>
      </c>
    </row>
    <row r="88" spans="1:38" x14ac:dyDescent="0.3">
      <c r="A88" t="str">
        <f>"SO20000062"</f>
        <v>SO20000062</v>
      </c>
      <c r="B88" t="str">
        <f>"E000305063"</f>
        <v>E000305063</v>
      </c>
      <c r="C88" t="str">
        <f>"בוצעה"</f>
        <v>בוצעה</v>
      </c>
      <c r="E88" s="3">
        <v>43870</v>
      </c>
      <c r="F88" s="3">
        <v>44195</v>
      </c>
      <c r="G88" t="str">
        <f>"700065"</f>
        <v>700065</v>
      </c>
      <c r="H88" t="str">
        <f>"אלתא מערכות בע""מ"</f>
        <v>אלתא מערכות בע"מ</v>
      </c>
      <c r="I88" t="str">
        <f>"ערן שלו"</f>
        <v>ערן שלו</v>
      </c>
      <c r="J88" t="str">
        <f>"OP-AR01626"</f>
        <v>OP-AR01626</v>
      </c>
      <c r="K88" s="1" t="str">
        <f>"עבור נגדיים להזמנה E000305063"</f>
        <v>עבור נגדיים להזמנה E000305063</v>
      </c>
      <c r="L88">
        <v>1</v>
      </c>
      <c r="M88" t="str">
        <f>"PR20000066"</f>
        <v>PR20000066</v>
      </c>
      <c r="N88" t="str">
        <f>"1041G  HARNES"</f>
        <v>1041G  HARNES</v>
      </c>
      <c r="O88" s="2">
        <v>3102.75</v>
      </c>
      <c r="P88" t="str">
        <f>"$"</f>
        <v>$</v>
      </c>
      <c r="Q88" t="str">
        <f>"117"</f>
        <v>117</v>
      </c>
      <c r="R88" t="str">
        <f>"רתמות"</f>
        <v>רתמות</v>
      </c>
      <c r="S88" t="str">
        <f>"034"</f>
        <v>034</v>
      </c>
      <c r="T88" t="str">
        <f>"גנם הודיה"</f>
        <v>גנם הודיה</v>
      </c>
      <c r="U88">
        <v>0</v>
      </c>
      <c r="V88">
        <v>0</v>
      </c>
      <c r="W88" s="2">
        <v>3102.75</v>
      </c>
      <c r="X88" s="2">
        <v>3102.75</v>
      </c>
      <c r="Z88" t="str">
        <f>"Y"</f>
        <v>Y</v>
      </c>
      <c r="AA88">
        <v>1</v>
      </c>
      <c r="AC88">
        <v>0</v>
      </c>
      <c r="AE88">
        <v>0</v>
      </c>
      <c r="AF88">
        <v>0</v>
      </c>
      <c r="AG88" s="2">
        <v>10111.86</v>
      </c>
      <c r="AH88">
        <v>0</v>
      </c>
      <c r="AI88" s="2">
        <v>10111.86</v>
      </c>
      <c r="AJ88" s="2">
        <v>3102.75</v>
      </c>
      <c r="AK88" s="2">
        <v>3102.75</v>
      </c>
      <c r="AL88" t="str">
        <f>"$"</f>
        <v>$</v>
      </c>
    </row>
    <row r="89" spans="1:38" x14ac:dyDescent="0.3">
      <c r="A89" t="str">
        <f>"SO20000062"</f>
        <v>SO20000062</v>
      </c>
      <c r="B89" t="str">
        <f>"E000305063"</f>
        <v>E000305063</v>
      </c>
      <c r="C89" t="str">
        <f>"בוצעה"</f>
        <v>בוצעה</v>
      </c>
      <c r="E89" s="3">
        <v>43870</v>
      </c>
      <c r="F89" s="3">
        <v>44195</v>
      </c>
      <c r="G89" t="str">
        <f>"700065"</f>
        <v>700065</v>
      </c>
      <c r="H89" t="str">
        <f>"אלתא מערכות בע""מ"</f>
        <v>אלתא מערכות בע"מ</v>
      </c>
      <c r="I89" t="str">
        <f>"ערן שלו"</f>
        <v>ערן שלו</v>
      </c>
      <c r="J89" t="str">
        <f>"000"</f>
        <v>000</v>
      </c>
      <c r="K89" s="1" t="str">
        <f>"תוספת תשלום לטובת קידוםאספקו"</f>
        <v>תוספת תשלום לטובת קידוםאספקו</v>
      </c>
      <c r="L89">
        <v>1</v>
      </c>
      <c r="M89" t="str">
        <f>"PR20000066"</f>
        <v>PR20000066</v>
      </c>
      <c r="N89" t="str">
        <f>"1041G  HARNES"</f>
        <v>1041G  HARNES</v>
      </c>
      <c r="O89" s="2">
        <v>1649.63</v>
      </c>
      <c r="P89" t="str">
        <f>"$"</f>
        <v>$</v>
      </c>
      <c r="Q89" t="str">
        <f>"117"</f>
        <v>117</v>
      </c>
      <c r="R89" t="str">
        <f>"רתמות"</f>
        <v>רתמות</v>
      </c>
      <c r="S89" t="str">
        <f>"034"</f>
        <v>034</v>
      </c>
      <c r="T89" t="str">
        <f>"גנם הודיה"</f>
        <v>גנם הודיה</v>
      </c>
      <c r="U89">
        <v>0</v>
      </c>
      <c r="V89">
        <v>0</v>
      </c>
      <c r="W89" s="2">
        <v>1649.63</v>
      </c>
      <c r="X89" s="2">
        <v>1649.63</v>
      </c>
      <c r="Z89" t="str">
        <f>"Y"</f>
        <v>Y</v>
      </c>
      <c r="AA89">
        <v>1</v>
      </c>
      <c r="AC89">
        <v>0</v>
      </c>
      <c r="AE89">
        <v>0</v>
      </c>
      <c r="AF89">
        <v>0</v>
      </c>
      <c r="AG89" s="2">
        <v>5376.14</v>
      </c>
      <c r="AH89">
        <v>0</v>
      </c>
      <c r="AI89" s="2">
        <v>5376.14</v>
      </c>
      <c r="AJ89" s="2">
        <v>1649.63</v>
      </c>
      <c r="AK89" s="2">
        <v>1649.63</v>
      </c>
      <c r="AL89" t="str">
        <f>"$"</f>
        <v>$</v>
      </c>
    </row>
    <row r="90" spans="1:38" x14ac:dyDescent="0.3">
      <c r="A90" t="str">
        <f>"SO20000062"</f>
        <v>SO20000062</v>
      </c>
      <c r="B90" t="str">
        <f>"E000305063"</f>
        <v>E000305063</v>
      </c>
      <c r="C90" t="str">
        <f>"בוצעה"</f>
        <v>בוצעה</v>
      </c>
      <c r="E90" s="3">
        <v>43870</v>
      </c>
      <c r="F90" s="3">
        <v>44195</v>
      </c>
      <c r="G90" t="str">
        <f>"700065"</f>
        <v>700065</v>
      </c>
      <c r="H90" t="str">
        <f>"אלתא מערכות בע""מ"</f>
        <v>אלתא מערכות בע"מ</v>
      </c>
      <c r="I90" t="str">
        <f>"ערן שלו"</f>
        <v>ערן שלו</v>
      </c>
      <c r="J90" t="str">
        <f>"000"</f>
        <v>000</v>
      </c>
      <c r="K90" s="1" t="str">
        <f>"תוספת עבור רכש פריטיםלהזמנה"</f>
        <v>תוספת עבור רכש פריטיםלהזמנה</v>
      </c>
      <c r="L90">
        <v>1</v>
      </c>
      <c r="M90" t="str">
        <f>"PR20000066"</f>
        <v>PR20000066</v>
      </c>
      <c r="N90" t="str">
        <f>"1041G  HARNES"</f>
        <v>1041G  HARNES</v>
      </c>
      <c r="O90" s="2">
        <v>1640.63</v>
      </c>
      <c r="P90" t="str">
        <f>"$"</f>
        <v>$</v>
      </c>
      <c r="Q90" t="str">
        <f>"117"</f>
        <v>117</v>
      </c>
      <c r="R90" t="str">
        <f>"רתמות"</f>
        <v>רתמות</v>
      </c>
      <c r="S90" t="str">
        <f>"034"</f>
        <v>034</v>
      </c>
      <c r="T90" t="str">
        <f>"גנם הודיה"</f>
        <v>גנם הודיה</v>
      </c>
      <c r="U90">
        <v>0</v>
      </c>
      <c r="V90">
        <v>0</v>
      </c>
      <c r="W90" s="2">
        <v>1640.63</v>
      </c>
      <c r="X90" s="2">
        <v>1640.63</v>
      </c>
      <c r="Z90" t="str">
        <f>"Y"</f>
        <v>Y</v>
      </c>
      <c r="AA90">
        <v>1</v>
      </c>
      <c r="AC90">
        <v>0</v>
      </c>
      <c r="AE90">
        <v>0</v>
      </c>
      <c r="AF90">
        <v>0</v>
      </c>
      <c r="AG90" s="2">
        <v>5346.81</v>
      </c>
      <c r="AH90">
        <v>0</v>
      </c>
      <c r="AI90" s="2">
        <v>5346.81</v>
      </c>
      <c r="AJ90" s="2">
        <v>1640.63</v>
      </c>
      <c r="AK90" s="2">
        <v>1640.63</v>
      </c>
      <c r="AL90" t="str">
        <f>"$"</f>
        <v>$</v>
      </c>
    </row>
    <row r="91" spans="1:38" x14ac:dyDescent="0.3">
      <c r="A91" t="str">
        <f>"SO20000062"</f>
        <v>SO20000062</v>
      </c>
      <c r="B91" t="str">
        <f>"E000305063"</f>
        <v>E000305063</v>
      </c>
      <c r="C91" t="str">
        <f>"בוצעה"</f>
        <v>בוצעה</v>
      </c>
      <c r="E91" s="3">
        <v>43870</v>
      </c>
      <c r="F91" s="3">
        <v>44195</v>
      </c>
      <c r="G91" t="str">
        <f>"700065"</f>
        <v>700065</v>
      </c>
      <c r="H91" t="str">
        <f>"אלתא מערכות בע""מ"</f>
        <v>אלתא מערכות בע"מ</v>
      </c>
      <c r="I91" t="str">
        <f>"ערן שלו"</f>
        <v>ערן שלו</v>
      </c>
      <c r="J91" t="str">
        <f>"OP-AR02250"</f>
        <v>OP-AR02250</v>
      </c>
      <c r="K91" s="1" t="str">
        <f>"1041G132-001 W132 : ANT PS HPLS CTRL FULL TK"</f>
        <v>1041G132-001 W132 : ANT PS HPLS CTRL FULL TK</v>
      </c>
      <c r="L91">
        <v>1</v>
      </c>
      <c r="M91" t="str">
        <f>"PR20000066"</f>
        <v>PR20000066</v>
      </c>
      <c r="N91" t="str">
        <f>"1041G  HARNES"</f>
        <v>1041G  HARNES</v>
      </c>
      <c r="O91" s="2">
        <v>2825.5</v>
      </c>
      <c r="P91" t="str">
        <f>"$"</f>
        <v>$</v>
      </c>
      <c r="Q91" t="str">
        <f>"117"</f>
        <v>117</v>
      </c>
      <c r="R91" t="str">
        <f>"רתמות"</f>
        <v>רתמות</v>
      </c>
      <c r="S91" t="str">
        <f>"034"</f>
        <v>034</v>
      </c>
      <c r="T91" t="str">
        <f>"גנם הודיה"</f>
        <v>גנם הודיה</v>
      </c>
      <c r="U91">
        <v>0</v>
      </c>
      <c r="V91">
        <v>0</v>
      </c>
      <c r="W91" s="2">
        <v>2825.5</v>
      </c>
      <c r="X91" s="2">
        <v>2825.5</v>
      </c>
      <c r="Z91" t="str">
        <f>"Y"</f>
        <v>Y</v>
      </c>
      <c r="AA91">
        <v>0</v>
      </c>
      <c r="AC91">
        <v>0</v>
      </c>
      <c r="AE91">
        <v>0</v>
      </c>
      <c r="AF91">
        <v>0</v>
      </c>
      <c r="AG91" s="2">
        <v>9208.2999999999993</v>
      </c>
      <c r="AH91">
        <v>0</v>
      </c>
      <c r="AI91" s="2">
        <v>9208.2999999999993</v>
      </c>
      <c r="AJ91" s="2">
        <v>2825.5</v>
      </c>
      <c r="AK91" s="2">
        <v>2825.5</v>
      </c>
      <c r="AL91" t="str">
        <f>"$"</f>
        <v>$</v>
      </c>
    </row>
    <row r="92" spans="1:38" x14ac:dyDescent="0.3">
      <c r="A92" t="str">
        <f>"SO20000064"</f>
        <v>SO20000064</v>
      </c>
      <c r="B92" t="str">
        <f>"E000304846"</f>
        <v>E000304846</v>
      </c>
      <c r="C92" t="str">
        <f>"בוצעה"</f>
        <v>בוצעה</v>
      </c>
      <c r="E92" s="3">
        <v>43871</v>
      </c>
      <c r="F92" s="3">
        <v>44165</v>
      </c>
      <c r="G92" t="str">
        <f>"700065"</f>
        <v>700065</v>
      </c>
      <c r="H92" t="str">
        <f>"אלתא מערכות בע""מ"</f>
        <v>אלתא מערכות בע"מ</v>
      </c>
      <c r="I92" t="str">
        <f>"ערן שלו"</f>
        <v>ערן שלו</v>
      </c>
      <c r="J92" t="str">
        <f>"cust00895"</f>
        <v>cust00895</v>
      </c>
      <c r="K92" s="1" t="str">
        <f>"DPR6000B-48"</f>
        <v>DPR6000B-48</v>
      </c>
      <c r="L92">
        <v>1</v>
      </c>
      <c r="M92" t="str">
        <f>"PR20000067"</f>
        <v>PR20000067</v>
      </c>
      <c r="N92" t="str">
        <f>"תיקון חלקי פרויקט גנסיס"</f>
        <v>תיקון חלקי פרויקט גנסיס</v>
      </c>
      <c r="O92">
        <v>500</v>
      </c>
      <c r="P92" t="str">
        <f>"$"</f>
        <v>$</v>
      </c>
      <c r="Q92" t="str">
        <f>"000"</f>
        <v>000</v>
      </c>
      <c r="R92" t="str">
        <f>"כללית"</f>
        <v>כללית</v>
      </c>
      <c r="S92" t="str">
        <f>"034"</f>
        <v>034</v>
      </c>
      <c r="T92" t="str">
        <f>"גנם הודיה"</f>
        <v>גנם הודיה</v>
      </c>
      <c r="U92">
        <v>0</v>
      </c>
      <c r="V92">
        <v>0</v>
      </c>
      <c r="W92">
        <v>500</v>
      </c>
      <c r="X92">
        <v>500</v>
      </c>
      <c r="Z92" t="str">
        <f>"Y"</f>
        <v>Y</v>
      </c>
      <c r="AA92">
        <v>0</v>
      </c>
      <c r="AC92">
        <v>0</v>
      </c>
      <c r="AE92">
        <v>0</v>
      </c>
      <c r="AF92">
        <v>0</v>
      </c>
      <c r="AG92" s="2">
        <v>1626.5</v>
      </c>
      <c r="AH92">
        <v>0</v>
      </c>
      <c r="AI92" s="2">
        <v>1626.5</v>
      </c>
      <c r="AJ92">
        <v>500</v>
      </c>
      <c r="AK92">
        <v>500</v>
      </c>
      <c r="AL92" t="str">
        <f>"$"</f>
        <v>$</v>
      </c>
    </row>
    <row r="93" spans="1:38" x14ac:dyDescent="0.3">
      <c r="A93" t="str">
        <f>"SO20000064"</f>
        <v>SO20000064</v>
      </c>
      <c r="B93" t="str">
        <f>"E000304846"</f>
        <v>E000304846</v>
      </c>
      <c r="C93" t="str">
        <f>"בוצעה"</f>
        <v>בוצעה</v>
      </c>
      <c r="E93" s="3">
        <v>43871</v>
      </c>
      <c r="F93" s="3">
        <v>44165</v>
      </c>
      <c r="G93" t="str">
        <f>"700065"</f>
        <v>700065</v>
      </c>
      <c r="H93" t="str">
        <f>"אלתא מערכות בע""מ"</f>
        <v>אלתא מערכות בע"מ</v>
      </c>
      <c r="I93" t="str">
        <f>"ערן שלו"</f>
        <v>ערן שלו</v>
      </c>
      <c r="J93" t="str">
        <f>"cust00895"</f>
        <v>cust00895</v>
      </c>
      <c r="K93" s="1" t="str">
        <f>"DPR6000B-48"</f>
        <v>DPR6000B-48</v>
      </c>
      <c r="L93">
        <v>1</v>
      </c>
      <c r="M93" t="str">
        <f>"PR20000067"</f>
        <v>PR20000067</v>
      </c>
      <c r="N93" t="str">
        <f>"תיקון חלקי פרויקט גנסיס"</f>
        <v>תיקון חלקי פרויקט גנסיס</v>
      </c>
      <c r="O93">
        <v>500</v>
      </c>
      <c r="P93" t="str">
        <f>"$"</f>
        <v>$</v>
      </c>
      <c r="Q93" t="str">
        <f>"000"</f>
        <v>000</v>
      </c>
      <c r="R93" t="str">
        <f>"כללית"</f>
        <v>כללית</v>
      </c>
      <c r="S93" t="str">
        <f>"034"</f>
        <v>034</v>
      </c>
      <c r="T93" t="str">
        <f>"גנם הודיה"</f>
        <v>גנם הודיה</v>
      </c>
      <c r="U93">
        <v>0</v>
      </c>
      <c r="V93">
        <v>0</v>
      </c>
      <c r="W93">
        <v>500</v>
      </c>
      <c r="X93">
        <v>500</v>
      </c>
      <c r="Z93" t="str">
        <f>"Y"</f>
        <v>Y</v>
      </c>
      <c r="AA93">
        <v>0</v>
      </c>
      <c r="AC93">
        <v>0</v>
      </c>
      <c r="AE93">
        <v>0</v>
      </c>
      <c r="AF93">
        <v>0</v>
      </c>
      <c r="AG93" s="2">
        <v>1626.5</v>
      </c>
      <c r="AH93">
        <v>0</v>
      </c>
      <c r="AI93" s="2">
        <v>1626.5</v>
      </c>
      <c r="AJ93">
        <v>500</v>
      </c>
      <c r="AK93">
        <v>500</v>
      </c>
      <c r="AL93" t="str">
        <f>"$"</f>
        <v>$</v>
      </c>
    </row>
    <row r="94" spans="1:38" x14ac:dyDescent="0.3">
      <c r="A94" t="str">
        <f>"SO20000064"</f>
        <v>SO20000064</v>
      </c>
      <c r="B94" t="str">
        <f>"E000304846"</f>
        <v>E000304846</v>
      </c>
      <c r="C94" t="str">
        <f>"בוצעה"</f>
        <v>בוצעה</v>
      </c>
      <c r="E94" s="3">
        <v>43871</v>
      </c>
      <c r="F94" s="3">
        <v>44165</v>
      </c>
      <c r="G94" t="str">
        <f>"700065"</f>
        <v>700065</v>
      </c>
      <c r="H94" t="str">
        <f>"אלתא מערכות בע""מ"</f>
        <v>אלתא מערכות בע"מ</v>
      </c>
      <c r="I94" t="str">
        <f>"ערן שלו"</f>
        <v>ערן שלו</v>
      </c>
      <c r="J94" t="str">
        <f>"cust00895"</f>
        <v>cust00895</v>
      </c>
      <c r="K94" s="1" t="str">
        <f>"DPR6000B-48"</f>
        <v>DPR6000B-48</v>
      </c>
      <c r="L94">
        <v>1</v>
      </c>
      <c r="M94" t="str">
        <f>"PR20000067"</f>
        <v>PR20000067</v>
      </c>
      <c r="N94" t="str">
        <f>"תיקון חלקי פרויקט גנסיס"</f>
        <v>תיקון חלקי פרויקט גנסיס</v>
      </c>
      <c r="O94">
        <v>500</v>
      </c>
      <c r="P94" t="str">
        <f>"$"</f>
        <v>$</v>
      </c>
      <c r="Q94" t="str">
        <f>"000"</f>
        <v>000</v>
      </c>
      <c r="R94" t="str">
        <f>"כללית"</f>
        <v>כללית</v>
      </c>
      <c r="S94" t="str">
        <f>"034"</f>
        <v>034</v>
      </c>
      <c r="T94" t="str">
        <f>"גנם הודיה"</f>
        <v>גנם הודיה</v>
      </c>
      <c r="U94">
        <v>0</v>
      </c>
      <c r="V94">
        <v>0</v>
      </c>
      <c r="W94">
        <v>500</v>
      </c>
      <c r="X94">
        <v>500</v>
      </c>
      <c r="Z94" t="str">
        <f>"Y"</f>
        <v>Y</v>
      </c>
      <c r="AA94">
        <v>0</v>
      </c>
      <c r="AC94">
        <v>0</v>
      </c>
      <c r="AE94">
        <v>0</v>
      </c>
      <c r="AF94">
        <v>0</v>
      </c>
      <c r="AG94" s="2">
        <v>1626.5</v>
      </c>
      <c r="AH94">
        <v>0</v>
      </c>
      <c r="AI94" s="2">
        <v>1626.5</v>
      </c>
      <c r="AJ94">
        <v>500</v>
      </c>
      <c r="AK94">
        <v>500</v>
      </c>
      <c r="AL94" t="str">
        <f>"$"</f>
        <v>$</v>
      </c>
    </row>
    <row r="95" spans="1:38" x14ac:dyDescent="0.3">
      <c r="A95" t="str">
        <f>"SO20000064"</f>
        <v>SO20000064</v>
      </c>
      <c r="B95" t="str">
        <f>"E000304846"</f>
        <v>E000304846</v>
      </c>
      <c r="C95" t="str">
        <f>"בוצעה"</f>
        <v>בוצעה</v>
      </c>
      <c r="E95" s="3">
        <v>43871</v>
      </c>
      <c r="F95" s="3">
        <v>44165</v>
      </c>
      <c r="G95" t="str">
        <f>"700065"</f>
        <v>700065</v>
      </c>
      <c r="H95" t="str">
        <f>"אלתא מערכות בע""מ"</f>
        <v>אלתא מערכות בע"מ</v>
      </c>
      <c r="I95" t="str">
        <f>"ערן שלו"</f>
        <v>ערן שלו</v>
      </c>
      <c r="J95" t="str">
        <f>"cust00896"</f>
        <v>cust00896</v>
      </c>
      <c r="K95" s="1" t="str">
        <f>"MEDIA EPC 230V  P33173000 אלתא"</f>
        <v>MEDIA EPC 230V  P33173000 אלתא</v>
      </c>
      <c r="L95">
        <v>1</v>
      </c>
      <c r="M95" t="str">
        <f>"PR20000067"</f>
        <v>PR20000067</v>
      </c>
      <c r="N95" t="str">
        <f>"תיקון חלקי פרויקט גנסיס"</f>
        <v>תיקון חלקי פרויקט גנסיס</v>
      </c>
      <c r="O95">
        <v>150</v>
      </c>
      <c r="P95" t="str">
        <f>"$"</f>
        <v>$</v>
      </c>
      <c r="Q95" t="str">
        <f>"000"</f>
        <v>000</v>
      </c>
      <c r="R95" t="str">
        <f>"כללית"</f>
        <v>כללית</v>
      </c>
      <c r="S95" t="str">
        <f>"034"</f>
        <v>034</v>
      </c>
      <c r="T95" t="str">
        <f>"גנם הודיה"</f>
        <v>גנם הודיה</v>
      </c>
      <c r="U95">
        <v>0</v>
      </c>
      <c r="V95">
        <v>0</v>
      </c>
      <c r="W95">
        <v>150</v>
      </c>
      <c r="X95">
        <v>150</v>
      </c>
      <c r="Z95" t="str">
        <f>"Y"</f>
        <v>Y</v>
      </c>
      <c r="AA95">
        <v>0</v>
      </c>
      <c r="AC95">
        <v>0</v>
      </c>
      <c r="AE95">
        <v>0</v>
      </c>
      <c r="AF95">
        <v>0</v>
      </c>
      <c r="AG95">
        <v>487.95</v>
      </c>
      <c r="AH95">
        <v>0</v>
      </c>
      <c r="AI95">
        <v>487.95</v>
      </c>
      <c r="AJ95">
        <v>150</v>
      </c>
      <c r="AK95">
        <v>150</v>
      </c>
      <c r="AL95" t="str">
        <f>"$"</f>
        <v>$</v>
      </c>
    </row>
    <row r="96" spans="1:38" x14ac:dyDescent="0.3">
      <c r="A96" t="str">
        <f>"SO20000064"</f>
        <v>SO20000064</v>
      </c>
      <c r="B96" t="str">
        <f>"E000304846"</f>
        <v>E000304846</v>
      </c>
      <c r="C96" t="str">
        <f>"בוצעה"</f>
        <v>בוצעה</v>
      </c>
      <c r="E96" s="3">
        <v>43871</v>
      </c>
      <c r="F96" s="3">
        <v>43981</v>
      </c>
      <c r="G96" t="str">
        <f>"700065"</f>
        <v>700065</v>
      </c>
      <c r="H96" t="str">
        <f>"אלתא מערכות בע""מ"</f>
        <v>אלתא מערכות בע"מ</v>
      </c>
      <c r="I96" t="str">
        <f>"ערן שלו"</f>
        <v>ערן שלו</v>
      </c>
      <c r="J96" t="str">
        <f>"cust00896"</f>
        <v>cust00896</v>
      </c>
      <c r="K96" s="1" t="str">
        <f>"MEDIA EPC 230V  P33173000 אלתא"</f>
        <v>MEDIA EPC 230V  P33173000 אלתא</v>
      </c>
      <c r="L96">
        <v>1</v>
      </c>
      <c r="M96" t="str">
        <f>"PR20000067"</f>
        <v>PR20000067</v>
      </c>
      <c r="N96" t="str">
        <f>"תיקון חלקי פרויקט גנסיס"</f>
        <v>תיקון חלקי פרויקט גנסיס</v>
      </c>
      <c r="O96">
        <v>320</v>
      </c>
      <c r="P96" t="str">
        <f>"$"</f>
        <v>$</v>
      </c>
      <c r="Q96" t="str">
        <f>"000"</f>
        <v>000</v>
      </c>
      <c r="R96" t="str">
        <f>"כללית"</f>
        <v>כללית</v>
      </c>
      <c r="S96" t="str">
        <f>"034"</f>
        <v>034</v>
      </c>
      <c r="T96" t="str">
        <f>"גנם הודיה"</f>
        <v>גנם הודיה</v>
      </c>
      <c r="U96">
        <v>0</v>
      </c>
      <c r="V96">
        <v>0</v>
      </c>
      <c r="W96">
        <v>320</v>
      </c>
      <c r="X96">
        <v>320</v>
      </c>
      <c r="Z96" t="str">
        <f>"Y"</f>
        <v>Y</v>
      </c>
      <c r="AA96">
        <v>0</v>
      </c>
      <c r="AC96">
        <v>0</v>
      </c>
      <c r="AE96">
        <v>0</v>
      </c>
      <c r="AF96">
        <v>0</v>
      </c>
      <c r="AG96" s="2">
        <v>1040.96</v>
      </c>
      <c r="AH96">
        <v>0</v>
      </c>
      <c r="AI96" s="2">
        <v>1040.96</v>
      </c>
      <c r="AJ96">
        <v>320</v>
      </c>
      <c r="AK96">
        <v>320</v>
      </c>
      <c r="AL96" t="str">
        <f>"$"</f>
        <v>$</v>
      </c>
    </row>
    <row r="97" spans="1:38" x14ac:dyDescent="0.3">
      <c r="A97" t="str">
        <f>"SO20000064"</f>
        <v>SO20000064</v>
      </c>
      <c r="B97" t="str">
        <f>"E000304846"</f>
        <v>E000304846</v>
      </c>
      <c r="C97" t="str">
        <f>"בוצעה"</f>
        <v>בוצעה</v>
      </c>
      <c r="E97" s="3">
        <v>43871</v>
      </c>
      <c r="F97" s="3">
        <v>44165</v>
      </c>
      <c r="G97" t="str">
        <f>"700065"</f>
        <v>700065</v>
      </c>
      <c r="H97" t="str">
        <f>"אלתא מערכות בע""מ"</f>
        <v>אלתא מערכות בע"מ</v>
      </c>
      <c r="I97" t="str">
        <f>"ערן שלו"</f>
        <v>ערן שלו</v>
      </c>
      <c r="J97" t="str">
        <f>"cust00896"</f>
        <v>cust00896</v>
      </c>
      <c r="K97" s="1" t="str">
        <f>"MEDIA EPC 230V  P33173000 אלתא"</f>
        <v>MEDIA EPC 230V  P33173000 אלתא</v>
      </c>
      <c r="L97">
        <v>1</v>
      </c>
      <c r="M97" t="str">
        <f>"PR20000067"</f>
        <v>PR20000067</v>
      </c>
      <c r="N97" t="str">
        <f>"תיקון חלקי פרויקט גנסיס"</f>
        <v>תיקון חלקי פרויקט גנסיס</v>
      </c>
      <c r="O97">
        <v>150</v>
      </c>
      <c r="P97" t="str">
        <f>"$"</f>
        <v>$</v>
      </c>
      <c r="Q97" t="str">
        <f>"000"</f>
        <v>000</v>
      </c>
      <c r="R97" t="str">
        <f>"כללית"</f>
        <v>כללית</v>
      </c>
      <c r="S97" t="str">
        <f>"034"</f>
        <v>034</v>
      </c>
      <c r="T97" t="str">
        <f>"גנם הודיה"</f>
        <v>גנם הודיה</v>
      </c>
      <c r="U97">
        <v>0</v>
      </c>
      <c r="V97">
        <v>0</v>
      </c>
      <c r="W97">
        <v>150</v>
      </c>
      <c r="X97">
        <v>150</v>
      </c>
      <c r="Z97" t="str">
        <f>"Y"</f>
        <v>Y</v>
      </c>
      <c r="AA97">
        <v>0</v>
      </c>
      <c r="AC97">
        <v>0</v>
      </c>
      <c r="AE97">
        <v>0</v>
      </c>
      <c r="AF97">
        <v>0</v>
      </c>
      <c r="AG97">
        <v>487.95</v>
      </c>
      <c r="AH97">
        <v>0</v>
      </c>
      <c r="AI97">
        <v>487.95</v>
      </c>
      <c r="AJ97">
        <v>150</v>
      </c>
      <c r="AK97">
        <v>150</v>
      </c>
      <c r="AL97" t="str">
        <f>"$"</f>
        <v>$</v>
      </c>
    </row>
    <row r="98" spans="1:38" x14ac:dyDescent="0.3">
      <c r="A98" t="str">
        <f>"SO20000064"</f>
        <v>SO20000064</v>
      </c>
      <c r="B98" t="str">
        <f>"E000304846"</f>
        <v>E000304846</v>
      </c>
      <c r="C98" t="str">
        <f>"בוצעה"</f>
        <v>בוצעה</v>
      </c>
      <c r="E98" s="3">
        <v>43871</v>
      </c>
      <c r="F98" s="3">
        <v>44171</v>
      </c>
      <c r="G98" t="str">
        <f>"700065"</f>
        <v>700065</v>
      </c>
      <c r="H98" t="str">
        <f>"אלתא מערכות בע""מ"</f>
        <v>אלתא מערכות בע"מ</v>
      </c>
      <c r="I98" t="str">
        <f>"ערן שלו"</f>
        <v>ערן שלו</v>
      </c>
      <c r="J98" t="str">
        <f>"cust00972"</f>
        <v>cust00972</v>
      </c>
      <c r="K98" s="1" t="str">
        <f>"P331030000 Module MEDIA אלתא"</f>
        <v>P331030000 Module MEDIA אלתא</v>
      </c>
      <c r="L98">
        <v>1</v>
      </c>
      <c r="M98" t="str">
        <f>"PR20000067"</f>
        <v>PR20000067</v>
      </c>
      <c r="N98" t="str">
        <f>"תיקון חלקי פרויקט גנסיס"</f>
        <v>תיקון חלקי פרויקט גנסיס</v>
      </c>
      <c r="O98">
        <v>0</v>
      </c>
      <c r="P98" t="str">
        <f>"$"</f>
        <v>$</v>
      </c>
      <c r="Q98" t="str">
        <f>"000"</f>
        <v>000</v>
      </c>
      <c r="R98" t="str">
        <f>"כללית"</f>
        <v>כללית</v>
      </c>
      <c r="S98" t="str">
        <f>"034"</f>
        <v>034</v>
      </c>
      <c r="T98" t="str">
        <f>"גנם הודיה"</f>
        <v>גנם הודיה</v>
      </c>
      <c r="U98">
        <v>0</v>
      </c>
      <c r="V98">
        <v>0</v>
      </c>
      <c r="W98">
        <v>0</v>
      </c>
      <c r="X98">
        <v>0</v>
      </c>
      <c r="Z98" t="str">
        <f>"Y"</f>
        <v>Y</v>
      </c>
      <c r="AA98">
        <v>0</v>
      </c>
      <c r="AC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 t="str">
        <f>"$"</f>
        <v>$</v>
      </c>
    </row>
    <row r="99" spans="1:38" x14ac:dyDescent="0.3">
      <c r="A99" t="str">
        <f>"SO20000076"</f>
        <v>SO20000076</v>
      </c>
      <c r="B99" t="str">
        <f>"E000306236"</f>
        <v>E000306236</v>
      </c>
      <c r="C99" t="str">
        <f>"בוצעה"</f>
        <v>בוצעה</v>
      </c>
      <c r="E99" s="3">
        <v>43879</v>
      </c>
      <c r="F99" s="3">
        <v>43879</v>
      </c>
      <c r="G99" t="str">
        <f>"700065"</f>
        <v>700065</v>
      </c>
      <c r="H99" t="str">
        <f>"אלתא מערכות בע""מ"</f>
        <v>אלתא מערכות בע"מ</v>
      </c>
      <c r="I99" t="str">
        <f>"ערן שלו"</f>
        <v>ערן שלו</v>
      </c>
      <c r="J99" t="str">
        <f>"OP-AR00066"</f>
        <v>OP-AR00066</v>
      </c>
      <c r="K99" s="1" t="str">
        <f>"1036H631-001 - QG SGP SERVER RACK"</f>
        <v>1036H631-001 - QG SGP SERVER RACK</v>
      </c>
      <c r="L99">
        <v>0</v>
      </c>
      <c r="M99" t="str">
        <f>"PR20000109"</f>
        <v>PR20000109</v>
      </c>
      <c r="N99" t="str">
        <f>"036H631-001 - QG SGP SERVER RACK"</f>
        <v>036H631-001 - QG SGP SERVER RACK</v>
      </c>
      <c r="O99">
        <v>0</v>
      </c>
      <c r="P99" t="str">
        <f>"$"</f>
        <v>$</v>
      </c>
      <c r="Q99" t="str">
        <f>"000"</f>
        <v>000</v>
      </c>
      <c r="R99" t="str">
        <f>"כללית"</f>
        <v>כללית</v>
      </c>
      <c r="S99" t="str">
        <f>"034"</f>
        <v>034</v>
      </c>
      <c r="T99" t="str">
        <f>"גנם הודיה"</f>
        <v>גנם הודיה</v>
      </c>
      <c r="U99">
        <v>0</v>
      </c>
      <c r="V99">
        <v>0</v>
      </c>
      <c r="W99">
        <v>0</v>
      </c>
      <c r="X99">
        <v>0</v>
      </c>
      <c r="Z99" t="str">
        <f>"Y"</f>
        <v>Y</v>
      </c>
      <c r="AA99">
        <v>0</v>
      </c>
      <c r="AC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 t="str">
        <f>"$"</f>
        <v>$</v>
      </c>
    </row>
    <row r="100" spans="1:38" x14ac:dyDescent="0.3">
      <c r="A100" t="str">
        <f>"SO20000076"</f>
        <v>SO20000076</v>
      </c>
      <c r="B100" t="str">
        <f>"E000306236"</f>
        <v>E000306236</v>
      </c>
      <c r="C100" t="str">
        <f>"בוצעה"</f>
        <v>בוצעה</v>
      </c>
      <c r="E100" s="3">
        <v>43879</v>
      </c>
      <c r="F100" s="3">
        <v>43879</v>
      </c>
      <c r="G100" t="str">
        <f>"700065"</f>
        <v>700065</v>
      </c>
      <c r="H100" t="str">
        <f>"אלתא מערכות בע""מ"</f>
        <v>אלתא מערכות בע"מ</v>
      </c>
      <c r="I100" t="str">
        <f>"ערן שלו"</f>
        <v>ערן שלו</v>
      </c>
      <c r="J100" t="str">
        <f>"OP-AR00066"</f>
        <v>OP-AR00066</v>
      </c>
      <c r="K100" s="1" t="str">
        <f>"1036H631-001 - QG SGP SERVER RACK"</f>
        <v>1036H631-001 - QG SGP SERVER RACK</v>
      </c>
      <c r="L100">
        <v>2</v>
      </c>
      <c r="M100" t="str">
        <f>"PR20000109"</f>
        <v>PR20000109</v>
      </c>
      <c r="N100" t="str">
        <f>"036H631-001 - QG SGP SERVER RACK"</f>
        <v>036H631-001 - QG SGP SERVER RACK</v>
      </c>
      <c r="O100" s="2">
        <v>7950</v>
      </c>
      <c r="P100" t="str">
        <f>"$"</f>
        <v>$</v>
      </c>
      <c r="Q100" t="str">
        <f>"000"</f>
        <v>000</v>
      </c>
      <c r="R100" t="str">
        <f>"כללית"</f>
        <v>כללית</v>
      </c>
      <c r="S100" t="str">
        <f>"034"</f>
        <v>034</v>
      </c>
      <c r="T100" t="str">
        <f>"גנם הודיה"</f>
        <v>גנם הודיה</v>
      </c>
      <c r="U100">
        <v>0</v>
      </c>
      <c r="V100">
        <v>0</v>
      </c>
      <c r="W100" s="2">
        <v>7950</v>
      </c>
      <c r="X100" s="2">
        <v>15900</v>
      </c>
      <c r="Z100" t="str">
        <f>"Y"</f>
        <v>Y</v>
      </c>
      <c r="AA100">
        <v>0</v>
      </c>
      <c r="AC100">
        <v>0</v>
      </c>
      <c r="AE100">
        <v>0</v>
      </c>
      <c r="AF100">
        <v>0</v>
      </c>
      <c r="AG100" s="2">
        <v>25956.75</v>
      </c>
      <c r="AH100">
        <v>0</v>
      </c>
      <c r="AI100" s="2">
        <v>51913.5</v>
      </c>
      <c r="AJ100" s="2">
        <v>15900</v>
      </c>
      <c r="AK100" s="2">
        <v>15900</v>
      </c>
      <c r="AL100" t="str">
        <f>"$"</f>
        <v>$</v>
      </c>
    </row>
    <row r="101" spans="1:38" x14ac:dyDescent="0.3">
      <c r="A101" t="str">
        <f>"SO20000077"</f>
        <v>SO20000077</v>
      </c>
      <c r="B101" t="str">
        <f>"E000305686"</f>
        <v>E000305686</v>
      </c>
      <c r="C101" t="str">
        <f>"בוצעה"</f>
        <v>בוצעה</v>
      </c>
      <c r="E101" s="3">
        <v>43879</v>
      </c>
      <c r="F101" s="3">
        <v>44150</v>
      </c>
      <c r="G101" t="str">
        <f>"700065"</f>
        <v>700065</v>
      </c>
      <c r="H101" t="str">
        <f>"אלתא מערכות בע""מ"</f>
        <v>אלתא מערכות בע"מ</v>
      </c>
      <c r="I101" t="str">
        <f>"ערן שלו"</f>
        <v>ערן שלו</v>
      </c>
      <c r="J101" t="str">
        <f>"000"</f>
        <v>000</v>
      </c>
      <c r="K101" s="1" t="str">
        <f>"שינוי במערכת כוח ועדכון תכן - הריבון"</f>
        <v>שינוי במערכת כוח ועדכון תכן - הריבון</v>
      </c>
      <c r="L101">
        <v>1</v>
      </c>
      <c r="M101" t="str">
        <f>"PR18000344"</f>
        <v>PR18000344</v>
      </c>
      <c r="N101" t="str">
        <f>"ייצור מערכות הריבון לפיליפינים"</f>
        <v>ייצור מערכות הריבון לפיליפינים</v>
      </c>
      <c r="O101" s="2">
        <v>2547.5</v>
      </c>
      <c r="P101" t="str">
        <f>"$"</f>
        <v>$</v>
      </c>
      <c r="Q101" t="str">
        <f>"000"</f>
        <v>000</v>
      </c>
      <c r="R101" t="str">
        <f>"כללית"</f>
        <v>כללית</v>
      </c>
      <c r="S101" t="str">
        <f>"034"</f>
        <v>034</v>
      </c>
      <c r="T101" t="str">
        <f>"גנם הודיה"</f>
        <v>גנם הודיה</v>
      </c>
      <c r="U101">
        <v>0</v>
      </c>
      <c r="V101">
        <v>0</v>
      </c>
      <c r="W101" s="2">
        <v>2547.5</v>
      </c>
      <c r="X101" s="2">
        <v>2547.5</v>
      </c>
      <c r="Z101" t="str">
        <f>"Y"</f>
        <v>Y</v>
      </c>
      <c r="AA101">
        <v>1</v>
      </c>
      <c r="AC101">
        <v>0</v>
      </c>
      <c r="AE101">
        <v>0</v>
      </c>
      <c r="AF101">
        <v>0</v>
      </c>
      <c r="AG101" s="2">
        <v>8317.59</v>
      </c>
      <c r="AH101">
        <v>0</v>
      </c>
      <c r="AI101" s="2">
        <v>8317.59</v>
      </c>
      <c r="AJ101" s="2">
        <v>2547.5</v>
      </c>
      <c r="AK101" s="2">
        <v>2547.5</v>
      </c>
      <c r="AL101" t="str">
        <f>"$"</f>
        <v>$</v>
      </c>
    </row>
    <row r="102" spans="1:38" x14ac:dyDescent="0.3">
      <c r="A102" t="str">
        <f>"SO20000077"</f>
        <v>SO20000077</v>
      </c>
      <c r="B102" t="str">
        <f>"E000305686"</f>
        <v>E000305686</v>
      </c>
      <c r="C102" t="str">
        <f>"בוצעה"</f>
        <v>בוצעה</v>
      </c>
      <c r="E102" s="3">
        <v>43879</v>
      </c>
      <c r="F102" s="3">
        <v>44150</v>
      </c>
      <c r="G102" t="str">
        <f>"700065"</f>
        <v>700065</v>
      </c>
      <c r="H102" t="str">
        <f>"אלתא מערכות בע""מ"</f>
        <v>אלתא מערכות בע"מ</v>
      </c>
      <c r="I102" t="str">
        <f>"ערן שלו"</f>
        <v>ערן שלו</v>
      </c>
      <c r="J102" t="str">
        <f>"000"</f>
        <v>000</v>
      </c>
      <c r="K102" s="1" t="str">
        <f>"שינוי במערכת כח ועדכון תכן - יאיר האופק"</f>
        <v>שינוי במערכת כח ועדכון תכן - יאיר האופק</v>
      </c>
      <c r="L102">
        <v>1</v>
      </c>
      <c r="M102" t="str">
        <f>"PR18000344"</f>
        <v>PR18000344</v>
      </c>
      <c r="N102" t="str">
        <f>"ייצור מערכות הריבון לפיליפינים"</f>
        <v>ייצור מערכות הריבון לפיליפינים</v>
      </c>
      <c r="O102" s="2">
        <v>2547.5</v>
      </c>
      <c r="P102" t="str">
        <f>"$"</f>
        <v>$</v>
      </c>
      <c r="Q102" t="str">
        <f>"000"</f>
        <v>000</v>
      </c>
      <c r="R102" t="str">
        <f>"כללית"</f>
        <v>כללית</v>
      </c>
      <c r="S102" t="str">
        <f>"034"</f>
        <v>034</v>
      </c>
      <c r="T102" t="str">
        <f>"גנם הודיה"</f>
        <v>גנם הודיה</v>
      </c>
      <c r="U102">
        <v>0</v>
      </c>
      <c r="V102">
        <v>0</v>
      </c>
      <c r="W102" s="2">
        <v>2547.5</v>
      </c>
      <c r="X102" s="2">
        <v>2547.5</v>
      </c>
      <c r="Z102" t="str">
        <f>"Y"</f>
        <v>Y</v>
      </c>
      <c r="AA102">
        <v>1</v>
      </c>
      <c r="AC102">
        <v>0</v>
      </c>
      <c r="AE102">
        <v>0</v>
      </c>
      <c r="AF102">
        <v>0</v>
      </c>
      <c r="AG102" s="2">
        <v>8317.59</v>
      </c>
      <c r="AH102">
        <v>0</v>
      </c>
      <c r="AI102" s="2">
        <v>8317.59</v>
      </c>
      <c r="AJ102" s="2">
        <v>2547.5</v>
      </c>
      <c r="AK102" s="2">
        <v>2547.5</v>
      </c>
      <c r="AL102" t="str">
        <f>"$"</f>
        <v>$</v>
      </c>
    </row>
    <row r="103" spans="1:38" x14ac:dyDescent="0.3">
      <c r="A103" t="str">
        <f>"SO20000088"</f>
        <v>SO20000088</v>
      </c>
      <c r="B103" t="str">
        <f>"E000306881"</f>
        <v>E000306881</v>
      </c>
      <c r="C103" t="str">
        <f>"בוצעה"</f>
        <v>בוצעה</v>
      </c>
      <c r="E103" s="3">
        <v>43888</v>
      </c>
      <c r="F103" s="3">
        <v>43946</v>
      </c>
      <c r="G103" t="str">
        <f>"700065"</f>
        <v>700065</v>
      </c>
      <c r="H103" t="str">
        <f>"אלתא מערכות בע""מ"</f>
        <v>אלתא מערכות בע"מ</v>
      </c>
      <c r="I103" t="str">
        <f>"ערן שלו"</f>
        <v>ערן שלו</v>
      </c>
      <c r="J103" t="str">
        <f>"OP-AR01647"</f>
        <v>OP-AR01647</v>
      </c>
      <c r="K103" s="1" t="str">
        <f>"1023B165-001 WA165 POWER SUPPLY TO SGU2"</f>
        <v>1023B165-001 WA165 POWER SUPPLY TO SGU2</v>
      </c>
      <c r="L103">
        <v>1</v>
      </c>
      <c r="M103" t="str">
        <f>"PR20000110"</f>
        <v>PR20000110</v>
      </c>
      <c r="N103" t="str">
        <f>"1023B יצור 2 רתמות"</f>
        <v>1023B יצור 2 רתמות</v>
      </c>
      <c r="O103">
        <v>602.33000000000004</v>
      </c>
      <c r="P103" t="str">
        <f>"$"</f>
        <v>$</v>
      </c>
      <c r="Q103" t="str">
        <f>"000"</f>
        <v>000</v>
      </c>
      <c r="R103" t="str">
        <f>"כללית"</f>
        <v>כללית</v>
      </c>
      <c r="S103" t="str">
        <f>"034"</f>
        <v>034</v>
      </c>
      <c r="T103" t="str">
        <f>"גנם הודיה"</f>
        <v>גנם הודיה</v>
      </c>
      <c r="U103">
        <v>0</v>
      </c>
      <c r="V103">
        <v>0</v>
      </c>
      <c r="W103">
        <v>602.33000000000004</v>
      </c>
      <c r="X103">
        <v>602.33000000000004</v>
      </c>
      <c r="Z103" t="str">
        <f>"Y"</f>
        <v>Y</v>
      </c>
      <c r="AA103">
        <v>0</v>
      </c>
      <c r="AC103">
        <v>0</v>
      </c>
      <c r="AE103">
        <v>0</v>
      </c>
      <c r="AF103">
        <v>0</v>
      </c>
      <c r="AG103" s="2">
        <v>2068.4</v>
      </c>
      <c r="AH103">
        <v>0</v>
      </c>
      <c r="AI103" s="2">
        <v>2068.4</v>
      </c>
      <c r="AJ103">
        <v>602.33000000000004</v>
      </c>
      <c r="AK103">
        <v>602.33000000000004</v>
      </c>
      <c r="AL103" t="str">
        <f>"$"</f>
        <v>$</v>
      </c>
    </row>
    <row r="104" spans="1:38" x14ac:dyDescent="0.3">
      <c r="A104" t="str">
        <f>"SO20000088"</f>
        <v>SO20000088</v>
      </c>
      <c r="B104" t="str">
        <f>"E000306881"</f>
        <v>E000306881</v>
      </c>
      <c r="C104" t="str">
        <f>"בוצעה"</f>
        <v>בוצעה</v>
      </c>
      <c r="E104" s="3">
        <v>43888</v>
      </c>
      <c r="F104" s="3">
        <v>43946</v>
      </c>
      <c r="G104" t="str">
        <f>"700065"</f>
        <v>700065</v>
      </c>
      <c r="H104" t="str">
        <f>"אלתא מערכות בע""מ"</f>
        <v>אלתא מערכות בע"מ</v>
      </c>
      <c r="I104" t="str">
        <f>"ערן שלו"</f>
        <v>ערן שלו</v>
      </c>
      <c r="J104" t="str">
        <f>"OP-AR01648"</f>
        <v>OP-AR01648</v>
      </c>
      <c r="K104" s="1" t="str">
        <f>"1023B299-001 WA299 CONTROL-GU9 TO PS9"</f>
        <v>1023B299-001 WA299 CONTROL-GU9 TO PS9</v>
      </c>
      <c r="L104">
        <v>1</v>
      </c>
      <c r="M104" t="str">
        <f>"PR20000110"</f>
        <v>PR20000110</v>
      </c>
      <c r="N104" t="str">
        <f>"1023B יצור 2 רתמות"</f>
        <v>1023B יצור 2 רתמות</v>
      </c>
      <c r="O104">
        <v>444.32</v>
      </c>
      <c r="P104" t="str">
        <f>"$"</f>
        <v>$</v>
      </c>
      <c r="Q104" t="str">
        <f>"000"</f>
        <v>000</v>
      </c>
      <c r="R104" t="str">
        <f>"כללית"</f>
        <v>כללית</v>
      </c>
      <c r="S104" t="str">
        <f>"034"</f>
        <v>034</v>
      </c>
      <c r="T104" t="str">
        <f>"גנם הודיה"</f>
        <v>גנם הודיה</v>
      </c>
      <c r="U104">
        <v>0</v>
      </c>
      <c r="V104">
        <v>0</v>
      </c>
      <c r="W104">
        <v>444.32</v>
      </c>
      <c r="X104">
        <v>444.32</v>
      </c>
      <c r="Z104" t="str">
        <f>"Y"</f>
        <v>Y</v>
      </c>
      <c r="AA104">
        <v>0</v>
      </c>
      <c r="AC104">
        <v>0</v>
      </c>
      <c r="AE104">
        <v>0</v>
      </c>
      <c r="AF104">
        <v>0</v>
      </c>
      <c r="AG104" s="2">
        <v>1525.79</v>
      </c>
      <c r="AH104">
        <v>0</v>
      </c>
      <c r="AI104" s="2">
        <v>1525.79</v>
      </c>
      <c r="AJ104">
        <v>444.32</v>
      </c>
      <c r="AK104">
        <v>444.32</v>
      </c>
      <c r="AL104" t="str">
        <f>"$"</f>
        <v>$</v>
      </c>
    </row>
    <row r="105" spans="1:38" x14ac:dyDescent="0.3">
      <c r="A105" t="str">
        <f>"SO20000094"</f>
        <v>SO20000094</v>
      </c>
      <c r="B105" t="str">
        <f>"E000306197"</f>
        <v>E000306197</v>
      </c>
      <c r="C105" t="str">
        <f>"בוצעה"</f>
        <v>בוצעה</v>
      </c>
      <c r="E105" s="3">
        <v>43891</v>
      </c>
      <c r="F105" s="3">
        <v>44021</v>
      </c>
      <c r="G105" t="str">
        <f>"700065"</f>
        <v>700065</v>
      </c>
      <c r="H105" t="str">
        <f>"אלתא מערכות בע""מ"</f>
        <v>אלתא מערכות בע"מ</v>
      </c>
      <c r="I105" t="str">
        <f>"ערן שלו"</f>
        <v>ערן שלו</v>
      </c>
      <c r="J105" t="str">
        <f>"OP-AR01657"</f>
        <v>OP-AR01657</v>
      </c>
      <c r="K105" s="1" t="str">
        <f>"1041G363-001 W363- SHELTER TO PEDESTAL SPARE"</f>
        <v>1041G363-001 W363- SHELTER TO PEDESTAL SPARE</v>
      </c>
      <c r="L105">
        <v>3</v>
      </c>
      <c r="M105" t="str">
        <f>"PR20000115"</f>
        <v>PR20000115</v>
      </c>
      <c r="N105" t="str">
        <f>"כבלי 1041G3 /מאי"</f>
        <v>כבלי 1041G3 /מאי</v>
      </c>
      <c r="O105">
        <v>856.66</v>
      </c>
      <c r="P105" t="str">
        <f>"$"</f>
        <v>$</v>
      </c>
      <c r="Q105" t="str">
        <f>"000"</f>
        <v>000</v>
      </c>
      <c r="R105" t="str">
        <f>"כללית"</f>
        <v>כללית</v>
      </c>
      <c r="S105" t="str">
        <f>"034"</f>
        <v>034</v>
      </c>
      <c r="T105" t="str">
        <f>"גנם הודיה"</f>
        <v>גנם הודיה</v>
      </c>
      <c r="U105">
        <v>0</v>
      </c>
      <c r="V105">
        <v>0</v>
      </c>
      <c r="W105">
        <v>856.66</v>
      </c>
      <c r="X105" s="2">
        <v>2569.98</v>
      </c>
      <c r="Z105" t="str">
        <f>"Y"</f>
        <v>Y</v>
      </c>
      <c r="AA105">
        <v>0</v>
      </c>
      <c r="AC105">
        <v>0</v>
      </c>
      <c r="AE105">
        <v>0</v>
      </c>
      <c r="AF105">
        <v>0</v>
      </c>
      <c r="AG105" s="2">
        <v>2970.04</v>
      </c>
      <c r="AH105">
        <v>0</v>
      </c>
      <c r="AI105" s="2">
        <v>8910.1200000000008</v>
      </c>
      <c r="AJ105" s="2">
        <v>2569.98</v>
      </c>
      <c r="AK105" s="2">
        <v>2569.98</v>
      </c>
      <c r="AL105" t="str">
        <f>"$"</f>
        <v>$</v>
      </c>
    </row>
    <row r="106" spans="1:38" x14ac:dyDescent="0.3">
      <c r="A106" t="str">
        <f>"SO20000094"</f>
        <v>SO20000094</v>
      </c>
      <c r="B106" t="str">
        <f>"E000306197"</f>
        <v>E000306197</v>
      </c>
      <c r="C106" t="str">
        <f>"בוצעה"</f>
        <v>בוצעה</v>
      </c>
      <c r="E106" s="3">
        <v>43891</v>
      </c>
      <c r="F106" s="3">
        <v>43981</v>
      </c>
      <c r="G106" t="str">
        <f>"700065"</f>
        <v>700065</v>
      </c>
      <c r="H106" t="str">
        <f>"אלתא מערכות בע""מ"</f>
        <v>אלתא מערכות בע"מ</v>
      </c>
      <c r="I106" t="str">
        <f>"ערן שלו"</f>
        <v>ערן שלו</v>
      </c>
      <c r="J106" t="str">
        <f>"OP-AR01654"</f>
        <v>OP-AR01654</v>
      </c>
      <c r="K106" s="1" t="str">
        <f>"1041G352-001 W352 - SHELTER AND CU RACK TO ANT"</f>
        <v>1041G352-001 W352 - SHELTER AND CU RACK TO ANT</v>
      </c>
      <c r="L106">
        <v>1</v>
      </c>
      <c r="M106" t="str">
        <f>"PR20000115"</f>
        <v>PR20000115</v>
      </c>
      <c r="N106" t="str">
        <f>"כבלי 1041G3 /מאי"</f>
        <v>כבלי 1041G3 /מאי</v>
      </c>
      <c r="O106" s="2">
        <v>3183.15</v>
      </c>
      <c r="P106" t="str">
        <f>"$"</f>
        <v>$</v>
      </c>
      <c r="Q106" t="str">
        <f>"000"</f>
        <v>000</v>
      </c>
      <c r="R106" t="str">
        <f>"כללית"</f>
        <v>כללית</v>
      </c>
      <c r="S106" t="str">
        <f>"034"</f>
        <v>034</v>
      </c>
      <c r="T106" t="str">
        <f>"גנם הודיה"</f>
        <v>גנם הודיה</v>
      </c>
      <c r="U106">
        <v>0</v>
      </c>
      <c r="V106">
        <v>0</v>
      </c>
      <c r="W106" s="2">
        <v>3183.15</v>
      </c>
      <c r="X106" s="2">
        <v>3183.15</v>
      </c>
      <c r="Z106" t="str">
        <f>"Y"</f>
        <v>Y</v>
      </c>
      <c r="AA106">
        <v>0</v>
      </c>
      <c r="AC106">
        <v>0</v>
      </c>
      <c r="AE106">
        <v>0</v>
      </c>
      <c r="AF106">
        <v>0</v>
      </c>
      <c r="AG106" s="2">
        <v>11035.98</v>
      </c>
      <c r="AH106">
        <v>0</v>
      </c>
      <c r="AI106" s="2">
        <v>11035.98</v>
      </c>
      <c r="AJ106" s="2">
        <v>3183.15</v>
      </c>
      <c r="AK106" s="2">
        <v>3183.15</v>
      </c>
      <c r="AL106" t="str">
        <f>"$"</f>
        <v>$</v>
      </c>
    </row>
    <row r="107" spans="1:38" x14ac:dyDescent="0.3">
      <c r="A107" t="str">
        <f>"SO20000094"</f>
        <v>SO20000094</v>
      </c>
      <c r="B107" t="str">
        <f>"E000306197"</f>
        <v>E000306197</v>
      </c>
      <c r="C107" t="str">
        <f>"בוצעה"</f>
        <v>בוצעה</v>
      </c>
      <c r="E107" s="3">
        <v>43891</v>
      </c>
      <c r="F107" s="3">
        <v>44012</v>
      </c>
      <c r="G107" t="str">
        <f>"700065"</f>
        <v>700065</v>
      </c>
      <c r="H107" t="str">
        <f>"אלתא מערכות בע""מ"</f>
        <v>אלתא מערכות בע"מ</v>
      </c>
      <c r="I107" t="str">
        <f>"ערן שלו"</f>
        <v>ערן שלו</v>
      </c>
      <c r="J107" t="str">
        <f>"OP-AR01654"</f>
        <v>OP-AR01654</v>
      </c>
      <c r="K107" s="1" t="str">
        <f>"1041G352-001 W352 - SHELTER AND CU RACK TO ANT"</f>
        <v>1041G352-001 W352 - SHELTER AND CU RACK TO ANT</v>
      </c>
      <c r="L107">
        <v>2</v>
      </c>
      <c r="M107" t="str">
        <f>"PR20000115"</f>
        <v>PR20000115</v>
      </c>
      <c r="N107" t="str">
        <f>"כבלי 1041G3 /מאי"</f>
        <v>כבלי 1041G3 /מאי</v>
      </c>
      <c r="O107" s="2">
        <v>3183.15</v>
      </c>
      <c r="P107" t="str">
        <f>"$"</f>
        <v>$</v>
      </c>
      <c r="Q107" t="str">
        <f>"000"</f>
        <v>000</v>
      </c>
      <c r="R107" t="str">
        <f>"כללית"</f>
        <v>כללית</v>
      </c>
      <c r="S107" t="str">
        <f>"034"</f>
        <v>034</v>
      </c>
      <c r="T107" t="str">
        <f>"גנם הודיה"</f>
        <v>גנם הודיה</v>
      </c>
      <c r="U107">
        <v>0</v>
      </c>
      <c r="V107">
        <v>0</v>
      </c>
      <c r="W107" s="2">
        <v>3183.15</v>
      </c>
      <c r="X107" s="2">
        <v>6366.3</v>
      </c>
      <c r="Z107" t="str">
        <f>"Y"</f>
        <v>Y</v>
      </c>
      <c r="AA107">
        <v>0</v>
      </c>
      <c r="AC107">
        <v>0</v>
      </c>
      <c r="AE107">
        <v>0</v>
      </c>
      <c r="AF107">
        <v>0</v>
      </c>
      <c r="AG107" s="2">
        <v>11035.98</v>
      </c>
      <c r="AH107">
        <v>0</v>
      </c>
      <c r="AI107" s="2">
        <v>22071.96</v>
      </c>
      <c r="AJ107" s="2">
        <v>6366.3</v>
      </c>
      <c r="AK107" s="2">
        <v>6366.3</v>
      </c>
      <c r="AL107" t="str">
        <f>"$"</f>
        <v>$</v>
      </c>
    </row>
    <row r="108" spans="1:38" x14ac:dyDescent="0.3">
      <c r="A108" t="str">
        <f>"SO20000094"</f>
        <v>SO20000094</v>
      </c>
      <c r="B108" t="str">
        <f>"E000306197"</f>
        <v>E000306197</v>
      </c>
      <c r="C108" t="str">
        <f>"בוצעה"</f>
        <v>בוצעה</v>
      </c>
      <c r="E108" s="3">
        <v>43891</v>
      </c>
      <c r="F108" s="3">
        <v>43981</v>
      </c>
      <c r="G108" t="str">
        <f>"700065"</f>
        <v>700065</v>
      </c>
      <c r="H108" t="str">
        <f>"אלתא מערכות בע""מ"</f>
        <v>אלתא מערכות בע"מ</v>
      </c>
      <c r="I108" t="str">
        <f>"ערן שלו"</f>
        <v>ערן שלו</v>
      </c>
      <c r="J108" t="str">
        <f>"OP-AR01655"</f>
        <v>OP-AR01655</v>
      </c>
      <c r="K108" s="1" t="str">
        <f>"1041G354-001 W354 - PWR FROM SHELTER TO ANT UNIT"</f>
        <v>1041G354-001 W354 - PWR FROM SHELTER TO ANT UNIT</v>
      </c>
      <c r="L108">
        <v>1</v>
      </c>
      <c r="M108" t="str">
        <f>"PR20000115"</f>
        <v>PR20000115</v>
      </c>
      <c r="N108" t="str">
        <f>"כבלי 1041G3 /מאי"</f>
        <v>כבלי 1041G3 /מאי</v>
      </c>
      <c r="O108" s="2">
        <v>1334.63</v>
      </c>
      <c r="P108" t="str">
        <f>"$"</f>
        <v>$</v>
      </c>
      <c r="Q108" t="str">
        <f>"000"</f>
        <v>000</v>
      </c>
      <c r="R108" t="str">
        <f>"כללית"</f>
        <v>כללית</v>
      </c>
      <c r="S108" t="str">
        <f>"034"</f>
        <v>034</v>
      </c>
      <c r="T108" t="str">
        <f>"גנם הודיה"</f>
        <v>גנם הודיה</v>
      </c>
      <c r="U108">
        <v>0</v>
      </c>
      <c r="V108">
        <v>0</v>
      </c>
      <c r="W108" s="2">
        <v>1334.63</v>
      </c>
      <c r="X108" s="2">
        <v>1334.63</v>
      </c>
      <c r="Z108" t="str">
        <f>"Y"</f>
        <v>Y</v>
      </c>
      <c r="AA108">
        <v>0</v>
      </c>
      <c r="AC108">
        <v>0</v>
      </c>
      <c r="AE108">
        <v>0</v>
      </c>
      <c r="AF108">
        <v>0</v>
      </c>
      <c r="AG108" s="2">
        <v>4627.16</v>
      </c>
      <c r="AH108">
        <v>0</v>
      </c>
      <c r="AI108" s="2">
        <v>4627.16</v>
      </c>
      <c r="AJ108" s="2">
        <v>1334.63</v>
      </c>
      <c r="AK108" s="2">
        <v>1334.63</v>
      </c>
      <c r="AL108" t="str">
        <f>"$"</f>
        <v>$</v>
      </c>
    </row>
    <row r="109" spans="1:38" x14ac:dyDescent="0.3">
      <c r="A109" t="str">
        <f>"SO20000094"</f>
        <v>SO20000094</v>
      </c>
      <c r="B109" t="str">
        <f>"E000306197"</f>
        <v>E000306197</v>
      </c>
      <c r="C109" t="str">
        <f>"בוצעה"</f>
        <v>בוצעה</v>
      </c>
      <c r="E109" s="3">
        <v>43891</v>
      </c>
      <c r="F109" s="3">
        <v>44012</v>
      </c>
      <c r="G109" t="str">
        <f>"700065"</f>
        <v>700065</v>
      </c>
      <c r="H109" t="str">
        <f>"אלתא מערכות בע""מ"</f>
        <v>אלתא מערכות בע"מ</v>
      </c>
      <c r="I109" t="str">
        <f>"ערן שלו"</f>
        <v>ערן שלו</v>
      </c>
      <c r="J109" t="str">
        <f>"OP-AR01655"</f>
        <v>OP-AR01655</v>
      </c>
      <c r="K109" s="1" t="str">
        <f>"1041G354-001 W354 - PWR FROM SHELTER TO ANT UNIT"</f>
        <v>1041G354-001 W354 - PWR FROM SHELTER TO ANT UNIT</v>
      </c>
      <c r="L109">
        <v>2</v>
      </c>
      <c r="M109" t="str">
        <f>"PR20000115"</f>
        <v>PR20000115</v>
      </c>
      <c r="N109" t="str">
        <f>"כבלי 1041G3 /מאי"</f>
        <v>כבלי 1041G3 /מאי</v>
      </c>
      <c r="O109" s="2">
        <v>1334.63</v>
      </c>
      <c r="P109" t="str">
        <f>"$"</f>
        <v>$</v>
      </c>
      <c r="Q109" t="str">
        <f>"000"</f>
        <v>000</v>
      </c>
      <c r="R109" t="str">
        <f>"כללית"</f>
        <v>כללית</v>
      </c>
      <c r="S109" t="str">
        <f>"034"</f>
        <v>034</v>
      </c>
      <c r="T109" t="str">
        <f>"גנם הודיה"</f>
        <v>גנם הודיה</v>
      </c>
      <c r="U109">
        <v>0</v>
      </c>
      <c r="V109">
        <v>0</v>
      </c>
      <c r="W109" s="2">
        <v>1334.63</v>
      </c>
      <c r="X109" s="2">
        <v>2669.26</v>
      </c>
      <c r="Z109" t="str">
        <f>"Y"</f>
        <v>Y</v>
      </c>
      <c r="AA109">
        <v>0</v>
      </c>
      <c r="AC109">
        <v>0</v>
      </c>
      <c r="AE109">
        <v>0</v>
      </c>
      <c r="AF109">
        <v>0</v>
      </c>
      <c r="AG109" s="2">
        <v>4627.16</v>
      </c>
      <c r="AH109">
        <v>0</v>
      </c>
      <c r="AI109" s="2">
        <v>9254.32</v>
      </c>
      <c r="AJ109" s="2">
        <v>2669.26</v>
      </c>
      <c r="AK109" s="2">
        <v>2669.26</v>
      </c>
      <c r="AL109" t="str">
        <f>"$"</f>
        <v>$</v>
      </c>
    </row>
    <row r="110" spans="1:38" x14ac:dyDescent="0.3">
      <c r="A110" t="str">
        <f>"SO20000094"</f>
        <v>SO20000094</v>
      </c>
      <c r="B110" t="str">
        <f>"E000306197"</f>
        <v>E000306197</v>
      </c>
      <c r="C110" t="str">
        <f>"בוצעה"</f>
        <v>בוצעה</v>
      </c>
      <c r="E110" s="3">
        <v>43891</v>
      </c>
      <c r="F110" s="3">
        <v>43981</v>
      </c>
      <c r="G110" t="str">
        <f>"700065"</f>
        <v>700065</v>
      </c>
      <c r="H110" t="str">
        <f>"אלתא מערכות בע""מ"</f>
        <v>אלתא מערכות בע"מ</v>
      </c>
      <c r="I110" t="str">
        <f>"ערן שלו"</f>
        <v>ערן שלו</v>
      </c>
      <c r="J110" t="str">
        <f>"OP-AR01656"</f>
        <v>OP-AR01656</v>
      </c>
      <c r="K110" s="1" t="str">
        <f>"1041G356-001 W356 - CU RACK TO PEDESTAL - POWER"</f>
        <v>1041G356-001 W356 - CU RACK TO PEDESTAL - POWER</v>
      </c>
      <c r="L110">
        <v>1</v>
      </c>
      <c r="M110" t="str">
        <f>"PR20000115"</f>
        <v>PR20000115</v>
      </c>
      <c r="N110" t="str">
        <f>"כבלי 1041G3 /מאי"</f>
        <v>כבלי 1041G3 /מאי</v>
      </c>
      <c r="O110">
        <v>846.71</v>
      </c>
      <c r="P110" t="str">
        <f>"$"</f>
        <v>$</v>
      </c>
      <c r="Q110" t="str">
        <f>"000"</f>
        <v>000</v>
      </c>
      <c r="R110" t="str">
        <f>"כללית"</f>
        <v>כללית</v>
      </c>
      <c r="S110" t="str">
        <f>"034"</f>
        <v>034</v>
      </c>
      <c r="T110" t="str">
        <f>"גנם הודיה"</f>
        <v>גנם הודיה</v>
      </c>
      <c r="U110">
        <v>0</v>
      </c>
      <c r="V110">
        <v>0</v>
      </c>
      <c r="W110">
        <v>846.71</v>
      </c>
      <c r="X110">
        <v>846.71</v>
      </c>
      <c r="Z110" t="str">
        <f>"Y"</f>
        <v>Y</v>
      </c>
      <c r="AA110">
        <v>0</v>
      </c>
      <c r="AC110">
        <v>0</v>
      </c>
      <c r="AE110">
        <v>0</v>
      </c>
      <c r="AF110">
        <v>0</v>
      </c>
      <c r="AG110" s="2">
        <v>2935.54</v>
      </c>
      <c r="AH110">
        <v>0</v>
      </c>
      <c r="AI110" s="2">
        <v>2935.54</v>
      </c>
      <c r="AJ110">
        <v>846.71</v>
      </c>
      <c r="AK110">
        <v>846.71</v>
      </c>
      <c r="AL110" t="str">
        <f>"$"</f>
        <v>$</v>
      </c>
    </row>
    <row r="111" spans="1:38" x14ac:dyDescent="0.3">
      <c r="A111" t="str">
        <f>"SO20000094"</f>
        <v>SO20000094</v>
      </c>
      <c r="B111" t="str">
        <f>"E000306197"</f>
        <v>E000306197</v>
      </c>
      <c r="C111" t="str">
        <f>"בוצעה"</f>
        <v>בוצעה</v>
      </c>
      <c r="E111" s="3">
        <v>43891</v>
      </c>
      <c r="F111" s="3">
        <v>44012</v>
      </c>
      <c r="G111" t="str">
        <f>"700065"</f>
        <v>700065</v>
      </c>
      <c r="H111" t="str">
        <f>"אלתא מערכות בע""מ"</f>
        <v>אלתא מערכות בע"מ</v>
      </c>
      <c r="I111" t="str">
        <f>"ערן שלו"</f>
        <v>ערן שלו</v>
      </c>
      <c r="J111" t="str">
        <f>"OP-AR01656"</f>
        <v>OP-AR01656</v>
      </c>
      <c r="K111" s="1" t="str">
        <f>"1041G356-001 W356 - CU RACK TO PEDESTAL - POWER"</f>
        <v>1041G356-001 W356 - CU RACK TO PEDESTAL - POWER</v>
      </c>
      <c r="L111">
        <v>2</v>
      </c>
      <c r="M111" t="str">
        <f>"PR20000115"</f>
        <v>PR20000115</v>
      </c>
      <c r="N111" t="str">
        <f>"כבלי 1041G3 /מאי"</f>
        <v>כבלי 1041G3 /מאי</v>
      </c>
      <c r="O111">
        <v>846.71</v>
      </c>
      <c r="P111" t="str">
        <f>"$"</f>
        <v>$</v>
      </c>
      <c r="Q111" t="str">
        <f>"000"</f>
        <v>000</v>
      </c>
      <c r="R111" t="str">
        <f>"כללית"</f>
        <v>כללית</v>
      </c>
      <c r="S111" t="str">
        <f>"034"</f>
        <v>034</v>
      </c>
      <c r="T111" t="str">
        <f>"גנם הודיה"</f>
        <v>גנם הודיה</v>
      </c>
      <c r="U111">
        <v>0</v>
      </c>
      <c r="V111">
        <v>0</v>
      </c>
      <c r="W111">
        <v>846.71</v>
      </c>
      <c r="X111" s="2">
        <v>1693.42</v>
      </c>
      <c r="Z111" t="str">
        <f>"Y"</f>
        <v>Y</v>
      </c>
      <c r="AA111">
        <v>0</v>
      </c>
      <c r="AC111">
        <v>0</v>
      </c>
      <c r="AE111">
        <v>0</v>
      </c>
      <c r="AF111">
        <v>0</v>
      </c>
      <c r="AG111" s="2">
        <v>2935.54</v>
      </c>
      <c r="AH111">
        <v>0</v>
      </c>
      <c r="AI111" s="2">
        <v>5871.09</v>
      </c>
      <c r="AJ111" s="2">
        <v>1693.42</v>
      </c>
      <c r="AK111" s="2">
        <v>1693.42</v>
      </c>
      <c r="AL111" t="str">
        <f>"$"</f>
        <v>$</v>
      </c>
    </row>
    <row r="112" spans="1:38" x14ac:dyDescent="0.3">
      <c r="A112" t="str">
        <f>"SO20000094"</f>
        <v>SO20000094</v>
      </c>
      <c r="B112" t="str">
        <f>"E000306197"</f>
        <v>E000306197</v>
      </c>
      <c r="C112" t="str">
        <f>"בוצעה"</f>
        <v>בוצעה</v>
      </c>
      <c r="E112" s="3">
        <v>43891</v>
      </c>
      <c r="F112" s="3">
        <v>43981</v>
      </c>
      <c r="G112" t="str">
        <f>"700065"</f>
        <v>700065</v>
      </c>
      <c r="H112" t="str">
        <f>"אלתא מערכות בע""מ"</f>
        <v>אלתא מערכות בע"מ</v>
      </c>
      <c r="I112" t="str">
        <f>"ערן שלו"</f>
        <v>ערן שלו</v>
      </c>
      <c r="J112" t="str">
        <f>"OP-AR01657"</f>
        <v>OP-AR01657</v>
      </c>
      <c r="K112" s="1" t="str">
        <f>"1041G363-001 W363- SHELTER TO PEDESTAL SPARE"</f>
        <v>1041G363-001 W363- SHELTER TO PEDESTAL SPARE</v>
      </c>
      <c r="L112">
        <v>1</v>
      </c>
      <c r="M112" t="str">
        <f>"PR20000115"</f>
        <v>PR20000115</v>
      </c>
      <c r="N112" t="str">
        <f>"כבלי 1041G3 /מאי"</f>
        <v>כבלי 1041G3 /מאי</v>
      </c>
      <c r="O112">
        <v>0</v>
      </c>
      <c r="P112" t="str">
        <f>"$"</f>
        <v>$</v>
      </c>
      <c r="Q112" t="str">
        <f>"000"</f>
        <v>000</v>
      </c>
      <c r="R112" t="str">
        <f>"כללית"</f>
        <v>כללית</v>
      </c>
      <c r="S112" t="str">
        <f>"034"</f>
        <v>034</v>
      </c>
      <c r="T112" t="str">
        <f>"גנם הודיה"</f>
        <v>גנם הודיה</v>
      </c>
      <c r="U112">
        <v>0</v>
      </c>
      <c r="V112">
        <v>0</v>
      </c>
      <c r="W112">
        <v>0</v>
      </c>
      <c r="X112">
        <v>0</v>
      </c>
      <c r="Z112" t="str">
        <f>"Y"</f>
        <v>Y</v>
      </c>
      <c r="AA112">
        <v>0</v>
      </c>
      <c r="AC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 t="str">
        <f>"$"</f>
        <v>$</v>
      </c>
    </row>
    <row r="113" spans="1:38" x14ac:dyDescent="0.3">
      <c r="A113" t="str">
        <f>"SO20000094"</f>
        <v>SO20000094</v>
      </c>
      <c r="B113" t="str">
        <f>"E000306197"</f>
        <v>E000306197</v>
      </c>
      <c r="C113" t="str">
        <f>"בוצעה"</f>
        <v>בוצעה</v>
      </c>
      <c r="E113" s="3">
        <v>43891</v>
      </c>
      <c r="F113" s="3">
        <v>44012</v>
      </c>
      <c r="G113" t="str">
        <f>"700065"</f>
        <v>700065</v>
      </c>
      <c r="H113" t="str">
        <f>"אלתא מערכות בע""מ"</f>
        <v>אלתא מערכות בע"מ</v>
      </c>
      <c r="I113" t="str">
        <f>"ערן שלו"</f>
        <v>ערן שלו</v>
      </c>
      <c r="J113" t="str">
        <f>"OP-AR01657"</f>
        <v>OP-AR01657</v>
      </c>
      <c r="K113" s="1" t="str">
        <f>"1041G363-001 W363- SHELTER TO PEDESTAL SPARE"</f>
        <v>1041G363-001 W363- SHELTER TO PEDESTAL SPARE</v>
      </c>
      <c r="L113">
        <v>2</v>
      </c>
      <c r="M113" t="str">
        <f>"PR20000115"</f>
        <v>PR20000115</v>
      </c>
      <c r="N113" t="str">
        <f>"כבלי 1041G3 /מאי"</f>
        <v>כבלי 1041G3 /מאי</v>
      </c>
      <c r="O113">
        <v>0</v>
      </c>
      <c r="P113" t="str">
        <f>"$"</f>
        <v>$</v>
      </c>
      <c r="Q113" t="str">
        <f>"000"</f>
        <v>000</v>
      </c>
      <c r="R113" t="str">
        <f>"כללית"</f>
        <v>כללית</v>
      </c>
      <c r="S113" t="str">
        <f>"034"</f>
        <v>034</v>
      </c>
      <c r="T113" t="str">
        <f>"גנם הודיה"</f>
        <v>גנם הודיה</v>
      </c>
      <c r="U113">
        <v>0</v>
      </c>
      <c r="V113">
        <v>0</v>
      </c>
      <c r="W113">
        <v>0</v>
      </c>
      <c r="X113">
        <v>0</v>
      </c>
      <c r="Z113" t="str">
        <f>"Y"</f>
        <v>Y</v>
      </c>
      <c r="AA113">
        <v>0</v>
      </c>
      <c r="AC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tr">
        <f>"$"</f>
        <v>$</v>
      </c>
    </row>
    <row r="114" spans="1:38" x14ac:dyDescent="0.3">
      <c r="A114" t="str">
        <f>"SO20000094"</f>
        <v>SO20000094</v>
      </c>
      <c r="B114" t="str">
        <f>"E000306197"</f>
        <v>E000306197</v>
      </c>
      <c r="C114" t="str">
        <f>"בוצעה"</f>
        <v>בוצעה</v>
      </c>
      <c r="E114" s="3">
        <v>43891</v>
      </c>
      <c r="F114" s="3">
        <v>43981</v>
      </c>
      <c r="G114" t="str">
        <f>"700065"</f>
        <v>700065</v>
      </c>
      <c r="H114" t="str">
        <f>"אלתא מערכות בע""מ"</f>
        <v>אלתא מערכות בע"מ</v>
      </c>
      <c r="I114" t="str">
        <f>"ערן שלו"</f>
        <v>ערן שלו</v>
      </c>
      <c r="J114" t="str">
        <f>"OP-AR01658"</f>
        <v>OP-AR01658</v>
      </c>
      <c r="K114" s="1" t="str">
        <f>"1041G355-001 W355 - LIMIT SWITCHES, CU RACK TO P"</f>
        <v>1041G355-001 W355 - LIMIT SWITCHES, CU RACK TO P</v>
      </c>
      <c r="L114">
        <v>1</v>
      </c>
      <c r="M114" t="str">
        <f>"PR20000115"</f>
        <v>PR20000115</v>
      </c>
      <c r="N114" t="str">
        <f>"כבלי 1041G3 /מאי"</f>
        <v>כבלי 1041G3 /מאי</v>
      </c>
      <c r="O114" s="2">
        <v>1711.17</v>
      </c>
      <c r="P114" t="str">
        <f>"$"</f>
        <v>$</v>
      </c>
      <c r="Q114" t="str">
        <f>"000"</f>
        <v>000</v>
      </c>
      <c r="R114" t="str">
        <f>"כללית"</f>
        <v>כללית</v>
      </c>
      <c r="S114" t="str">
        <f>"034"</f>
        <v>034</v>
      </c>
      <c r="T114" t="str">
        <f>"גנם הודיה"</f>
        <v>גנם הודיה</v>
      </c>
      <c r="U114">
        <v>0</v>
      </c>
      <c r="V114">
        <v>0</v>
      </c>
      <c r="W114" s="2">
        <v>1711.17</v>
      </c>
      <c r="X114" s="2">
        <v>1711.17</v>
      </c>
      <c r="Z114" t="str">
        <f>"Y"</f>
        <v>Y</v>
      </c>
      <c r="AA114">
        <v>0</v>
      </c>
      <c r="AC114">
        <v>0</v>
      </c>
      <c r="AE114">
        <v>0</v>
      </c>
      <c r="AF114">
        <v>0</v>
      </c>
      <c r="AG114" s="2">
        <v>5932.63</v>
      </c>
      <c r="AH114">
        <v>0</v>
      </c>
      <c r="AI114" s="2">
        <v>5932.63</v>
      </c>
      <c r="AJ114" s="2">
        <v>1711.17</v>
      </c>
      <c r="AK114" s="2">
        <v>1711.17</v>
      </c>
      <c r="AL114" t="str">
        <f>"$"</f>
        <v>$</v>
      </c>
    </row>
    <row r="115" spans="1:38" x14ac:dyDescent="0.3">
      <c r="A115" t="str">
        <f>"SO20000094"</f>
        <v>SO20000094</v>
      </c>
      <c r="B115" t="str">
        <f>"E000306197"</f>
        <v>E000306197</v>
      </c>
      <c r="C115" t="str">
        <f>"בוצעה"</f>
        <v>בוצעה</v>
      </c>
      <c r="E115" s="3">
        <v>43891</v>
      </c>
      <c r="F115" s="3">
        <v>44012</v>
      </c>
      <c r="G115" t="str">
        <f>"700065"</f>
        <v>700065</v>
      </c>
      <c r="H115" t="str">
        <f>"אלתא מערכות בע""מ"</f>
        <v>אלתא מערכות בע"מ</v>
      </c>
      <c r="I115" t="str">
        <f>"ערן שלו"</f>
        <v>ערן שלו</v>
      </c>
      <c r="J115" t="str">
        <f>"OP-AR01658"</f>
        <v>OP-AR01658</v>
      </c>
      <c r="K115" s="1" t="str">
        <f>"1041G355-001 W355 - LIMIT SWITCHES, CU RACK TO P"</f>
        <v>1041G355-001 W355 - LIMIT SWITCHES, CU RACK TO P</v>
      </c>
      <c r="L115">
        <v>2</v>
      </c>
      <c r="M115" t="str">
        <f>"PR20000115"</f>
        <v>PR20000115</v>
      </c>
      <c r="N115" t="str">
        <f>"כבלי 1041G3 /מאי"</f>
        <v>כבלי 1041G3 /מאי</v>
      </c>
      <c r="O115" s="2">
        <v>1711.17</v>
      </c>
      <c r="P115" t="str">
        <f>"$"</f>
        <v>$</v>
      </c>
      <c r="Q115" t="str">
        <f>"000"</f>
        <v>000</v>
      </c>
      <c r="R115" t="str">
        <f>"כללית"</f>
        <v>כללית</v>
      </c>
      <c r="S115" t="str">
        <f>"034"</f>
        <v>034</v>
      </c>
      <c r="T115" t="str">
        <f>"גנם הודיה"</f>
        <v>גנם הודיה</v>
      </c>
      <c r="U115">
        <v>0</v>
      </c>
      <c r="V115">
        <v>0</v>
      </c>
      <c r="W115" s="2">
        <v>1711.17</v>
      </c>
      <c r="X115" s="2">
        <v>3422.34</v>
      </c>
      <c r="Z115" t="str">
        <f>"Y"</f>
        <v>Y</v>
      </c>
      <c r="AA115">
        <v>0</v>
      </c>
      <c r="AC115">
        <v>0</v>
      </c>
      <c r="AE115">
        <v>0</v>
      </c>
      <c r="AF115">
        <v>0</v>
      </c>
      <c r="AG115" s="2">
        <v>5932.63</v>
      </c>
      <c r="AH115">
        <v>0</v>
      </c>
      <c r="AI115" s="2">
        <v>11865.25</v>
      </c>
      <c r="AJ115" s="2">
        <v>3422.34</v>
      </c>
      <c r="AK115" s="2">
        <v>3422.34</v>
      </c>
      <c r="AL115" t="str">
        <f>"$"</f>
        <v>$</v>
      </c>
    </row>
    <row r="116" spans="1:38" x14ac:dyDescent="0.3">
      <c r="A116" t="str">
        <f>"SO20000094"</f>
        <v>SO20000094</v>
      </c>
      <c r="B116" t="str">
        <f>"E000306197"</f>
        <v>E000306197</v>
      </c>
      <c r="C116" t="str">
        <f>"בוצעה"</f>
        <v>בוצעה</v>
      </c>
      <c r="E116" s="3">
        <v>43891</v>
      </c>
      <c r="F116" s="3">
        <v>43981</v>
      </c>
      <c r="G116" t="str">
        <f>"700065"</f>
        <v>700065</v>
      </c>
      <c r="H116" t="str">
        <f>"אלתא מערכות בע""מ"</f>
        <v>אלתא מערכות בע"מ</v>
      </c>
      <c r="I116" t="str">
        <f>"ערן שלו"</f>
        <v>ערן שלו</v>
      </c>
      <c r="J116" t="str">
        <f>"OP-AR01659"</f>
        <v>OP-AR01659</v>
      </c>
      <c r="K116" s="1" t="str">
        <f>"1041G353-001 W353 - SHELTER TO PEDESTAL (CAMERA)"</f>
        <v>1041G353-001 W353 - SHELTER TO PEDESTAL (CAMERA)</v>
      </c>
      <c r="L116">
        <v>1</v>
      </c>
      <c r="M116" t="str">
        <f>"PR20000115"</f>
        <v>PR20000115</v>
      </c>
      <c r="N116" t="str">
        <f>"כבלי 1041G3 /מאי"</f>
        <v>כבלי 1041G3 /מאי</v>
      </c>
      <c r="O116">
        <v>806.46</v>
      </c>
      <c r="P116" t="str">
        <f>"$"</f>
        <v>$</v>
      </c>
      <c r="Q116" t="str">
        <f>"000"</f>
        <v>000</v>
      </c>
      <c r="R116" t="str">
        <f>"כללית"</f>
        <v>כללית</v>
      </c>
      <c r="S116" t="str">
        <f>"034"</f>
        <v>034</v>
      </c>
      <c r="T116" t="str">
        <f>"גנם הודיה"</f>
        <v>גנם הודיה</v>
      </c>
      <c r="U116">
        <v>0</v>
      </c>
      <c r="V116">
        <v>0</v>
      </c>
      <c r="W116">
        <v>806.46</v>
      </c>
      <c r="X116">
        <v>806.46</v>
      </c>
      <c r="Z116" t="str">
        <f>"Y"</f>
        <v>Y</v>
      </c>
      <c r="AA116">
        <v>0</v>
      </c>
      <c r="AC116">
        <v>0</v>
      </c>
      <c r="AE116">
        <v>0</v>
      </c>
      <c r="AF116">
        <v>0</v>
      </c>
      <c r="AG116" s="2">
        <v>2796</v>
      </c>
      <c r="AH116">
        <v>0</v>
      </c>
      <c r="AI116" s="2">
        <v>2796</v>
      </c>
      <c r="AJ116">
        <v>806.46</v>
      </c>
      <c r="AK116">
        <v>806.46</v>
      </c>
      <c r="AL116" t="str">
        <f>"$"</f>
        <v>$</v>
      </c>
    </row>
    <row r="117" spans="1:38" x14ac:dyDescent="0.3">
      <c r="A117" t="str">
        <f>"SO20000094"</f>
        <v>SO20000094</v>
      </c>
      <c r="B117" t="str">
        <f>"E000306197"</f>
        <v>E000306197</v>
      </c>
      <c r="C117" t="str">
        <f>"בוצעה"</f>
        <v>בוצעה</v>
      </c>
      <c r="E117" s="3">
        <v>43891</v>
      </c>
      <c r="F117" s="3">
        <v>44012</v>
      </c>
      <c r="G117" t="str">
        <f>"700065"</f>
        <v>700065</v>
      </c>
      <c r="H117" t="str">
        <f>"אלתא מערכות בע""מ"</f>
        <v>אלתא מערכות בע"מ</v>
      </c>
      <c r="I117" t="str">
        <f>"ערן שלו"</f>
        <v>ערן שלו</v>
      </c>
      <c r="J117" t="str">
        <f>"OP-AR01659"</f>
        <v>OP-AR01659</v>
      </c>
      <c r="K117" s="1" t="str">
        <f>"1041G353-001 W353 - SHELTER TO PEDESTAL (CAMERA)"</f>
        <v>1041G353-001 W353 - SHELTER TO PEDESTAL (CAMERA)</v>
      </c>
      <c r="L117">
        <v>2</v>
      </c>
      <c r="M117" t="str">
        <f>"PR20000115"</f>
        <v>PR20000115</v>
      </c>
      <c r="N117" t="str">
        <f>"כבלי 1041G3 /מאי"</f>
        <v>כבלי 1041G3 /מאי</v>
      </c>
      <c r="O117">
        <v>806.46</v>
      </c>
      <c r="P117" t="str">
        <f>"$"</f>
        <v>$</v>
      </c>
      <c r="Q117" t="str">
        <f>"000"</f>
        <v>000</v>
      </c>
      <c r="R117" t="str">
        <f>"כללית"</f>
        <v>כללית</v>
      </c>
      <c r="S117" t="str">
        <f>"034"</f>
        <v>034</v>
      </c>
      <c r="T117" t="str">
        <f>"גנם הודיה"</f>
        <v>גנם הודיה</v>
      </c>
      <c r="U117">
        <v>0</v>
      </c>
      <c r="V117">
        <v>0</v>
      </c>
      <c r="W117">
        <v>806.46</v>
      </c>
      <c r="X117" s="2">
        <v>1612.92</v>
      </c>
      <c r="Z117" t="str">
        <f>"Y"</f>
        <v>Y</v>
      </c>
      <c r="AA117">
        <v>0</v>
      </c>
      <c r="AC117">
        <v>0</v>
      </c>
      <c r="AE117">
        <v>0</v>
      </c>
      <c r="AF117">
        <v>0</v>
      </c>
      <c r="AG117" s="2">
        <v>2796</v>
      </c>
      <c r="AH117">
        <v>0</v>
      </c>
      <c r="AI117" s="2">
        <v>5591.99</v>
      </c>
      <c r="AJ117" s="2">
        <v>1612.92</v>
      </c>
      <c r="AK117" s="2">
        <v>1612.92</v>
      </c>
      <c r="AL117" t="str">
        <f>"$"</f>
        <v>$</v>
      </c>
    </row>
    <row r="118" spans="1:38" x14ac:dyDescent="0.3">
      <c r="A118" t="str">
        <f>"SO20000094"</f>
        <v>SO20000094</v>
      </c>
      <c r="B118" t="str">
        <f>"E000306197"</f>
        <v>E000306197</v>
      </c>
      <c r="C118" t="str">
        <f>"בוצעה"</f>
        <v>בוצעה</v>
      </c>
      <c r="E118" s="3">
        <v>43891</v>
      </c>
      <c r="F118" s="3">
        <v>44195</v>
      </c>
      <c r="G118" t="str">
        <f>"700065"</f>
        <v>700065</v>
      </c>
      <c r="H118" t="str">
        <f>"אלתא מערכות בע""מ"</f>
        <v>אלתא מערכות בע"מ</v>
      </c>
      <c r="I118" t="str">
        <f>"ערן שלו"</f>
        <v>ערן שלו</v>
      </c>
      <c r="J118" t="str">
        <f>"OP-AR01660"</f>
        <v>OP-AR01660</v>
      </c>
      <c r="K118" s="1" t="str">
        <f>"NRE FOR E000306197"</f>
        <v>NRE FOR E000306197</v>
      </c>
      <c r="L118">
        <v>1</v>
      </c>
      <c r="M118" t="str">
        <f>"PR20000115"</f>
        <v>PR20000115</v>
      </c>
      <c r="N118" t="str">
        <f>"כבלי 1041G3 /מאי"</f>
        <v>כבלי 1041G3 /מאי</v>
      </c>
      <c r="O118" s="2">
        <v>2521.6</v>
      </c>
      <c r="P118" t="str">
        <f>"$"</f>
        <v>$</v>
      </c>
      <c r="Q118" t="str">
        <f>"000"</f>
        <v>000</v>
      </c>
      <c r="R118" t="str">
        <f>"כללית"</f>
        <v>כללית</v>
      </c>
      <c r="S118" t="str">
        <f>"034"</f>
        <v>034</v>
      </c>
      <c r="T118" t="str">
        <f>"גנם הודיה"</f>
        <v>גנם הודיה</v>
      </c>
      <c r="U118">
        <v>0</v>
      </c>
      <c r="V118">
        <v>0</v>
      </c>
      <c r="W118" s="2">
        <v>2521.6</v>
      </c>
      <c r="X118" s="2">
        <v>2521.6</v>
      </c>
      <c r="Z118" t="str">
        <f>"Y"</f>
        <v>Y</v>
      </c>
      <c r="AA118">
        <v>1</v>
      </c>
      <c r="AC118">
        <v>0</v>
      </c>
      <c r="AE118">
        <v>0</v>
      </c>
      <c r="AF118">
        <v>0</v>
      </c>
      <c r="AG118" s="2">
        <v>8742.39</v>
      </c>
      <c r="AH118">
        <v>0</v>
      </c>
      <c r="AI118" s="2">
        <v>8742.39</v>
      </c>
      <c r="AJ118" s="2">
        <v>2521.6</v>
      </c>
      <c r="AK118" s="2">
        <v>2521.6</v>
      </c>
      <c r="AL118" t="str">
        <f>"$"</f>
        <v>$</v>
      </c>
    </row>
    <row r="119" spans="1:38" x14ac:dyDescent="0.3">
      <c r="A119" t="str">
        <f>"SO20000094"</f>
        <v>SO20000094</v>
      </c>
      <c r="B119" t="str">
        <f>"E000306197"</f>
        <v>E000306197</v>
      </c>
      <c r="C119" t="str">
        <f>"בוצעה"</f>
        <v>בוצעה</v>
      </c>
      <c r="E119" s="3">
        <v>43891</v>
      </c>
      <c r="F119" s="3">
        <v>44012</v>
      </c>
      <c r="G119" t="str">
        <f>"700065"</f>
        <v>700065</v>
      </c>
      <c r="H119" t="str">
        <f>"אלתא מערכות בע""מ"</f>
        <v>אלתא מערכות בע"מ</v>
      </c>
      <c r="I119" t="str">
        <f>"ערן שלו"</f>
        <v>ערן שלו</v>
      </c>
      <c r="J119" t="str">
        <f>"OP-AR01650"</f>
        <v>OP-AR01650</v>
      </c>
      <c r="K119" s="1" t="str">
        <f>"1041G357-001 W357 - CU RACK TO PEDESTAL - CONTRO"</f>
        <v>1041G357-001 W357 - CU RACK TO PEDESTAL - CONTRO</v>
      </c>
      <c r="L119">
        <v>2</v>
      </c>
      <c r="M119" t="str">
        <f>"PR20000115"</f>
        <v>PR20000115</v>
      </c>
      <c r="N119" t="str">
        <f>"כבלי 1041G3 /מאי"</f>
        <v>כבלי 1041G3 /מאי</v>
      </c>
      <c r="O119">
        <v>930.53</v>
      </c>
      <c r="P119" t="str">
        <f>"$"</f>
        <v>$</v>
      </c>
      <c r="Q119" t="str">
        <f>"000"</f>
        <v>000</v>
      </c>
      <c r="R119" t="str">
        <f>"כללית"</f>
        <v>כללית</v>
      </c>
      <c r="S119" t="str">
        <f>"034"</f>
        <v>034</v>
      </c>
      <c r="T119" t="str">
        <f>"גנם הודיה"</f>
        <v>גנם הודיה</v>
      </c>
      <c r="U119">
        <v>0</v>
      </c>
      <c r="V119">
        <v>0</v>
      </c>
      <c r="W119">
        <v>930.53</v>
      </c>
      <c r="X119" s="2">
        <v>1861.06</v>
      </c>
      <c r="Z119" t="str">
        <f>"Y"</f>
        <v>Y</v>
      </c>
      <c r="AA119">
        <v>0</v>
      </c>
      <c r="AC119">
        <v>0</v>
      </c>
      <c r="AE119">
        <v>0</v>
      </c>
      <c r="AF119">
        <v>0</v>
      </c>
      <c r="AG119" s="2">
        <v>3226.15</v>
      </c>
      <c r="AH119">
        <v>0</v>
      </c>
      <c r="AI119" s="2">
        <v>6452.3</v>
      </c>
      <c r="AJ119" s="2">
        <v>1861.06</v>
      </c>
      <c r="AK119" s="2">
        <v>1861.06</v>
      </c>
      <c r="AL119" t="str">
        <f>"$"</f>
        <v>$</v>
      </c>
    </row>
    <row r="120" spans="1:38" x14ac:dyDescent="0.3">
      <c r="A120" t="str">
        <f>"SO20000094"</f>
        <v>SO20000094</v>
      </c>
      <c r="B120" t="str">
        <f>"E000306197"</f>
        <v>E000306197</v>
      </c>
      <c r="C120" t="str">
        <f>"בוצעה"</f>
        <v>בוצעה</v>
      </c>
      <c r="E120" s="3">
        <v>43891</v>
      </c>
      <c r="F120" s="3">
        <v>43981</v>
      </c>
      <c r="G120" t="str">
        <f>"700065"</f>
        <v>700065</v>
      </c>
      <c r="H120" t="str">
        <f>"אלתא מערכות בע""מ"</f>
        <v>אלתא מערכות בע"מ</v>
      </c>
      <c r="I120" t="str">
        <f>"ערן שלו"</f>
        <v>ערן שלו</v>
      </c>
      <c r="J120" t="str">
        <f>"OP-AR01650"</f>
        <v>OP-AR01650</v>
      </c>
      <c r="K120" s="1" t="str">
        <f>"1041G357-001 W357 - CU RACK TO PEDESTAL - CONTRO"</f>
        <v>1041G357-001 W357 - CU RACK TO PEDESTAL - CONTRO</v>
      </c>
      <c r="L120">
        <v>1</v>
      </c>
      <c r="M120" t="str">
        <f>"PR20000115"</f>
        <v>PR20000115</v>
      </c>
      <c r="N120" t="str">
        <f>"כבלי 1041G3 /מאי"</f>
        <v>כבלי 1041G3 /מאי</v>
      </c>
      <c r="O120">
        <v>930.53</v>
      </c>
      <c r="P120" t="str">
        <f>"$"</f>
        <v>$</v>
      </c>
      <c r="Q120" t="str">
        <f>"000"</f>
        <v>000</v>
      </c>
      <c r="R120" t="str">
        <f>"כללית"</f>
        <v>כללית</v>
      </c>
      <c r="S120" t="str">
        <f>"034"</f>
        <v>034</v>
      </c>
      <c r="T120" t="str">
        <f>"גנם הודיה"</f>
        <v>גנם הודיה</v>
      </c>
      <c r="U120">
        <v>0</v>
      </c>
      <c r="V120">
        <v>0</v>
      </c>
      <c r="W120">
        <v>930.53</v>
      </c>
      <c r="X120">
        <v>930.53</v>
      </c>
      <c r="Z120" t="str">
        <f>"Y"</f>
        <v>Y</v>
      </c>
      <c r="AA120">
        <v>0</v>
      </c>
      <c r="AC120">
        <v>0</v>
      </c>
      <c r="AE120">
        <v>0</v>
      </c>
      <c r="AF120">
        <v>0</v>
      </c>
      <c r="AG120" s="2">
        <v>3226.15</v>
      </c>
      <c r="AH120">
        <v>0</v>
      </c>
      <c r="AI120" s="2">
        <v>3226.15</v>
      </c>
      <c r="AJ120">
        <v>930.53</v>
      </c>
      <c r="AK120">
        <v>930.53</v>
      </c>
      <c r="AL120" t="str">
        <f>"$"</f>
        <v>$</v>
      </c>
    </row>
    <row r="121" spans="1:38" x14ac:dyDescent="0.3">
      <c r="A121" t="str">
        <f>"SO20000094"</f>
        <v>SO20000094</v>
      </c>
      <c r="B121" t="str">
        <f>"E000306197"</f>
        <v>E000306197</v>
      </c>
      <c r="C121" t="str">
        <f>"בוצעה"</f>
        <v>בוצעה</v>
      </c>
      <c r="E121" s="3">
        <v>43891</v>
      </c>
      <c r="F121" s="3">
        <v>43981</v>
      </c>
      <c r="G121" t="str">
        <f>"700065"</f>
        <v>700065</v>
      </c>
      <c r="H121" t="str">
        <f>"אלתא מערכות בע""מ"</f>
        <v>אלתא מערכות בע"מ</v>
      </c>
      <c r="I121" t="str">
        <f>"ערן שלו"</f>
        <v>ערן שלו</v>
      </c>
      <c r="J121" t="str">
        <f>"OP-AR01651"</f>
        <v>OP-AR01651</v>
      </c>
      <c r="K121" s="1" t="str">
        <f>"1041G323-001 W323-PWR 220GENERATOR TO PEDEST PS1"</f>
        <v>1041G323-001 W323-PWR 220GENERATOR TO PEDEST PS1</v>
      </c>
      <c r="L121">
        <v>1</v>
      </c>
      <c r="M121" t="str">
        <f>"PR20000115"</f>
        <v>PR20000115</v>
      </c>
      <c r="N121" t="str">
        <f>"כבלי 1041G3 /מאי"</f>
        <v>כבלי 1041G3 /מאי</v>
      </c>
      <c r="O121" s="2">
        <v>1123.81</v>
      </c>
      <c r="P121" t="str">
        <f>"$"</f>
        <v>$</v>
      </c>
      <c r="Q121" t="str">
        <f>"000"</f>
        <v>000</v>
      </c>
      <c r="R121" t="str">
        <f>"כללית"</f>
        <v>כללית</v>
      </c>
      <c r="S121" t="str">
        <f>"034"</f>
        <v>034</v>
      </c>
      <c r="T121" t="str">
        <f>"גנם הודיה"</f>
        <v>גנם הודיה</v>
      </c>
      <c r="U121">
        <v>0</v>
      </c>
      <c r="V121">
        <v>0</v>
      </c>
      <c r="W121" s="2">
        <v>1123.81</v>
      </c>
      <c r="X121" s="2">
        <v>1123.81</v>
      </c>
      <c r="Z121" t="str">
        <f>"Y"</f>
        <v>Y</v>
      </c>
      <c r="AA121">
        <v>0</v>
      </c>
      <c r="AC121">
        <v>0</v>
      </c>
      <c r="AE121">
        <v>0</v>
      </c>
      <c r="AF121">
        <v>0</v>
      </c>
      <c r="AG121" s="2">
        <v>3896.25</v>
      </c>
      <c r="AH121">
        <v>0</v>
      </c>
      <c r="AI121" s="2">
        <v>3896.25</v>
      </c>
      <c r="AJ121" s="2">
        <v>1123.81</v>
      </c>
      <c r="AK121" s="2">
        <v>1123.81</v>
      </c>
      <c r="AL121" t="str">
        <f>"$"</f>
        <v>$</v>
      </c>
    </row>
    <row r="122" spans="1:38" x14ac:dyDescent="0.3">
      <c r="A122" t="str">
        <f>"SO20000094"</f>
        <v>SO20000094</v>
      </c>
      <c r="B122" t="str">
        <f>"E000306197"</f>
        <v>E000306197</v>
      </c>
      <c r="C122" t="str">
        <f>"בוצעה"</f>
        <v>בוצעה</v>
      </c>
      <c r="E122" s="3">
        <v>43891</v>
      </c>
      <c r="F122" s="3">
        <v>44012</v>
      </c>
      <c r="G122" t="str">
        <f>"700065"</f>
        <v>700065</v>
      </c>
      <c r="H122" t="str">
        <f>"אלתא מערכות בע""מ"</f>
        <v>אלתא מערכות בע"מ</v>
      </c>
      <c r="I122" t="str">
        <f>"ערן שלו"</f>
        <v>ערן שלו</v>
      </c>
      <c r="J122" t="str">
        <f>"OP-AR01651"</f>
        <v>OP-AR01651</v>
      </c>
      <c r="K122" s="1" t="str">
        <f>"1041G323-001 W323-PWR 220GENERATOR TO PEDEST PS1"</f>
        <v>1041G323-001 W323-PWR 220GENERATOR TO PEDEST PS1</v>
      </c>
      <c r="L122">
        <v>2</v>
      </c>
      <c r="M122" t="str">
        <f>"PR20000115"</f>
        <v>PR20000115</v>
      </c>
      <c r="N122" t="str">
        <f>"כבלי 1041G3 /מאי"</f>
        <v>כבלי 1041G3 /מאי</v>
      </c>
      <c r="O122" s="2">
        <v>1123.81</v>
      </c>
      <c r="P122" t="str">
        <f>"$"</f>
        <v>$</v>
      </c>
      <c r="Q122" t="str">
        <f>"000"</f>
        <v>000</v>
      </c>
      <c r="R122" t="str">
        <f>"כללית"</f>
        <v>כללית</v>
      </c>
      <c r="S122" t="str">
        <f>"034"</f>
        <v>034</v>
      </c>
      <c r="T122" t="str">
        <f>"גנם הודיה"</f>
        <v>גנם הודיה</v>
      </c>
      <c r="U122">
        <v>0</v>
      </c>
      <c r="V122">
        <v>0</v>
      </c>
      <c r="W122" s="2">
        <v>1123.81</v>
      </c>
      <c r="X122" s="2">
        <v>2247.62</v>
      </c>
      <c r="Z122" t="str">
        <f>"Y"</f>
        <v>Y</v>
      </c>
      <c r="AA122">
        <v>0</v>
      </c>
      <c r="AC122">
        <v>0</v>
      </c>
      <c r="AE122">
        <v>0</v>
      </c>
      <c r="AF122">
        <v>0</v>
      </c>
      <c r="AG122" s="2">
        <v>3896.25</v>
      </c>
      <c r="AH122">
        <v>0</v>
      </c>
      <c r="AI122" s="2">
        <v>7792.5</v>
      </c>
      <c r="AJ122" s="2">
        <v>2247.62</v>
      </c>
      <c r="AK122" s="2">
        <v>2247.62</v>
      </c>
      <c r="AL122" t="str">
        <f>"$"</f>
        <v>$</v>
      </c>
    </row>
    <row r="123" spans="1:38" x14ac:dyDescent="0.3">
      <c r="A123" t="str">
        <f>"SO20000094"</f>
        <v>SO20000094</v>
      </c>
      <c r="B123" t="str">
        <f>"E000306197"</f>
        <v>E000306197</v>
      </c>
      <c r="C123" t="str">
        <f>"בוצעה"</f>
        <v>בוצעה</v>
      </c>
      <c r="E123" s="3">
        <v>43891</v>
      </c>
      <c r="F123" s="3">
        <v>44140</v>
      </c>
      <c r="G123" t="str">
        <f>"700065"</f>
        <v>700065</v>
      </c>
      <c r="H123" t="str">
        <f>"אלתא מערכות בע""מ"</f>
        <v>אלתא מערכות בע"מ</v>
      </c>
      <c r="I123" t="str">
        <f>"ערן שלו"</f>
        <v>ערן שלו</v>
      </c>
      <c r="J123" t="str">
        <f>"9977"</f>
        <v>9977</v>
      </c>
      <c r="K123" s="1" t="str">
        <f>"חיוב בגין פיגורים 5112332958 SI206000836"</f>
        <v>חיוב בגין פיגורים 5112332958 SI206000836</v>
      </c>
      <c r="L123">
        <v>0</v>
      </c>
      <c r="M123" t="str">
        <f>"PR20000115"</f>
        <v>PR20000115</v>
      </c>
      <c r="N123" t="str">
        <f>"כבלי 1041G3 /מאי"</f>
        <v>כבלי 1041G3 /מאי</v>
      </c>
      <c r="O123">
        <v>56.19</v>
      </c>
      <c r="P123" t="str">
        <f>"$"</f>
        <v>$</v>
      </c>
      <c r="Q123" t="str">
        <f>"000"</f>
        <v>000</v>
      </c>
      <c r="R123" t="str">
        <f>"כללית"</f>
        <v>כללית</v>
      </c>
      <c r="S123" t="str">
        <f>"034"</f>
        <v>034</v>
      </c>
      <c r="T123" t="str">
        <f>"גנם הודיה"</f>
        <v>גנם הודיה</v>
      </c>
      <c r="U123">
        <v>0</v>
      </c>
      <c r="V123">
        <v>0</v>
      </c>
      <c r="W123">
        <v>56.19</v>
      </c>
      <c r="X123">
        <v>0</v>
      </c>
      <c r="Z123" t="str">
        <f>"Y"</f>
        <v>Y</v>
      </c>
      <c r="AA123">
        <v>0</v>
      </c>
      <c r="AC123">
        <v>0</v>
      </c>
      <c r="AE123">
        <v>0</v>
      </c>
      <c r="AF123">
        <v>0</v>
      </c>
      <c r="AG123">
        <v>194.81</v>
      </c>
      <c r="AH123">
        <v>0</v>
      </c>
      <c r="AI123">
        <v>0</v>
      </c>
      <c r="AJ123">
        <v>0</v>
      </c>
      <c r="AK123">
        <v>0</v>
      </c>
      <c r="AL123" t="str">
        <f>"$"</f>
        <v>$</v>
      </c>
    </row>
    <row r="124" spans="1:38" x14ac:dyDescent="0.3">
      <c r="A124" t="str">
        <f>"SO20000094"</f>
        <v>SO20000094</v>
      </c>
      <c r="B124" t="str">
        <f>"E000306197"</f>
        <v>E000306197</v>
      </c>
      <c r="C124" t="str">
        <f>"בוצעה"</f>
        <v>בוצעה</v>
      </c>
      <c r="E124" s="3">
        <v>43891</v>
      </c>
      <c r="F124" s="3">
        <v>44012</v>
      </c>
      <c r="G124" t="str">
        <f>"700065"</f>
        <v>700065</v>
      </c>
      <c r="H124" t="str">
        <f>"אלתא מערכות בע""מ"</f>
        <v>אלתא מערכות בע"מ</v>
      </c>
      <c r="I124" t="str">
        <f>"ערן שלו"</f>
        <v>ערן שלו</v>
      </c>
      <c r="J124" t="str">
        <f>"OP-AR01652"</f>
        <v>OP-AR01652</v>
      </c>
      <c r="K124" s="1" t="str">
        <f>"1041G324-001 W32-PWR 220VGENERATOR TO PEDEST PS2"</f>
        <v>1041G324-001 W32-PWR 220VGENERATOR TO PEDEST PS2</v>
      </c>
      <c r="L124">
        <v>2</v>
      </c>
      <c r="M124" t="str">
        <f>"PR20000115"</f>
        <v>PR20000115</v>
      </c>
      <c r="N124" t="str">
        <f>"כבלי 1041G3 /מאי"</f>
        <v>כבלי 1041G3 /מאי</v>
      </c>
      <c r="O124" s="2">
        <v>1218.08</v>
      </c>
      <c r="P124" t="str">
        <f>"$"</f>
        <v>$</v>
      </c>
      <c r="Q124" t="str">
        <f>"000"</f>
        <v>000</v>
      </c>
      <c r="R124" t="str">
        <f>"כללית"</f>
        <v>כללית</v>
      </c>
      <c r="S124" t="str">
        <f>"034"</f>
        <v>034</v>
      </c>
      <c r="T124" t="str">
        <f>"גנם הודיה"</f>
        <v>גנם הודיה</v>
      </c>
      <c r="U124">
        <v>0</v>
      </c>
      <c r="V124">
        <v>0</v>
      </c>
      <c r="W124" s="2">
        <v>1218.08</v>
      </c>
      <c r="X124" s="2">
        <v>2436.16</v>
      </c>
      <c r="Z124" t="str">
        <f>"Y"</f>
        <v>Y</v>
      </c>
      <c r="AA124">
        <v>0</v>
      </c>
      <c r="AC124">
        <v>0</v>
      </c>
      <c r="AE124">
        <v>0</v>
      </c>
      <c r="AF124">
        <v>0</v>
      </c>
      <c r="AG124" s="2">
        <v>4223.08</v>
      </c>
      <c r="AH124">
        <v>0</v>
      </c>
      <c r="AI124" s="2">
        <v>8446.17</v>
      </c>
      <c r="AJ124" s="2">
        <v>2436.16</v>
      </c>
      <c r="AK124" s="2">
        <v>2436.16</v>
      </c>
      <c r="AL124" t="str">
        <f>"$"</f>
        <v>$</v>
      </c>
    </row>
    <row r="125" spans="1:38" x14ac:dyDescent="0.3">
      <c r="A125" t="str">
        <f>"SO20000094"</f>
        <v>SO20000094</v>
      </c>
      <c r="B125" t="str">
        <f>"E000306197"</f>
        <v>E000306197</v>
      </c>
      <c r="C125" t="str">
        <f>"בוצעה"</f>
        <v>בוצעה</v>
      </c>
      <c r="E125" s="3">
        <v>43891</v>
      </c>
      <c r="F125" s="3">
        <v>43981</v>
      </c>
      <c r="G125" t="str">
        <f>"700065"</f>
        <v>700065</v>
      </c>
      <c r="H125" t="str">
        <f>"אלתא מערכות בע""מ"</f>
        <v>אלתא מערכות בע"מ</v>
      </c>
      <c r="I125" t="str">
        <f>"ערן שלו"</f>
        <v>ערן שלו</v>
      </c>
      <c r="J125" t="str">
        <f>"OP-AR01652"</f>
        <v>OP-AR01652</v>
      </c>
      <c r="K125" s="1" t="str">
        <f>"1041G324-001 W32-PWR 220VGENERATOR TO PEDEST PS2"</f>
        <v>1041G324-001 W32-PWR 220VGENERATOR TO PEDEST PS2</v>
      </c>
      <c r="L125">
        <v>1</v>
      </c>
      <c r="M125" t="str">
        <f>"PR20000115"</f>
        <v>PR20000115</v>
      </c>
      <c r="N125" t="str">
        <f>"כבלי 1041G3 /מאי"</f>
        <v>כבלי 1041G3 /מאי</v>
      </c>
      <c r="O125" s="2">
        <v>1218.08</v>
      </c>
      <c r="P125" t="str">
        <f>"$"</f>
        <v>$</v>
      </c>
      <c r="Q125" t="str">
        <f>"000"</f>
        <v>000</v>
      </c>
      <c r="R125" t="str">
        <f>"כללית"</f>
        <v>כללית</v>
      </c>
      <c r="S125" t="str">
        <f>"034"</f>
        <v>034</v>
      </c>
      <c r="T125" t="str">
        <f>"גנם הודיה"</f>
        <v>גנם הודיה</v>
      </c>
      <c r="U125">
        <v>0</v>
      </c>
      <c r="V125">
        <v>0</v>
      </c>
      <c r="W125" s="2">
        <v>1218.08</v>
      </c>
      <c r="X125" s="2">
        <v>1218.08</v>
      </c>
      <c r="Z125" t="str">
        <f>"Y"</f>
        <v>Y</v>
      </c>
      <c r="AA125">
        <v>0</v>
      </c>
      <c r="AC125">
        <v>0</v>
      </c>
      <c r="AE125">
        <v>0</v>
      </c>
      <c r="AF125">
        <v>0</v>
      </c>
      <c r="AG125" s="2">
        <v>4223.08</v>
      </c>
      <c r="AH125">
        <v>0</v>
      </c>
      <c r="AI125" s="2">
        <v>4223.08</v>
      </c>
      <c r="AJ125" s="2">
        <v>1218.08</v>
      </c>
      <c r="AK125" s="2">
        <v>1218.08</v>
      </c>
      <c r="AL125" t="str">
        <f>"$"</f>
        <v>$</v>
      </c>
    </row>
    <row r="126" spans="1:38" x14ac:dyDescent="0.3">
      <c r="A126" t="str">
        <f>"SO20000094"</f>
        <v>SO20000094</v>
      </c>
      <c r="B126" t="str">
        <f>"E000306197"</f>
        <v>E000306197</v>
      </c>
      <c r="C126" t="str">
        <f>"בוצעה"</f>
        <v>בוצעה</v>
      </c>
      <c r="E126" s="3">
        <v>43891</v>
      </c>
      <c r="F126" s="3">
        <v>44012</v>
      </c>
      <c r="G126" t="str">
        <f>"700065"</f>
        <v>700065</v>
      </c>
      <c r="H126" t="str">
        <f>"אלתא מערכות בע""מ"</f>
        <v>אלתא מערכות בע"מ</v>
      </c>
      <c r="I126" t="str">
        <f>"ערן שלו"</f>
        <v>ערן שלו</v>
      </c>
      <c r="J126" t="str">
        <f>"OP-AR01653"</f>
        <v>OP-AR01653</v>
      </c>
      <c r="K126" s="1" t="str">
        <f>"1041G339-001 W339 - CU RACK TO PEDESTAL SPARE"</f>
        <v>1041G339-001 W339 - CU RACK TO PEDESTAL SPARE</v>
      </c>
      <c r="L126">
        <v>2</v>
      </c>
      <c r="M126" t="str">
        <f>"PR20000115"</f>
        <v>PR20000115</v>
      </c>
      <c r="N126" t="str">
        <f>"כבלי 1041G3 /מאי"</f>
        <v>כבלי 1041G3 /מאי</v>
      </c>
      <c r="O126">
        <v>967.33</v>
      </c>
      <c r="P126" t="str">
        <f>"$"</f>
        <v>$</v>
      </c>
      <c r="Q126" t="str">
        <f>"000"</f>
        <v>000</v>
      </c>
      <c r="R126" t="str">
        <f>"כללית"</f>
        <v>כללית</v>
      </c>
      <c r="S126" t="str">
        <f>"034"</f>
        <v>034</v>
      </c>
      <c r="T126" t="str">
        <f>"גנם הודיה"</f>
        <v>גנם הודיה</v>
      </c>
      <c r="U126">
        <v>0</v>
      </c>
      <c r="V126">
        <v>0</v>
      </c>
      <c r="W126">
        <v>967.33</v>
      </c>
      <c r="X126" s="2">
        <v>1934.66</v>
      </c>
      <c r="Z126" t="str">
        <f>"Y"</f>
        <v>Y</v>
      </c>
      <c r="AA126">
        <v>0</v>
      </c>
      <c r="AC126">
        <v>0</v>
      </c>
      <c r="AE126">
        <v>0</v>
      </c>
      <c r="AF126">
        <v>0</v>
      </c>
      <c r="AG126" s="2">
        <v>3353.73</v>
      </c>
      <c r="AH126">
        <v>0</v>
      </c>
      <c r="AI126" s="2">
        <v>6707.47</v>
      </c>
      <c r="AJ126" s="2">
        <v>1934.66</v>
      </c>
      <c r="AK126" s="2">
        <v>1934.66</v>
      </c>
      <c r="AL126" t="str">
        <f>"$"</f>
        <v>$</v>
      </c>
    </row>
    <row r="127" spans="1:38" x14ac:dyDescent="0.3">
      <c r="A127" t="str">
        <f>"SO20000094"</f>
        <v>SO20000094</v>
      </c>
      <c r="B127" t="str">
        <f>"E000306197"</f>
        <v>E000306197</v>
      </c>
      <c r="C127" t="str">
        <f>"בוצעה"</f>
        <v>בוצעה</v>
      </c>
      <c r="E127" s="3">
        <v>43891</v>
      </c>
      <c r="F127" s="3">
        <v>43981</v>
      </c>
      <c r="G127" t="str">
        <f>"700065"</f>
        <v>700065</v>
      </c>
      <c r="H127" t="str">
        <f>"אלתא מערכות בע""מ"</f>
        <v>אלתא מערכות בע"מ</v>
      </c>
      <c r="I127" t="str">
        <f>"ערן שלו"</f>
        <v>ערן שלו</v>
      </c>
      <c r="J127" t="str">
        <f>"OP-AR01653"</f>
        <v>OP-AR01653</v>
      </c>
      <c r="K127" s="1" t="str">
        <f>"1041G339-001 W339 - CU RACK TO PEDESTAL SPARE"</f>
        <v>1041G339-001 W339 - CU RACK TO PEDESTAL SPARE</v>
      </c>
      <c r="L127">
        <v>1</v>
      </c>
      <c r="M127" t="str">
        <f>"PR20000115"</f>
        <v>PR20000115</v>
      </c>
      <c r="N127" t="str">
        <f>"כבלי 1041G3 /מאי"</f>
        <v>כבלי 1041G3 /מאי</v>
      </c>
      <c r="O127">
        <v>967.33</v>
      </c>
      <c r="P127" t="str">
        <f>"$"</f>
        <v>$</v>
      </c>
      <c r="Q127" t="str">
        <f>"000"</f>
        <v>000</v>
      </c>
      <c r="R127" t="str">
        <f>"כללית"</f>
        <v>כללית</v>
      </c>
      <c r="S127" t="str">
        <f>"034"</f>
        <v>034</v>
      </c>
      <c r="T127" t="str">
        <f>"גנם הודיה"</f>
        <v>גנם הודיה</v>
      </c>
      <c r="U127">
        <v>0</v>
      </c>
      <c r="V127">
        <v>0</v>
      </c>
      <c r="W127">
        <v>967.33</v>
      </c>
      <c r="X127">
        <v>967.33</v>
      </c>
      <c r="Z127" t="str">
        <f>"Y"</f>
        <v>Y</v>
      </c>
      <c r="AA127">
        <v>0</v>
      </c>
      <c r="AC127">
        <v>0</v>
      </c>
      <c r="AE127">
        <v>0</v>
      </c>
      <c r="AF127">
        <v>0</v>
      </c>
      <c r="AG127" s="2">
        <v>3353.73</v>
      </c>
      <c r="AH127">
        <v>0</v>
      </c>
      <c r="AI127" s="2">
        <v>3353.73</v>
      </c>
      <c r="AJ127">
        <v>967.33</v>
      </c>
      <c r="AK127">
        <v>967.33</v>
      </c>
      <c r="AL127" t="str">
        <f>"$"</f>
        <v>$</v>
      </c>
    </row>
    <row r="128" spans="1:38" x14ac:dyDescent="0.3">
      <c r="A128" t="str">
        <f>"SO20000094"</f>
        <v>SO20000094</v>
      </c>
      <c r="B128" t="str">
        <f>"E000306197"</f>
        <v>E000306197</v>
      </c>
      <c r="C128" t="str">
        <f>"בוצעה"</f>
        <v>בוצעה</v>
      </c>
      <c r="E128" s="3">
        <v>43891</v>
      </c>
      <c r="F128" s="3">
        <v>44178</v>
      </c>
      <c r="G128" t="str">
        <f>"700065"</f>
        <v>700065</v>
      </c>
      <c r="H128" t="str">
        <f>"אלתא מערכות בע""מ"</f>
        <v>אלתא מערכות בע"מ</v>
      </c>
      <c r="I128" t="str">
        <f>"ערן שלו"</f>
        <v>ערן שלו</v>
      </c>
      <c r="J128" t="str">
        <f>"000"</f>
        <v>000</v>
      </c>
      <c r="K128" s="1" t="str">
        <f>"שינויים ברתמות"</f>
        <v>שינויים ברתמות</v>
      </c>
      <c r="L128">
        <v>1</v>
      </c>
      <c r="M128" t="str">
        <f>"PR20000115"</f>
        <v>PR20000115</v>
      </c>
      <c r="N128" t="str">
        <f>"כבלי 1041G3 /מאי"</f>
        <v>כבלי 1041G3 /מאי</v>
      </c>
      <c r="O128" s="2">
        <v>3693.75</v>
      </c>
      <c r="P128" t="str">
        <f>"$"</f>
        <v>$</v>
      </c>
      <c r="Q128" t="str">
        <f>"000"</f>
        <v>000</v>
      </c>
      <c r="R128" t="str">
        <f>"כללית"</f>
        <v>כללית</v>
      </c>
      <c r="S128" t="str">
        <f>"034"</f>
        <v>034</v>
      </c>
      <c r="T128" t="str">
        <f>"גנם הודיה"</f>
        <v>גנם הודיה</v>
      </c>
      <c r="U128">
        <v>0</v>
      </c>
      <c r="V128">
        <v>0</v>
      </c>
      <c r="W128" s="2">
        <v>3693.75</v>
      </c>
      <c r="X128" s="2">
        <v>3693.75</v>
      </c>
      <c r="Z128" t="str">
        <f>"Y"</f>
        <v>Y</v>
      </c>
      <c r="AA128">
        <v>1</v>
      </c>
      <c r="AC128">
        <v>0</v>
      </c>
      <c r="AE128">
        <v>0</v>
      </c>
      <c r="AF128">
        <v>0</v>
      </c>
      <c r="AG128" s="2">
        <v>12806.23</v>
      </c>
      <c r="AH128">
        <v>0</v>
      </c>
      <c r="AI128" s="2">
        <v>12806.23</v>
      </c>
      <c r="AJ128" s="2">
        <v>3693.75</v>
      </c>
      <c r="AK128" s="2">
        <v>3693.75</v>
      </c>
      <c r="AL128" t="str">
        <f>"$"</f>
        <v>$</v>
      </c>
    </row>
    <row r="129" spans="1:38" x14ac:dyDescent="0.3">
      <c r="A129" t="str">
        <f>"SO20000099"</f>
        <v>SO20000099</v>
      </c>
      <c r="B129" t="str">
        <f>"E000306880"</f>
        <v>E000306880</v>
      </c>
      <c r="C129" t="str">
        <f>"בוצעה"</f>
        <v>בוצעה</v>
      </c>
      <c r="E129" s="3">
        <v>43894</v>
      </c>
      <c r="F129" s="3">
        <v>43941</v>
      </c>
      <c r="G129" t="str">
        <f>"700065"</f>
        <v>700065</v>
      </c>
      <c r="H129" t="str">
        <f>"אלתא מערכות בע""מ"</f>
        <v>אלתא מערכות בע"מ</v>
      </c>
      <c r="I129" t="str">
        <f>"ערן שלו"</f>
        <v>ערן שלו</v>
      </c>
      <c r="J129" t="str">
        <f>"OP-AR01691"</f>
        <v>OP-AR01691</v>
      </c>
      <c r="K129" s="1" t="str">
        <f>"עבור נגדיים הזמנה E000306880"</f>
        <v>עבור נגדיים הזמנה E000306880</v>
      </c>
      <c r="L129">
        <v>1</v>
      </c>
      <c r="M129" t="str">
        <f>"PR20000122"</f>
        <v>PR20000122</v>
      </c>
      <c r="N129" t="str">
        <f>"1032F971-001 HARNESS"</f>
        <v>1032F971-001 HARNESS</v>
      </c>
      <c r="O129">
        <v>150</v>
      </c>
      <c r="P129" t="str">
        <f>"$"</f>
        <v>$</v>
      </c>
      <c r="Q129" t="str">
        <f>"000"</f>
        <v>000</v>
      </c>
      <c r="R129" t="str">
        <f>"כללית"</f>
        <v>כללית</v>
      </c>
      <c r="S129" t="str">
        <f>"034"</f>
        <v>034</v>
      </c>
      <c r="T129" t="str">
        <f>"גנם הודיה"</f>
        <v>גנם הודיה</v>
      </c>
      <c r="U129">
        <v>0</v>
      </c>
      <c r="V129">
        <v>0</v>
      </c>
      <c r="W129">
        <v>150</v>
      </c>
      <c r="X129">
        <v>150</v>
      </c>
      <c r="Z129" t="str">
        <f>"Y"</f>
        <v>Y</v>
      </c>
      <c r="AA129">
        <v>1</v>
      </c>
      <c r="AC129">
        <v>0</v>
      </c>
      <c r="AE129">
        <v>0</v>
      </c>
      <c r="AF129">
        <v>0</v>
      </c>
      <c r="AG129">
        <v>519</v>
      </c>
      <c r="AH129">
        <v>0</v>
      </c>
      <c r="AI129">
        <v>519</v>
      </c>
      <c r="AJ129">
        <v>150</v>
      </c>
      <c r="AK129">
        <v>150</v>
      </c>
      <c r="AL129" t="str">
        <f>"$"</f>
        <v>$</v>
      </c>
    </row>
    <row r="130" spans="1:38" x14ac:dyDescent="0.3">
      <c r="A130" t="str">
        <f>"SO20000099"</f>
        <v>SO20000099</v>
      </c>
      <c r="B130" t="str">
        <f>"E000306880"</f>
        <v>E000306880</v>
      </c>
      <c r="C130" t="str">
        <f>"בוצעה"</f>
        <v>בוצעה</v>
      </c>
      <c r="E130" s="3">
        <v>43894</v>
      </c>
      <c r="F130" s="3">
        <v>43981</v>
      </c>
      <c r="G130" t="str">
        <f>"700065"</f>
        <v>700065</v>
      </c>
      <c r="H130" t="str">
        <f>"אלתא מערכות בע""מ"</f>
        <v>אלתא מערכות בע"מ</v>
      </c>
      <c r="I130" t="str">
        <f>"ערן שלו"</f>
        <v>ערן שלו</v>
      </c>
      <c r="J130" t="str">
        <f>"OP-AR01690"</f>
        <v>OP-AR01690</v>
      </c>
      <c r="K130" s="1" t="str">
        <f>"1032F971-001 HARNESS WB971 LAB RSU NG P7 DEBUG"</f>
        <v>1032F971-001 HARNESS WB971 LAB RSU NG P7 DEBUG</v>
      </c>
      <c r="L130">
        <v>5</v>
      </c>
      <c r="M130" t="str">
        <f>"PR20000122"</f>
        <v>PR20000122</v>
      </c>
      <c r="N130" t="str">
        <f>"1032F971-001 HARNESS"</f>
        <v>1032F971-001 HARNESS</v>
      </c>
      <c r="O130">
        <v>470.94</v>
      </c>
      <c r="P130" t="str">
        <f>"$"</f>
        <v>$</v>
      </c>
      <c r="Q130" t="str">
        <f>"000"</f>
        <v>000</v>
      </c>
      <c r="R130" t="str">
        <f>"כללית"</f>
        <v>כללית</v>
      </c>
      <c r="S130" t="str">
        <f>"034"</f>
        <v>034</v>
      </c>
      <c r="T130" t="str">
        <f>"גנם הודיה"</f>
        <v>גנם הודיה</v>
      </c>
      <c r="U130">
        <v>0</v>
      </c>
      <c r="V130">
        <v>0</v>
      </c>
      <c r="W130">
        <v>470.94</v>
      </c>
      <c r="X130" s="2">
        <v>2354.6999999999998</v>
      </c>
      <c r="Z130" t="str">
        <f>"Y"</f>
        <v>Y</v>
      </c>
      <c r="AA130">
        <v>0</v>
      </c>
      <c r="AC130">
        <v>0</v>
      </c>
      <c r="AE130">
        <v>0</v>
      </c>
      <c r="AF130">
        <v>0</v>
      </c>
      <c r="AG130" s="2">
        <v>1629.45</v>
      </c>
      <c r="AH130">
        <v>0</v>
      </c>
      <c r="AI130" s="2">
        <v>8147.26</v>
      </c>
      <c r="AJ130" s="2">
        <v>2354.6999999999998</v>
      </c>
      <c r="AK130" s="2">
        <v>2354.6999999999998</v>
      </c>
      <c r="AL130" t="str">
        <f>"$"</f>
        <v>$</v>
      </c>
    </row>
    <row r="131" spans="1:38" x14ac:dyDescent="0.3">
      <c r="A131" t="str">
        <f>"SO20000100"</f>
        <v>SO20000100</v>
      </c>
      <c r="B131" t="str">
        <f>"פנימית"</f>
        <v>פנימית</v>
      </c>
      <c r="C131" t="str">
        <f>"בוצעה"</f>
        <v>בוצעה</v>
      </c>
      <c r="E131" s="3">
        <v>43894</v>
      </c>
      <c r="F131" s="3">
        <v>43894</v>
      </c>
      <c r="G131" t="str">
        <f>"700065"</f>
        <v>700065</v>
      </c>
      <c r="H131" t="str">
        <f>"אלתא מערכות בע""מ"</f>
        <v>אלתא מערכות בע"מ</v>
      </c>
      <c r="I131" t="str">
        <f>"ערן שלו"</f>
        <v>ערן שלו</v>
      </c>
      <c r="J131" t="str">
        <f>"PS0300001"</f>
        <v>PS0300001</v>
      </c>
      <c r="K131" s="1" t="str">
        <f>"בקר תוצרת דלתא ORION"</f>
        <v>בקר תוצרת דלתא ORION</v>
      </c>
      <c r="L131">
        <v>1</v>
      </c>
      <c r="O131">
        <v>98</v>
      </c>
      <c r="P131" t="str">
        <f>"$"</f>
        <v>$</v>
      </c>
      <c r="Q131" t="str">
        <f>"118"</f>
        <v>118</v>
      </c>
      <c r="R131" t="str">
        <f>"מערכות"</f>
        <v>מערכות</v>
      </c>
      <c r="S131" t="str">
        <f>"034"</f>
        <v>034</v>
      </c>
      <c r="T131" t="str">
        <f>"גנם הודיה"</f>
        <v>גנם הודיה</v>
      </c>
      <c r="U131">
        <v>0</v>
      </c>
      <c r="V131">
        <v>64.53</v>
      </c>
      <c r="W131">
        <v>98</v>
      </c>
      <c r="X131">
        <v>98</v>
      </c>
      <c r="Z131" t="str">
        <f>"Y"</f>
        <v>Y</v>
      </c>
      <c r="AA131">
        <v>0</v>
      </c>
      <c r="AC131">
        <v>0</v>
      </c>
      <c r="AE131">
        <v>0</v>
      </c>
      <c r="AF131">
        <v>250</v>
      </c>
      <c r="AG131">
        <v>339.08</v>
      </c>
      <c r="AH131">
        <v>64.53</v>
      </c>
      <c r="AI131">
        <v>339.08</v>
      </c>
      <c r="AJ131">
        <v>98</v>
      </c>
      <c r="AK131">
        <v>98</v>
      </c>
      <c r="AL131" t="str">
        <f>"$"</f>
        <v>$</v>
      </c>
    </row>
    <row r="132" spans="1:38" x14ac:dyDescent="0.3">
      <c r="A132" t="str">
        <f>"SO20000100"</f>
        <v>SO20000100</v>
      </c>
      <c r="B132" t="str">
        <f>"פנימית"</f>
        <v>פנימית</v>
      </c>
      <c r="C132" t="str">
        <f>"בוצעה"</f>
        <v>בוצעה</v>
      </c>
      <c r="E132" s="3">
        <v>43894</v>
      </c>
      <c r="F132" s="3">
        <v>43954</v>
      </c>
      <c r="G132" t="str">
        <f>"700065"</f>
        <v>700065</v>
      </c>
      <c r="H132" t="str">
        <f>"אלתא מערכות בע""מ"</f>
        <v>אלתא מערכות בע"מ</v>
      </c>
      <c r="I132" t="str">
        <f>"ערן שלו"</f>
        <v>ערן שלו</v>
      </c>
      <c r="J132" t="str">
        <f>"PS0300001"</f>
        <v>PS0300001</v>
      </c>
      <c r="K132" s="1" t="str">
        <f>"בקר תוצרת דלתא ORION"</f>
        <v>בקר תוצרת דלתא ORION</v>
      </c>
      <c r="L132">
        <v>1</v>
      </c>
      <c r="O132">
        <v>98</v>
      </c>
      <c r="P132" t="str">
        <f>"$"</f>
        <v>$</v>
      </c>
      <c r="Q132" t="str">
        <f>"118"</f>
        <v>118</v>
      </c>
      <c r="R132" t="str">
        <f>"מערכות"</f>
        <v>מערכות</v>
      </c>
      <c r="S132" t="str">
        <f>"034"</f>
        <v>034</v>
      </c>
      <c r="T132" t="str">
        <f>"גנם הודיה"</f>
        <v>גנם הודיה</v>
      </c>
      <c r="U132">
        <v>0</v>
      </c>
      <c r="V132">
        <v>64.53</v>
      </c>
      <c r="W132">
        <v>98</v>
      </c>
      <c r="X132">
        <v>98</v>
      </c>
      <c r="Z132" t="str">
        <f>"Y"</f>
        <v>Y</v>
      </c>
      <c r="AA132">
        <v>1</v>
      </c>
      <c r="AC132">
        <v>0</v>
      </c>
      <c r="AE132">
        <v>0</v>
      </c>
      <c r="AF132">
        <v>250</v>
      </c>
      <c r="AG132">
        <v>339.08</v>
      </c>
      <c r="AH132">
        <v>64.53</v>
      </c>
      <c r="AI132">
        <v>339.08</v>
      </c>
      <c r="AJ132">
        <v>98</v>
      </c>
      <c r="AK132">
        <v>98</v>
      </c>
      <c r="AL132" t="str">
        <f>"$"</f>
        <v>$</v>
      </c>
    </row>
    <row r="133" spans="1:38" x14ac:dyDescent="0.3">
      <c r="A133" t="str">
        <f>"SO20000102"</f>
        <v>SO20000102</v>
      </c>
      <c r="B133" t="str">
        <f>"E000305067"</f>
        <v>E000305067</v>
      </c>
      <c r="C133" t="str">
        <f>"מאושרת לבצוע"</f>
        <v>מאושרת לבצוע</v>
      </c>
      <c r="E133" s="3">
        <v>43899</v>
      </c>
      <c r="F133" s="3">
        <v>44561</v>
      </c>
      <c r="G133" t="str">
        <f>"700065"</f>
        <v>700065</v>
      </c>
      <c r="H133" t="str">
        <f>"אלתא מערכות בע""מ"</f>
        <v>אלתא מערכות בע"מ</v>
      </c>
      <c r="I133" t="str">
        <f>"מלך רונן"</f>
        <v>מלך רונן</v>
      </c>
      <c r="J133" t="str">
        <f>"999"</f>
        <v>999</v>
      </c>
      <c r="K133" s="1" t="str">
        <f>"LIGHTENING PROTECTION SITE1"</f>
        <v>LIGHTENING PROTECTION SITE1</v>
      </c>
      <c r="L133">
        <v>1</v>
      </c>
      <c r="M133" t="str">
        <f>"PR20000121"</f>
        <v>PR20000121</v>
      </c>
      <c r="N133" t="str">
        <f>"מיגון ברקים"</f>
        <v>מיגון ברקים</v>
      </c>
      <c r="O133" s="2">
        <v>118674.01</v>
      </c>
      <c r="P133" t="str">
        <f>"$"</f>
        <v>$</v>
      </c>
      <c r="Q133" t="str">
        <f>"010"</f>
        <v>010</v>
      </c>
      <c r="R133" t="str">
        <f>"מכרז"</f>
        <v>מכרז</v>
      </c>
      <c r="S133" t="str">
        <f>"005"</f>
        <v>005</v>
      </c>
      <c r="T133" t="str">
        <f>"אברהמי עדן"</f>
        <v>אברהמי עדן</v>
      </c>
      <c r="U133">
        <v>0</v>
      </c>
      <c r="V133">
        <v>0</v>
      </c>
      <c r="W133" s="2">
        <v>118674.01</v>
      </c>
      <c r="X133" s="2">
        <v>118674.01</v>
      </c>
      <c r="AA133">
        <v>1</v>
      </c>
      <c r="AC133">
        <v>0</v>
      </c>
      <c r="AE133">
        <v>0</v>
      </c>
      <c r="AF133">
        <v>0</v>
      </c>
      <c r="AG133" s="2">
        <v>416308.43</v>
      </c>
      <c r="AH133">
        <v>0</v>
      </c>
      <c r="AI133" s="2">
        <v>416308.43</v>
      </c>
      <c r="AJ133" s="2">
        <v>118674.01</v>
      </c>
      <c r="AK133" s="2">
        <v>118674.01</v>
      </c>
      <c r="AL133" t="str">
        <f>"$"</f>
        <v>$</v>
      </c>
    </row>
    <row r="134" spans="1:38" x14ac:dyDescent="0.3">
      <c r="A134" t="str">
        <f>"SO20000102"</f>
        <v>SO20000102</v>
      </c>
      <c r="B134" t="str">
        <f>"E000305067"</f>
        <v>E000305067</v>
      </c>
      <c r="C134" t="str">
        <f>"מאושרת לבצוע"</f>
        <v>מאושרת לבצוע</v>
      </c>
      <c r="E134" s="3">
        <v>43899</v>
      </c>
      <c r="F134" s="3">
        <v>44561</v>
      </c>
      <c r="G134" t="str">
        <f>"700065"</f>
        <v>700065</v>
      </c>
      <c r="H134" t="str">
        <f>"אלתא מערכות בע""מ"</f>
        <v>אלתא מערכות בע"מ</v>
      </c>
      <c r="I134" t="str">
        <f>"מלך רונן"</f>
        <v>מלך רונן</v>
      </c>
      <c r="J134" t="str">
        <f>"999"</f>
        <v>999</v>
      </c>
      <c r="K134" s="1" t="str">
        <f>"LIGHTENING PROTECTION SITE1"</f>
        <v>LIGHTENING PROTECTION SITE1</v>
      </c>
      <c r="L134">
        <v>1</v>
      </c>
      <c r="M134" t="str">
        <f>"PR20000121"</f>
        <v>PR20000121</v>
      </c>
      <c r="N134" t="str">
        <f>"מיגון ברקים"</f>
        <v>מיגון ברקים</v>
      </c>
      <c r="O134" s="2">
        <v>118674.01</v>
      </c>
      <c r="P134" t="str">
        <f>"$"</f>
        <v>$</v>
      </c>
      <c r="Q134" t="str">
        <f>"010"</f>
        <v>010</v>
      </c>
      <c r="R134" t="str">
        <f>"מכרז"</f>
        <v>מכרז</v>
      </c>
      <c r="S134" t="str">
        <f>"005"</f>
        <v>005</v>
      </c>
      <c r="T134" t="str">
        <f>"אברהמי עדן"</f>
        <v>אברהמי עדן</v>
      </c>
      <c r="U134">
        <v>0</v>
      </c>
      <c r="V134">
        <v>0</v>
      </c>
      <c r="W134" s="2">
        <v>118674.01</v>
      </c>
      <c r="X134" s="2">
        <v>118674.01</v>
      </c>
      <c r="AA134">
        <v>1</v>
      </c>
      <c r="AC134">
        <v>0</v>
      </c>
      <c r="AE134">
        <v>0</v>
      </c>
      <c r="AF134">
        <v>0</v>
      </c>
      <c r="AG134" s="2">
        <v>416308.43</v>
      </c>
      <c r="AH134">
        <v>0</v>
      </c>
      <c r="AI134" s="2">
        <v>416308.43</v>
      </c>
      <c r="AJ134" s="2">
        <v>118674.01</v>
      </c>
      <c r="AK134" s="2">
        <v>118674.01</v>
      </c>
      <c r="AL134" t="str">
        <f>"$"</f>
        <v>$</v>
      </c>
    </row>
    <row r="135" spans="1:38" x14ac:dyDescent="0.3">
      <c r="A135" t="str">
        <f>"SO20000102"</f>
        <v>SO20000102</v>
      </c>
      <c r="B135" t="str">
        <f>"E000305067"</f>
        <v>E000305067</v>
      </c>
      <c r="C135" t="str">
        <f>"מאושרת לבצוע"</f>
        <v>מאושרת לבצוע</v>
      </c>
      <c r="E135" s="3">
        <v>43899</v>
      </c>
      <c r="F135" s="3">
        <v>44561</v>
      </c>
      <c r="G135" t="str">
        <f>"700065"</f>
        <v>700065</v>
      </c>
      <c r="H135" t="str">
        <f>"אלתא מערכות בע""מ"</f>
        <v>אלתא מערכות בע"מ</v>
      </c>
      <c r="I135" t="str">
        <f>"מלך רונן"</f>
        <v>מלך רונן</v>
      </c>
      <c r="J135" t="str">
        <f>"999"</f>
        <v>999</v>
      </c>
      <c r="K135" s="1" t="str">
        <f>"LIGHTENING PROTECTION"</f>
        <v>LIGHTENING PROTECTION</v>
      </c>
      <c r="L135">
        <v>1</v>
      </c>
      <c r="M135" t="str">
        <f>"PR20000121"</f>
        <v>PR20000121</v>
      </c>
      <c r="N135" t="str">
        <f>"מיגון ברקים"</f>
        <v>מיגון ברקים</v>
      </c>
      <c r="O135" s="2">
        <v>160443.74</v>
      </c>
      <c r="P135" t="str">
        <f>"$"</f>
        <v>$</v>
      </c>
      <c r="Q135" t="str">
        <f>"010"</f>
        <v>010</v>
      </c>
      <c r="R135" t="str">
        <f>"מכרז"</f>
        <v>מכרז</v>
      </c>
      <c r="S135" t="str">
        <f>"005"</f>
        <v>005</v>
      </c>
      <c r="T135" t="str">
        <f>"אברהמי עדן"</f>
        <v>אברהמי עדן</v>
      </c>
      <c r="U135">
        <v>0</v>
      </c>
      <c r="V135">
        <v>0</v>
      </c>
      <c r="W135" s="2">
        <v>160443.74</v>
      </c>
      <c r="X135" s="2">
        <v>160443.74</v>
      </c>
      <c r="AA135">
        <v>1</v>
      </c>
      <c r="AC135">
        <v>0</v>
      </c>
      <c r="AE135">
        <v>0</v>
      </c>
      <c r="AF135">
        <v>0</v>
      </c>
      <c r="AG135" s="2">
        <v>562836.64</v>
      </c>
      <c r="AH135">
        <v>0</v>
      </c>
      <c r="AI135" s="2">
        <v>562836.64</v>
      </c>
      <c r="AJ135" s="2">
        <v>160443.74</v>
      </c>
      <c r="AK135" s="2">
        <v>160443.74</v>
      </c>
      <c r="AL135" t="str">
        <f>"$"</f>
        <v>$</v>
      </c>
    </row>
    <row r="136" spans="1:38" x14ac:dyDescent="0.3">
      <c r="A136" t="str">
        <f>"SO20000102"</f>
        <v>SO20000102</v>
      </c>
      <c r="B136" t="str">
        <f>"E000305067"</f>
        <v>E000305067</v>
      </c>
      <c r="C136" t="str">
        <f>"מאושרת לבצוע"</f>
        <v>מאושרת לבצוע</v>
      </c>
      <c r="E136" s="3">
        <v>43899</v>
      </c>
      <c r="F136" s="3">
        <v>44561</v>
      </c>
      <c r="G136" t="str">
        <f>"700065"</f>
        <v>700065</v>
      </c>
      <c r="H136" t="str">
        <f>"אלתא מערכות בע""מ"</f>
        <v>אלתא מערכות בע"מ</v>
      </c>
      <c r="I136" t="str">
        <f>"מלך רונן"</f>
        <v>מלך רונן</v>
      </c>
      <c r="J136" t="str">
        <f>"999"</f>
        <v>999</v>
      </c>
      <c r="K136" s="1" t="str">
        <f>"אספקת פריטים לאתר-יתרה"</f>
        <v>אספקת פריטים לאתר-יתרה</v>
      </c>
      <c r="L136">
        <v>1</v>
      </c>
      <c r="M136" t="str">
        <f>"PR20000121"</f>
        <v>PR20000121</v>
      </c>
      <c r="N136" t="str">
        <f>"מיגון ברקים"</f>
        <v>מיגון ברקים</v>
      </c>
      <c r="O136" s="2">
        <v>81061.48</v>
      </c>
      <c r="P136" t="str">
        <f>"$"</f>
        <v>$</v>
      </c>
      <c r="Q136" t="str">
        <f>"010"</f>
        <v>010</v>
      </c>
      <c r="R136" t="str">
        <f>"מכרז"</f>
        <v>מכרז</v>
      </c>
      <c r="S136" t="str">
        <f>"005"</f>
        <v>005</v>
      </c>
      <c r="T136" t="str">
        <f>"אברהמי עדן"</f>
        <v>אברהמי עדן</v>
      </c>
      <c r="U136">
        <v>0</v>
      </c>
      <c r="V136">
        <v>0</v>
      </c>
      <c r="W136" s="2">
        <v>81061.48</v>
      </c>
      <c r="X136" s="2">
        <v>81061.48</v>
      </c>
      <c r="Z136" t="str">
        <f>"Y"</f>
        <v>Y</v>
      </c>
      <c r="AA136">
        <v>0.06</v>
      </c>
      <c r="AC136">
        <v>0</v>
      </c>
      <c r="AE136">
        <v>0</v>
      </c>
      <c r="AF136">
        <v>0</v>
      </c>
      <c r="AG136" s="2">
        <v>284363.67</v>
      </c>
      <c r="AH136">
        <v>0</v>
      </c>
      <c r="AI136" s="2">
        <v>284363.67</v>
      </c>
      <c r="AJ136" s="2">
        <v>81061.48</v>
      </c>
      <c r="AK136" s="2">
        <v>81061.48</v>
      </c>
      <c r="AL136" t="str">
        <f>"$"</f>
        <v>$</v>
      </c>
    </row>
    <row r="137" spans="1:38" x14ac:dyDescent="0.3">
      <c r="A137" t="str">
        <f>"SO20000102"</f>
        <v>SO20000102</v>
      </c>
      <c r="B137" t="str">
        <f>"E000305067"</f>
        <v>E000305067</v>
      </c>
      <c r="C137" t="str">
        <f>"מאושרת לבצוע"</f>
        <v>מאושרת לבצוע</v>
      </c>
      <c r="E137" s="3">
        <v>43899</v>
      </c>
      <c r="F137" s="3">
        <v>44195</v>
      </c>
      <c r="G137" t="str">
        <f>"700065"</f>
        <v>700065</v>
      </c>
      <c r="H137" t="str">
        <f>"אלתא מערכות בע""מ"</f>
        <v>אלתא מערכות בע"מ</v>
      </c>
      <c r="I137" t="str">
        <f>"מלך רונן"</f>
        <v>מלך רונן</v>
      </c>
      <c r="J137" t="str">
        <f>"999"</f>
        <v>999</v>
      </c>
      <c r="K137" s="1" t="str">
        <f>"חיוב בגין הפרשים שנבעו מח-ן SI206000959"</f>
        <v>חיוב בגין הפרשים שנבעו מח-ן SI206000959</v>
      </c>
      <c r="L137">
        <v>0</v>
      </c>
      <c r="M137" t="str">
        <f>"PR20000121"</f>
        <v>PR20000121</v>
      </c>
      <c r="N137" t="str">
        <f>"מיגון ברקים"</f>
        <v>מיגון ברקים</v>
      </c>
      <c r="O137">
        <v>116.9</v>
      </c>
      <c r="P137" t="str">
        <f>"$"</f>
        <v>$</v>
      </c>
      <c r="Q137" t="str">
        <f>"010"</f>
        <v>010</v>
      </c>
      <c r="R137" t="str">
        <f>"מכרז"</f>
        <v>מכרז</v>
      </c>
      <c r="S137" t="str">
        <f>"005"</f>
        <v>005</v>
      </c>
      <c r="T137" t="str">
        <f>"אברהמי עדן"</f>
        <v>אברהמי עדן</v>
      </c>
      <c r="U137">
        <v>0</v>
      </c>
      <c r="V137">
        <v>0</v>
      </c>
      <c r="W137">
        <v>116.9</v>
      </c>
      <c r="X137">
        <v>0</v>
      </c>
      <c r="Z137" t="str">
        <f>"Y"</f>
        <v>Y</v>
      </c>
      <c r="AA137">
        <v>0</v>
      </c>
      <c r="AC137">
        <v>0</v>
      </c>
      <c r="AE137">
        <v>0</v>
      </c>
      <c r="AF137">
        <v>0</v>
      </c>
      <c r="AG137">
        <v>410.09</v>
      </c>
      <c r="AH137">
        <v>0</v>
      </c>
      <c r="AI137">
        <v>0</v>
      </c>
      <c r="AJ137">
        <v>0</v>
      </c>
      <c r="AK137">
        <v>0</v>
      </c>
      <c r="AL137" t="str">
        <f>"$"</f>
        <v>$</v>
      </c>
    </row>
    <row r="138" spans="1:38" x14ac:dyDescent="0.3">
      <c r="A138" t="str">
        <f>"SO20000102"</f>
        <v>SO20000102</v>
      </c>
      <c r="B138" t="str">
        <f>"E000305067"</f>
        <v>E000305067</v>
      </c>
      <c r="C138" t="str">
        <f>"מאושרת לבצוע"</f>
        <v>מאושרת לבצוע</v>
      </c>
      <c r="E138" s="3">
        <v>43899</v>
      </c>
      <c r="F138" s="3">
        <v>44561</v>
      </c>
      <c r="G138" t="str">
        <f>"700065"</f>
        <v>700065</v>
      </c>
      <c r="H138" t="str">
        <f>"אלתא מערכות בע""מ"</f>
        <v>אלתא מערכות בע"מ</v>
      </c>
      <c r="I138" t="str">
        <f>"מלך רונן"</f>
        <v>מלך רונן</v>
      </c>
      <c r="J138" t="str">
        <f>"999"</f>
        <v>999</v>
      </c>
      <c r="K138" s="1" t="str">
        <f>"אספקת פריטים לאתר-יתרה"</f>
        <v>אספקת פריטים לאתר-יתרה</v>
      </c>
      <c r="L138">
        <v>1</v>
      </c>
      <c r="M138" t="str">
        <f>"PR20000121"</f>
        <v>PR20000121</v>
      </c>
      <c r="N138" t="str">
        <f>"מיגון ברקים"</f>
        <v>מיגון ברקים</v>
      </c>
      <c r="O138" s="2">
        <v>81061.48</v>
      </c>
      <c r="P138" t="str">
        <f>"$"</f>
        <v>$</v>
      </c>
      <c r="Q138" t="str">
        <f>"010"</f>
        <v>010</v>
      </c>
      <c r="R138" t="str">
        <f>"מכרז"</f>
        <v>מכרז</v>
      </c>
      <c r="S138" t="str">
        <f>"005"</f>
        <v>005</v>
      </c>
      <c r="T138" t="str">
        <f>"אברהמי עדן"</f>
        <v>אברהמי עדן</v>
      </c>
      <c r="U138">
        <v>0</v>
      </c>
      <c r="V138">
        <v>0</v>
      </c>
      <c r="W138" s="2">
        <v>81061.48</v>
      </c>
      <c r="X138" s="2">
        <v>81061.48</v>
      </c>
      <c r="Z138" t="str">
        <f>"Y"</f>
        <v>Y</v>
      </c>
      <c r="AA138">
        <v>0.06</v>
      </c>
      <c r="AC138">
        <v>0</v>
      </c>
      <c r="AE138">
        <v>0</v>
      </c>
      <c r="AF138">
        <v>0</v>
      </c>
      <c r="AG138" s="2">
        <v>284363.67</v>
      </c>
      <c r="AH138">
        <v>0</v>
      </c>
      <c r="AI138" s="2">
        <v>284363.67</v>
      </c>
      <c r="AJ138" s="2">
        <v>81061.48</v>
      </c>
      <c r="AK138" s="2">
        <v>81061.48</v>
      </c>
      <c r="AL138" t="str">
        <f>"$"</f>
        <v>$</v>
      </c>
    </row>
    <row r="139" spans="1:38" x14ac:dyDescent="0.3">
      <c r="A139" t="str">
        <f>"SO20000102"</f>
        <v>SO20000102</v>
      </c>
      <c r="B139" t="str">
        <f>"E000305067"</f>
        <v>E000305067</v>
      </c>
      <c r="C139" t="str">
        <f>"מאושרת לבצוע"</f>
        <v>מאושרת לבצוע</v>
      </c>
      <c r="E139" s="3">
        <v>43899</v>
      </c>
      <c r="F139" s="3">
        <v>44561</v>
      </c>
      <c r="G139" t="str">
        <f>"700065"</f>
        <v>700065</v>
      </c>
      <c r="H139" t="str">
        <f>"אלתא מערכות בע""מ"</f>
        <v>אלתא מערכות בע"מ</v>
      </c>
      <c r="I139" t="str">
        <f>"מלך רונן"</f>
        <v>מלך רונן</v>
      </c>
      <c r="J139" t="str">
        <f>"999"</f>
        <v>999</v>
      </c>
      <c r="K139" s="1" t="str">
        <f>"אספקת פריטים לאתר-יתרה"</f>
        <v>אספקת פריטים לאתר-יתרה</v>
      </c>
      <c r="L139">
        <v>1</v>
      </c>
      <c r="M139" t="str">
        <f>"PR20000121"</f>
        <v>PR20000121</v>
      </c>
      <c r="N139" t="str">
        <f>"מיגון ברקים"</f>
        <v>מיגון ברקים</v>
      </c>
      <c r="O139" s="2">
        <v>166183.29</v>
      </c>
      <c r="P139" t="str">
        <f>"$"</f>
        <v>$</v>
      </c>
      <c r="Q139" t="str">
        <f>"010"</f>
        <v>010</v>
      </c>
      <c r="R139" t="str">
        <f>"מכרז"</f>
        <v>מכרז</v>
      </c>
      <c r="S139" t="str">
        <f>"005"</f>
        <v>005</v>
      </c>
      <c r="T139" t="str">
        <f>"אברהמי עדן"</f>
        <v>אברהמי עדן</v>
      </c>
      <c r="U139">
        <v>0</v>
      </c>
      <c r="V139">
        <v>0</v>
      </c>
      <c r="W139" s="2">
        <v>166183.29</v>
      </c>
      <c r="X139" s="2">
        <v>166183.29</v>
      </c>
      <c r="Z139" t="str">
        <f>"Y"</f>
        <v>Y</v>
      </c>
      <c r="AA139">
        <v>0.2</v>
      </c>
      <c r="AC139">
        <v>0</v>
      </c>
      <c r="AE139">
        <v>0</v>
      </c>
      <c r="AF139">
        <v>0</v>
      </c>
      <c r="AG139" s="2">
        <v>582970.98</v>
      </c>
      <c r="AH139">
        <v>0</v>
      </c>
      <c r="AI139" s="2">
        <v>582970.98</v>
      </c>
      <c r="AJ139" s="2">
        <v>166183.29</v>
      </c>
      <c r="AK139" s="2">
        <v>166183.29</v>
      </c>
      <c r="AL139" t="str">
        <f>"$"</f>
        <v>$</v>
      </c>
    </row>
    <row r="140" spans="1:38" x14ac:dyDescent="0.3">
      <c r="A140" t="str">
        <f>"SO20000103"</f>
        <v>SO20000103</v>
      </c>
      <c r="B140" t="str">
        <f>"E000306153"</f>
        <v>E000306153</v>
      </c>
      <c r="C140" t="str">
        <f>"בוצעה"</f>
        <v>בוצעה</v>
      </c>
      <c r="E140" s="3">
        <v>43899</v>
      </c>
      <c r="F140" s="3">
        <v>43982</v>
      </c>
      <c r="G140" t="str">
        <f>"700065"</f>
        <v>700065</v>
      </c>
      <c r="H140" t="str">
        <f>"אלתא מערכות בע""מ"</f>
        <v>אלתא מערכות בע"מ</v>
      </c>
      <c r="I140" t="str">
        <f>"ערן שלו"</f>
        <v>ערן שלו</v>
      </c>
      <c r="J140" t="str">
        <f>"OP-AR01669"</f>
        <v>OP-AR01669</v>
      </c>
      <c r="K140" s="1" t="str">
        <f>"6660E121-001 W121"</f>
        <v>6660E121-001 W121</v>
      </c>
      <c r="L140">
        <v>4</v>
      </c>
      <c r="M140" t="str">
        <f>"PR20000120"</f>
        <v>PR20000120</v>
      </c>
      <c r="N140" t="str">
        <f>"SYSTEM BUNDLE TO RS"</f>
        <v>SYSTEM BUNDLE TO RS</v>
      </c>
      <c r="O140">
        <v>132.59</v>
      </c>
      <c r="P140" t="str">
        <f>"$"</f>
        <v>$</v>
      </c>
      <c r="Q140" t="str">
        <f>"000"</f>
        <v>000</v>
      </c>
      <c r="R140" t="str">
        <f>"כללית"</f>
        <v>כללית</v>
      </c>
      <c r="S140" t="str">
        <f>"034"</f>
        <v>034</v>
      </c>
      <c r="T140" t="str">
        <f>"גנם הודיה"</f>
        <v>גנם הודיה</v>
      </c>
      <c r="U140">
        <v>0</v>
      </c>
      <c r="V140">
        <v>0</v>
      </c>
      <c r="W140">
        <v>132.59</v>
      </c>
      <c r="X140">
        <v>530.36</v>
      </c>
      <c r="Z140" t="str">
        <f>"Y"</f>
        <v>Y</v>
      </c>
      <c r="AA140">
        <v>0</v>
      </c>
      <c r="AC140">
        <v>0</v>
      </c>
      <c r="AE140">
        <v>0</v>
      </c>
      <c r="AF140">
        <v>0</v>
      </c>
      <c r="AG140">
        <v>465.13</v>
      </c>
      <c r="AH140">
        <v>0</v>
      </c>
      <c r="AI140" s="2">
        <v>1860.5</v>
      </c>
      <c r="AJ140">
        <v>530.36</v>
      </c>
      <c r="AK140">
        <v>530.36</v>
      </c>
      <c r="AL140" t="str">
        <f>"$"</f>
        <v>$</v>
      </c>
    </row>
    <row r="141" spans="1:38" x14ac:dyDescent="0.3">
      <c r="A141" t="str">
        <f>"SO20000103"</f>
        <v>SO20000103</v>
      </c>
      <c r="B141" t="str">
        <f>"E000306153"</f>
        <v>E000306153</v>
      </c>
      <c r="C141" t="str">
        <f>"בוצעה"</f>
        <v>בוצעה</v>
      </c>
      <c r="E141" s="3">
        <v>43899</v>
      </c>
      <c r="F141" s="3">
        <v>43982</v>
      </c>
      <c r="G141" t="str">
        <f>"700065"</f>
        <v>700065</v>
      </c>
      <c r="H141" t="str">
        <f>"אלתא מערכות בע""מ"</f>
        <v>אלתא מערכות בע"מ</v>
      </c>
      <c r="I141" t="str">
        <f>"ערן שלו"</f>
        <v>ערן שלו</v>
      </c>
      <c r="J141" t="str">
        <f>"OP-AR01671"</f>
        <v>OP-AR01671</v>
      </c>
      <c r="K141" s="1" t="str">
        <f>"6660E101-001 W101"</f>
        <v>6660E101-001 W101</v>
      </c>
      <c r="L141">
        <v>1</v>
      </c>
      <c r="M141" t="str">
        <f>"PR20000120"</f>
        <v>PR20000120</v>
      </c>
      <c r="N141" t="str">
        <f>"SYSTEM BUNDLE TO RS"</f>
        <v>SYSTEM BUNDLE TO RS</v>
      </c>
      <c r="O141">
        <v>202.17</v>
      </c>
      <c r="P141" t="str">
        <f>"$"</f>
        <v>$</v>
      </c>
      <c r="Q141" t="str">
        <f>"000"</f>
        <v>000</v>
      </c>
      <c r="R141" t="str">
        <f>"כללית"</f>
        <v>כללית</v>
      </c>
      <c r="S141" t="str">
        <f>"034"</f>
        <v>034</v>
      </c>
      <c r="T141" t="str">
        <f>"גנם הודיה"</f>
        <v>גנם הודיה</v>
      </c>
      <c r="U141">
        <v>0</v>
      </c>
      <c r="V141">
        <v>0</v>
      </c>
      <c r="W141">
        <v>202.17</v>
      </c>
      <c r="X141">
        <v>202.17</v>
      </c>
      <c r="Z141" t="str">
        <f>"Y"</f>
        <v>Y</v>
      </c>
      <c r="AA141">
        <v>0</v>
      </c>
      <c r="AC141">
        <v>0</v>
      </c>
      <c r="AE141">
        <v>0</v>
      </c>
      <c r="AF141">
        <v>0</v>
      </c>
      <c r="AG141">
        <v>709.21</v>
      </c>
      <c r="AH141">
        <v>0</v>
      </c>
      <c r="AI141">
        <v>709.21</v>
      </c>
      <c r="AJ141">
        <v>202.17</v>
      </c>
      <c r="AK141">
        <v>202.17</v>
      </c>
      <c r="AL141" t="str">
        <f>"$"</f>
        <v>$</v>
      </c>
    </row>
    <row r="142" spans="1:38" x14ac:dyDescent="0.3">
      <c r="A142" t="str">
        <f>"SO20000103"</f>
        <v>SO20000103</v>
      </c>
      <c r="B142" t="str">
        <f>"E000306153"</f>
        <v>E000306153</v>
      </c>
      <c r="C142" t="str">
        <f>"בוצעה"</f>
        <v>בוצעה</v>
      </c>
      <c r="E142" s="3">
        <v>43899</v>
      </c>
      <c r="F142" s="3">
        <v>43982</v>
      </c>
      <c r="G142" t="str">
        <f>"700065"</f>
        <v>700065</v>
      </c>
      <c r="H142" t="str">
        <f>"אלתא מערכות בע""מ"</f>
        <v>אלתא מערכות בע"מ</v>
      </c>
      <c r="I142" t="str">
        <f>"ערן שלו"</f>
        <v>ערן שלו</v>
      </c>
      <c r="J142" t="str">
        <f>"OP-AR01672"</f>
        <v>OP-AR01672</v>
      </c>
      <c r="K142" s="1" t="str">
        <f>"6660E102-001 W102"</f>
        <v>6660E102-001 W102</v>
      </c>
      <c r="L142">
        <v>1</v>
      </c>
      <c r="M142" t="str">
        <f>"PR20000120"</f>
        <v>PR20000120</v>
      </c>
      <c r="N142" t="str">
        <f>"SYSTEM BUNDLE TO RS"</f>
        <v>SYSTEM BUNDLE TO RS</v>
      </c>
      <c r="O142">
        <v>162.78</v>
      </c>
      <c r="P142" t="str">
        <f>"$"</f>
        <v>$</v>
      </c>
      <c r="Q142" t="str">
        <f>"000"</f>
        <v>000</v>
      </c>
      <c r="R142" t="str">
        <f>"כללית"</f>
        <v>כללית</v>
      </c>
      <c r="S142" t="str">
        <f>"034"</f>
        <v>034</v>
      </c>
      <c r="T142" t="str">
        <f>"גנם הודיה"</f>
        <v>גנם הודיה</v>
      </c>
      <c r="U142">
        <v>0</v>
      </c>
      <c r="V142">
        <v>0</v>
      </c>
      <c r="W142">
        <v>162.78</v>
      </c>
      <c r="X142">
        <v>162.78</v>
      </c>
      <c r="Z142" t="str">
        <f>"Y"</f>
        <v>Y</v>
      </c>
      <c r="AA142">
        <v>0</v>
      </c>
      <c r="AC142">
        <v>0</v>
      </c>
      <c r="AE142">
        <v>0</v>
      </c>
      <c r="AF142">
        <v>0</v>
      </c>
      <c r="AG142">
        <v>571.03</v>
      </c>
      <c r="AH142">
        <v>0</v>
      </c>
      <c r="AI142">
        <v>571.03</v>
      </c>
      <c r="AJ142">
        <v>162.78</v>
      </c>
      <c r="AK142">
        <v>162.78</v>
      </c>
      <c r="AL142" t="str">
        <f>"$"</f>
        <v>$</v>
      </c>
    </row>
    <row r="143" spans="1:38" x14ac:dyDescent="0.3">
      <c r="A143" t="str">
        <f>"SO20000103"</f>
        <v>SO20000103</v>
      </c>
      <c r="B143" t="str">
        <f>"E000306153"</f>
        <v>E000306153</v>
      </c>
      <c r="C143" t="str">
        <f>"בוצעה"</f>
        <v>בוצעה</v>
      </c>
      <c r="E143" s="3">
        <v>43899</v>
      </c>
      <c r="F143" s="3">
        <v>44012</v>
      </c>
      <c r="G143" t="str">
        <f>"700065"</f>
        <v>700065</v>
      </c>
      <c r="H143" t="str">
        <f>"אלתא מערכות בע""מ"</f>
        <v>אלתא מערכות בע"מ</v>
      </c>
      <c r="I143" t="str">
        <f>"ערן שלו"</f>
        <v>ערן שלו</v>
      </c>
      <c r="J143" t="str">
        <f>"OP-AR01676"</f>
        <v>OP-AR01676</v>
      </c>
      <c r="K143" s="1" t="str">
        <f>"6649E611-001 ANT GPS TBDM"</f>
        <v>6649E611-001 ANT GPS TBDM</v>
      </c>
      <c r="L143">
        <v>1</v>
      </c>
      <c r="M143" t="str">
        <f>"PR20000120"</f>
        <v>PR20000120</v>
      </c>
      <c r="N143" t="str">
        <f>"SYSTEM BUNDLE TO RS"</f>
        <v>SYSTEM BUNDLE TO RS</v>
      </c>
      <c r="O143">
        <v>275.55</v>
      </c>
      <c r="P143" t="str">
        <f>"$"</f>
        <v>$</v>
      </c>
      <c r="Q143" t="str">
        <f>"000"</f>
        <v>000</v>
      </c>
      <c r="R143" t="str">
        <f>"כללית"</f>
        <v>כללית</v>
      </c>
      <c r="S143" t="str">
        <f>"034"</f>
        <v>034</v>
      </c>
      <c r="T143" t="str">
        <f>"גנם הודיה"</f>
        <v>גנם הודיה</v>
      </c>
      <c r="U143">
        <v>0</v>
      </c>
      <c r="V143">
        <v>0</v>
      </c>
      <c r="W143">
        <v>275.55</v>
      </c>
      <c r="X143">
        <v>275.55</v>
      </c>
      <c r="Z143" t="str">
        <f>"Y"</f>
        <v>Y</v>
      </c>
      <c r="AA143">
        <v>0</v>
      </c>
      <c r="AC143">
        <v>0</v>
      </c>
      <c r="AE143">
        <v>0</v>
      </c>
      <c r="AF143">
        <v>0</v>
      </c>
      <c r="AG143">
        <v>966.63</v>
      </c>
      <c r="AH143">
        <v>0</v>
      </c>
      <c r="AI143">
        <v>966.63</v>
      </c>
      <c r="AJ143">
        <v>275.55</v>
      </c>
      <c r="AK143">
        <v>275.55</v>
      </c>
      <c r="AL143" t="str">
        <f>"$"</f>
        <v>$</v>
      </c>
    </row>
    <row r="144" spans="1:38" x14ac:dyDescent="0.3">
      <c r="A144" t="str">
        <f>"SO20000103"</f>
        <v>SO20000103</v>
      </c>
      <c r="B144" t="str">
        <f>"E000306153"</f>
        <v>E000306153</v>
      </c>
      <c r="C144" t="str">
        <f>"בוצעה"</f>
        <v>בוצעה</v>
      </c>
      <c r="E144" s="3">
        <v>43899</v>
      </c>
      <c r="F144" s="3">
        <v>44012</v>
      </c>
      <c r="G144" t="str">
        <f>"700065"</f>
        <v>700065</v>
      </c>
      <c r="H144" t="str">
        <f>"אלתא מערכות בע""מ"</f>
        <v>אלתא מערכות בע"מ</v>
      </c>
      <c r="I144" t="str">
        <f>"ערן שלו"</f>
        <v>ערן שלו</v>
      </c>
      <c r="J144" t="str">
        <f>"OP-AR01677"</f>
        <v>OP-AR01677</v>
      </c>
      <c r="K144" s="1" t="str">
        <f>"6649E612-001 ANT DGPS TBDM"</f>
        <v>6649E612-001 ANT DGPS TBDM</v>
      </c>
      <c r="L144">
        <v>1</v>
      </c>
      <c r="M144" t="str">
        <f>"PR20000120"</f>
        <v>PR20000120</v>
      </c>
      <c r="N144" t="str">
        <f>"SYSTEM BUNDLE TO RS"</f>
        <v>SYSTEM BUNDLE TO RS</v>
      </c>
      <c r="O144">
        <v>266.10000000000002</v>
      </c>
      <c r="P144" t="str">
        <f>"$"</f>
        <v>$</v>
      </c>
      <c r="Q144" t="str">
        <f>"000"</f>
        <v>000</v>
      </c>
      <c r="R144" t="str">
        <f>"כללית"</f>
        <v>כללית</v>
      </c>
      <c r="S144" t="str">
        <f>"034"</f>
        <v>034</v>
      </c>
      <c r="T144" t="str">
        <f>"גנם הודיה"</f>
        <v>גנם הודיה</v>
      </c>
      <c r="U144">
        <v>0</v>
      </c>
      <c r="V144">
        <v>0</v>
      </c>
      <c r="W144">
        <v>266.10000000000002</v>
      </c>
      <c r="X144">
        <v>266.10000000000002</v>
      </c>
      <c r="Z144" t="str">
        <f>"Y"</f>
        <v>Y</v>
      </c>
      <c r="AA144">
        <v>0</v>
      </c>
      <c r="AC144">
        <v>0</v>
      </c>
      <c r="AE144">
        <v>0</v>
      </c>
      <c r="AF144">
        <v>0</v>
      </c>
      <c r="AG144">
        <v>933.48</v>
      </c>
      <c r="AH144">
        <v>0</v>
      </c>
      <c r="AI144">
        <v>933.48</v>
      </c>
      <c r="AJ144">
        <v>266.10000000000002</v>
      </c>
      <c r="AK144">
        <v>266.10000000000002</v>
      </c>
      <c r="AL144" t="str">
        <f>"$"</f>
        <v>$</v>
      </c>
    </row>
    <row r="145" spans="1:38" x14ac:dyDescent="0.3">
      <c r="A145" t="str">
        <f>"SO20000103"</f>
        <v>SO20000103</v>
      </c>
      <c r="B145" t="str">
        <f>"E000306153"</f>
        <v>E000306153</v>
      </c>
      <c r="C145" t="str">
        <f>"בוצעה"</f>
        <v>בוצעה</v>
      </c>
      <c r="E145" s="3">
        <v>43899</v>
      </c>
      <c r="F145" s="3">
        <v>44012</v>
      </c>
      <c r="G145" t="str">
        <f>"700065"</f>
        <v>700065</v>
      </c>
      <c r="H145" t="str">
        <f>"אלתא מערכות בע""מ"</f>
        <v>אלתא מערכות בע"מ</v>
      </c>
      <c r="I145" t="str">
        <f>"ערן שלו"</f>
        <v>ערן שלו</v>
      </c>
      <c r="J145" t="str">
        <f>"OP-AR01678"</f>
        <v>OP-AR01678</v>
      </c>
      <c r="K145" s="1" t="str">
        <f>"6649E631-001 ANT DOMO N TYPE -TBDM- N TYPE"</f>
        <v>6649E631-001 ANT DOMO N TYPE -TBDM- N TYPE</v>
      </c>
      <c r="L145">
        <v>1</v>
      </c>
      <c r="M145" t="str">
        <f>"PR20000120"</f>
        <v>PR20000120</v>
      </c>
      <c r="N145" t="str">
        <f>"SYSTEM BUNDLE TO RS"</f>
        <v>SYSTEM BUNDLE TO RS</v>
      </c>
      <c r="O145">
        <v>299.57</v>
      </c>
      <c r="P145" t="str">
        <f>"$"</f>
        <v>$</v>
      </c>
      <c r="Q145" t="str">
        <f>"000"</f>
        <v>000</v>
      </c>
      <c r="R145" t="str">
        <f>"כללית"</f>
        <v>כללית</v>
      </c>
      <c r="S145" t="str">
        <f>"034"</f>
        <v>034</v>
      </c>
      <c r="T145" t="str">
        <f>"גנם הודיה"</f>
        <v>גנם הודיה</v>
      </c>
      <c r="U145">
        <v>0</v>
      </c>
      <c r="V145">
        <v>0</v>
      </c>
      <c r="W145">
        <v>299.57</v>
      </c>
      <c r="X145">
        <v>299.57</v>
      </c>
      <c r="Z145" t="str">
        <f>"Y"</f>
        <v>Y</v>
      </c>
      <c r="AA145">
        <v>0</v>
      </c>
      <c r="AC145">
        <v>0</v>
      </c>
      <c r="AE145">
        <v>0</v>
      </c>
      <c r="AF145">
        <v>0</v>
      </c>
      <c r="AG145" s="2">
        <v>1050.8900000000001</v>
      </c>
      <c r="AH145">
        <v>0</v>
      </c>
      <c r="AI145" s="2">
        <v>1050.8900000000001</v>
      </c>
      <c r="AJ145">
        <v>299.57</v>
      </c>
      <c r="AK145">
        <v>299.57</v>
      </c>
      <c r="AL145" t="str">
        <f>"$"</f>
        <v>$</v>
      </c>
    </row>
    <row r="146" spans="1:38" x14ac:dyDescent="0.3">
      <c r="A146" t="str">
        <f>"SO20000103"</f>
        <v>SO20000103</v>
      </c>
      <c r="B146" t="str">
        <f>"E000306153"</f>
        <v>E000306153</v>
      </c>
      <c r="C146" t="str">
        <f>"בוצעה"</f>
        <v>בוצעה</v>
      </c>
      <c r="E146" s="3">
        <v>43899</v>
      </c>
      <c r="F146" s="3">
        <v>44012</v>
      </c>
      <c r="G146" t="str">
        <f>"700065"</f>
        <v>700065</v>
      </c>
      <c r="H146" t="str">
        <f>"אלתא מערכות בע""מ"</f>
        <v>אלתא מערכות בע"מ</v>
      </c>
      <c r="I146" t="str">
        <f>"ערן שלו"</f>
        <v>ערן שלו</v>
      </c>
      <c r="J146" t="str">
        <f>"OP-AR01680"</f>
        <v>OP-AR01680</v>
      </c>
      <c r="K146" s="1" t="str">
        <f>"6660E231-001 W231"</f>
        <v>6660E231-001 W231</v>
      </c>
      <c r="L146">
        <v>1</v>
      </c>
      <c r="M146" t="str">
        <f>"PR20000120"</f>
        <v>PR20000120</v>
      </c>
      <c r="N146" t="str">
        <f>"SYSTEM BUNDLE TO RS"</f>
        <v>SYSTEM BUNDLE TO RS</v>
      </c>
      <c r="O146">
        <v>162.36000000000001</v>
      </c>
      <c r="P146" t="str">
        <f>"$"</f>
        <v>$</v>
      </c>
      <c r="Q146" t="str">
        <f>"000"</f>
        <v>000</v>
      </c>
      <c r="R146" t="str">
        <f>"כללית"</f>
        <v>כללית</v>
      </c>
      <c r="S146" t="str">
        <f>"034"</f>
        <v>034</v>
      </c>
      <c r="T146" t="str">
        <f>"גנם הודיה"</f>
        <v>גנם הודיה</v>
      </c>
      <c r="U146">
        <v>0</v>
      </c>
      <c r="V146">
        <v>0</v>
      </c>
      <c r="W146">
        <v>162.36000000000001</v>
      </c>
      <c r="X146">
        <v>162.36000000000001</v>
      </c>
      <c r="Z146" t="str">
        <f>"Y"</f>
        <v>Y</v>
      </c>
      <c r="AA146">
        <v>0</v>
      </c>
      <c r="AC146">
        <v>0</v>
      </c>
      <c r="AE146">
        <v>0</v>
      </c>
      <c r="AF146">
        <v>0</v>
      </c>
      <c r="AG146">
        <v>569.55999999999995</v>
      </c>
      <c r="AH146">
        <v>0</v>
      </c>
      <c r="AI146">
        <v>569.55999999999995</v>
      </c>
      <c r="AJ146">
        <v>162.36000000000001</v>
      </c>
      <c r="AK146">
        <v>162.36000000000001</v>
      </c>
      <c r="AL146" t="str">
        <f>"$"</f>
        <v>$</v>
      </c>
    </row>
    <row r="147" spans="1:38" x14ac:dyDescent="0.3">
      <c r="A147" t="str">
        <f>"SO20000103"</f>
        <v>SO20000103</v>
      </c>
      <c r="B147" t="str">
        <f>"E000306153"</f>
        <v>E000306153</v>
      </c>
      <c r="C147" t="str">
        <f>"בוצעה"</f>
        <v>בוצעה</v>
      </c>
      <c r="E147" s="3">
        <v>43899</v>
      </c>
      <c r="F147" s="3">
        <v>43998</v>
      </c>
      <c r="G147" t="str">
        <f>"700065"</f>
        <v>700065</v>
      </c>
      <c r="H147" t="str">
        <f>"אלתא מערכות בע""מ"</f>
        <v>אלתא מערכות בע"מ</v>
      </c>
      <c r="I147" t="str">
        <f>"ערן שלו"</f>
        <v>ערן שלו</v>
      </c>
      <c r="J147" t="str">
        <f>"OP-AR01664"</f>
        <v>OP-AR01664</v>
      </c>
      <c r="K147" s="1" t="str">
        <f>"6649E012-001 SYSTEM BUNDLE TO RSU - COMMUNICATIO"</f>
        <v>6649E012-001 SYSTEM BUNDLE TO RSU - COMMUNICATIO</v>
      </c>
      <c r="L147">
        <v>1</v>
      </c>
      <c r="M147" t="str">
        <f>"PR20000120"</f>
        <v>PR20000120</v>
      </c>
      <c r="N147" t="str">
        <f>"SYSTEM BUNDLE TO RS"</f>
        <v>SYSTEM BUNDLE TO RS</v>
      </c>
      <c r="O147">
        <v>490.17</v>
      </c>
      <c r="P147" t="str">
        <f>"$"</f>
        <v>$</v>
      </c>
      <c r="Q147" t="str">
        <f>"000"</f>
        <v>000</v>
      </c>
      <c r="R147" t="str">
        <f>"כללית"</f>
        <v>כללית</v>
      </c>
      <c r="S147" t="str">
        <f>"034"</f>
        <v>034</v>
      </c>
      <c r="T147" t="str">
        <f>"גנם הודיה"</f>
        <v>גנם הודיה</v>
      </c>
      <c r="U147">
        <v>0</v>
      </c>
      <c r="V147">
        <v>0</v>
      </c>
      <c r="W147">
        <v>490.17</v>
      </c>
      <c r="X147">
        <v>490.17</v>
      </c>
      <c r="Z147" t="str">
        <f>"Y"</f>
        <v>Y</v>
      </c>
      <c r="AA147">
        <v>0</v>
      </c>
      <c r="AC147">
        <v>0</v>
      </c>
      <c r="AE147">
        <v>0</v>
      </c>
      <c r="AF147">
        <v>0</v>
      </c>
      <c r="AG147" s="2">
        <v>1719.52</v>
      </c>
      <c r="AH147">
        <v>0</v>
      </c>
      <c r="AI147" s="2">
        <v>1719.52</v>
      </c>
      <c r="AJ147">
        <v>490.17</v>
      </c>
      <c r="AK147">
        <v>490.17</v>
      </c>
      <c r="AL147" t="str">
        <f>"$"</f>
        <v>$</v>
      </c>
    </row>
    <row r="148" spans="1:38" x14ac:dyDescent="0.3">
      <c r="A148" t="str">
        <f>"SO20000103"</f>
        <v>SO20000103</v>
      </c>
      <c r="B148" t="str">
        <f>"E000306153"</f>
        <v>E000306153</v>
      </c>
      <c r="C148" t="str">
        <f>"בוצעה"</f>
        <v>בוצעה</v>
      </c>
      <c r="E148" s="3">
        <v>43899</v>
      </c>
      <c r="F148" s="3">
        <v>43998</v>
      </c>
      <c r="G148" t="str">
        <f>"700065"</f>
        <v>700065</v>
      </c>
      <c r="H148" t="str">
        <f>"אלתא מערכות בע""מ"</f>
        <v>אלתא מערכות בע"מ</v>
      </c>
      <c r="I148" t="str">
        <f>"ערן שלו"</f>
        <v>ערן שלו</v>
      </c>
      <c r="J148" t="str">
        <f>"OP-AR01665"</f>
        <v>OP-AR01665</v>
      </c>
      <c r="K148" s="1" t="str">
        <f>"6649E016-001 SYSTEM BUNDLE TO RSU - VELODYNE"</f>
        <v>6649E016-001 SYSTEM BUNDLE TO RSU - VELODYNE</v>
      </c>
      <c r="L148">
        <v>1</v>
      </c>
      <c r="M148" t="str">
        <f>"PR20000120"</f>
        <v>PR20000120</v>
      </c>
      <c r="N148" t="str">
        <f>"SYSTEM BUNDLE TO RS"</f>
        <v>SYSTEM BUNDLE TO RS</v>
      </c>
      <c r="O148">
        <v>956</v>
      </c>
      <c r="P148" t="str">
        <f>"$"</f>
        <v>$</v>
      </c>
      <c r="Q148" t="str">
        <f>"000"</f>
        <v>000</v>
      </c>
      <c r="R148" t="str">
        <f>"כללית"</f>
        <v>כללית</v>
      </c>
      <c r="S148" t="str">
        <f>"034"</f>
        <v>034</v>
      </c>
      <c r="T148" t="str">
        <f>"גנם הודיה"</f>
        <v>גנם הודיה</v>
      </c>
      <c r="U148">
        <v>0</v>
      </c>
      <c r="V148">
        <v>0</v>
      </c>
      <c r="W148">
        <v>956</v>
      </c>
      <c r="X148">
        <v>956</v>
      </c>
      <c r="Z148" t="str">
        <f>"Y"</f>
        <v>Y</v>
      </c>
      <c r="AA148">
        <v>0</v>
      </c>
      <c r="AC148">
        <v>0</v>
      </c>
      <c r="AE148">
        <v>0</v>
      </c>
      <c r="AF148">
        <v>0</v>
      </c>
      <c r="AG148" s="2">
        <v>3353.65</v>
      </c>
      <c r="AH148">
        <v>0</v>
      </c>
      <c r="AI148" s="2">
        <v>3353.65</v>
      </c>
      <c r="AJ148">
        <v>956</v>
      </c>
      <c r="AK148">
        <v>956</v>
      </c>
      <c r="AL148" t="str">
        <f>"$"</f>
        <v>$</v>
      </c>
    </row>
    <row r="149" spans="1:38" x14ac:dyDescent="0.3">
      <c r="A149" t="str">
        <f>"SO20000103"</f>
        <v>SO20000103</v>
      </c>
      <c r="B149" t="str">
        <f>"E000306153"</f>
        <v>E000306153</v>
      </c>
      <c r="C149" t="str">
        <f>"בוצעה"</f>
        <v>בוצעה</v>
      </c>
      <c r="E149" s="3">
        <v>43899</v>
      </c>
      <c r="F149" s="3">
        <v>43998</v>
      </c>
      <c r="G149" t="str">
        <f>"700065"</f>
        <v>700065</v>
      </c>
      <c r="H149" t="str">
        <f>"אלתא מערכות בע""מ"</f>
        <v>אלתא מערכות בע"מ</v>
      </c>
      <c r="I149" t="str">
        <f>"ערן שלו"</f>
        <v>ערן שלו</v>
      </c>
      <c r="J149" t="str">
        <f>"OP-AR01666"</f>
        <v>OP-AR01666</v>
      </c>
      <c r="K149" s="1" t="str">
        <f>"6649E017-001 SYSTEM BUNDLE TO RSU - LLC/CNT"</f>
        <v>6649E017-001 SYSTEM BUNDLE TO RSU - LLC/CNT</v>
      </c>
      <c r="L149">
        <v>1</v>
      </c>
      <c r="M149" t="str">
        <f>"PR20000120"</f>
        <v>PR20000120</v>
      </c>
      <c r="N149" t="str">
        <f>"SYSTEM BUNDLE TO RS"</f>
        <v>SYSTEM BUNDLE TO RS</v>
      </c>
      <c r="O149">
        <v>681.95</v>
      </c>
      <c r="P149" t="str">
        <f>"$"</f>
        <v>$</v>
      </c>
      <c r="Q149" t="str">
        <f>"000"</f>
        <v>000</v>
      </c>
      <c r="R149" t="str">
        <f>"כללית"</f>
        <v>כללית</v>
      </c>
      <c r="S149" t="str">
        <f>"034"</f>
        <v>034</v>
      </c>
      <c r="T149" t="str">
        <f>"גנם הודיה"</f>
        <v>גנם הודיה</v>
      </c>
      <c r="U149">
        <v>0</v>
      </c>
      <c r="V149">
        <v>0</v>
      </c>
      <c r="W149">
        <v>681.95</v>
      </c>
      <c r="X149">
        <v>681.95</v>
      </c>
      <c r="Z149" t="str">
        <f>"Y"</f>
        <v>Y</v>
      </c>
      <c r="AA149">
        <v>0</v>
      </c>
      <c r="AC149">
        <v>0</v>
      </c>
      <c r="AE149">
        <v>0</v>
      </c>
      <c r="AF149">
        <v>0</v>
      </c>
      <c r="AG149" s="2">
        <v>2392.2800000000002</v>
      </c>
      <c r="AH149">
        <v>0</v>
      </c>
      <c r="AI149" s="2">
        <v>2392.2800000000002</v>
      </c>
      <c r="AJ149">
        <v>681.95</v>
      </c>
      <c r="AK149">
        <v>681.95</v>
      </c>
      <c r="AL149" t="str">
        <f>"$"</f>
        <v>$</v>
      </c>
    </row>
    <row r="150" spans="1:38" x14ac:dyDescent="0.3">
      <c r="A150" t="str">
        <f>"SO20000103"</f>
        <v>SO20000103</v>
      </c>
      <c r="B150" t="str">
        <f>"E000306153"</f>
        <v>E000306153</v>
      </c>
      <c r="C150" t="str">
        <f>"בוצעה"</f>
        <v>בוצעה</v>
      </c>
      <c r="E150" s="3">
        <v>43899</v>
      </c>
      <c r="F150" s="3">
        <v>43998</v>
      </c>
      <c r="G150" t="str">
        <f>"700065"</f>
        <v>700065</v>
      </c>
      <c r="H150" t="str">
        <f>"אלתא מערכות בע""מ"</f>
        <v>אלתא מערכות בע"מ</v>
      </c>
      <c r="I150" t="str">
        <f>"ערן שלו"</f>
        <v>ערן שלו</v>
      </c>
      <c r="J150" t="str">
        <f>"OP-AR01667"</f>
        <v>OP-AR01667</v>
      </c>
      <c r="K150" s="1" t="str">
        <f>"6660J719-003 W719"</f>
        <v>6660J719-003 W719</v>
      </c>
      <c r="L150">
        <v>1</v>
      </c>
      <c r="M150" t="str">
        <f>"PR20000120"</f>
        <v>PR20000120</v>
      </c>
      <c r="N150" t="str">
        <f>"SYSTEM BUNDLE TO RS"</f>
        <v>SYSTEM BUNDLE TO RS</v>
      </c>
      <c r="O150">
        <v>558.62</v>
      </c>
      <c r="P150" t="str">
        <f>"$"</f>
        <v>$</v>
      </c>
      <c r="Q150" t="str">
        <f>"000"</f>
        <v>000</v>
      </c>
      <c r="R150" t="str">
        <f>"כללית"</f>
        <v>כללית</v>
      </c>
      <c r="S150" t="str">
        <f>"034"</f>
        <v>034</v>
      </c>
      <c r="T150" t="str">
        <f>"גנם הודיה"</f>
        <v>גנם הודיה</v>
      </c>
      <c r="U150">
        <v>0</v>
      </c>
      <c r="V150">
        <v>0</v>
      </c>
      <c r="W150">
        <v>558.62</v>
      </c>
      <c r="X150">
        <v>558.62</v>
      </c>
      <c r="Z150" t="str">
        <f>"Y"</f>
        <v>Y</v>
      </c>
      <c r="AA150">
        <v>0</v>
      </c>
      <c r="AC150">
        <v>0</v>
      </c>
      <c r="AE150">
        <v>0</v>
      </c>
      <c r="AF150">
        <v>0</v>
      </c>
      <c r="AG150" s="2">
        <v>1959.64</v>
      </c>
      <c r="AH150">
        <v>0</v>
      </c>
      <c r="AI150" s="2">
        <v>1959.64</v>
      </c>
      <c r="AJ150">
        <v>558.62</v>
      </c>
      <c r="AK150">
        <v>558.62</v>
      </c>
      <c r="AL150" t="str">
        <f>"$"</f>
        <v>$</v>
      </c>
    </row>
    <row r="151" spans="1:38" x14ac:dyDescent="0.3">
      <c r="A151" t="str">
        <f>"SO20000103"</f>
        <v>SO20000103</v>
      </c>
      <c r="B151" t="str">
        <f>"E000306153"</f>
        <v>E000306153</v>
      </c>
      <c r="C151" t="str">
        <f>"בוצעה"</f>
        <v>בוצעה</v>
      </c>
      <c r="E151" s="3">
        <v>43899</v>
      </c>
      <c r="F151" s="3">
        <v>43998</v>
      </c>
      <c r="G151" t="str">
        <f>"700065"</f>
        <v>700065</v>
      </c>
      <c r="H151" t="str">
        <f>"אלתא מערכות בע""מ"</f>
        <v>אלתא מערכות בע"מ</v>
      </c>
      <c r="I151" t="str">
        <f>"ערן שלו"</f>
        <v>ערן שלו</v>
      </c>
      <c r="J151" t="str">
        <f>"OP-AR01668"</f>
        <v>OP-AR01668</v>
      </c>
      <c r="K151" s="1" t="str">
        <f>"6660J891-001 W891"</f>
        <v>6660J891-001 W891</v>
      </c>
      <c r="L151">
        <v>2</v>
      </c>
      <c r="M151" t="str">
        <f>"PR20000120"</f>
        <v>PR20000120</v>
      </c>
      <c r="N151" t="str">
        <f>"SYSTEM BUNDLE TO RS"</f>
        <v>SYSTEM BUNDLE TO RS</v>
      </c>
      <c r="O151">
        <v>254.19</v>
      </c>
      <c r="P151" t="str">
        <f>"$"</f>
        <v>$</v>
      </c>
      <c r="Q151" t="str">
        <f>"000"</f>
        <v>000</v>
      </c>
      <c r="R151" t="str">
        <f>"כללית"</f>
        <v>כללית</v>
      </c>
      <c r="S151" t="str">
        <f>"034"</f>
        <v>034</v>
      </c>
      <c r="T151" t="str">
        <f>"גנם הודיה"</f>
        <v>גנם הודיה</v>
      </c>
      <c r="U151">
        <v>0</v>
      </c>
      <c r="V151">
        <v>0</v>
      </c>
      <c r="W151">
        <v>254.19</v>
      </c>
      <c r="X151">
        <v>508.38</v>
      </c>
      <c r="Z151" t="str">
        <f>"Y"</f>
        <v>Y</v>
      </c>
      <c r="AA151">
        <v>0</v>
      </c>
      <c r="AC151">
        <v>0</v>
      </c>
      <c r="AE151">
        <v>0</v>
      </c>
      <c r="AF151">
        <v>0</v>
      </c>
      <c r="AG151">
        <v>891.7</v>
      </c>
      <c r="AH151">
        <v>0</v>
      </c>
      <c r="AI151" s="2">
        <v>1783.4</v>
      </c>
      <c r="AJ151">
        <v>508.38</v>
      </c>
      <c r="AK151">
        <v>508.38</v>
      </c>
      <c r="AL151" t="str">
        <f>"$"</f>
        <v>$</v>
      </c>
    </row>
    <row r="152" spans="1:38" x14ac:dyDescent="0.3">
      <c r="A152" t="str">
        <f>"SO20000103"</f>
        <v>SO20000103</v>
      </c>
      <c r="B152" t="str">
        <f>"E000306153"</f>
        <v>E000306153</v>
      </c>
      <c r="C152" t="str">
        <f>"בוצעה"</f>
        <v>בוצעה</v>
      </c>
      <c r="E152" s="3">
        <v>43899</v>
      </c>
      <c r="F152" s="3">
        <v>43998</v>
      </c>
      <c r="G152" t="str">
        <f>"700065"</f>
        <v>700065</v>
      </c>
      <c r="H152" t="str">
        <f>"אלתא מערכות בע""מ"</f>
        <v>אלתא מערכות בע"מ</v>
      </c>
      <c r="I152" t="str">
        <f>"ערן שלו"</f>
        <v>ערן שלו</v>
      </c>
      <c r="J152" t="str">
        <f>"OP-AR01670"</f>
        <v>OP-AR01670</v>
      </c>
      <c r="K152" s="1" t="str">
        <f>"6660E111-001 W111"</f>
        <v>6660E111-001 W111</v>
      </c>
      <c r="L152">
        <v>1</v>
      </c>
      <c r="M152" t="str">
        <f>"PR20000120"</f>
        <v>PR20000120</v>
      </c>
      <c r="N152" t="str">
        <f>"SYSTEM BUNDLE TO RS"</f>
        <v>SYSTEM BUNDLE TO RS</v>
      </c>
      <c r="O152">
        <v>185.37</v>
      </c>
      <c r="P152" t="str">
        <f>"$"</f>
        <v>$</v>
      </c>
      <c r="Q152" t="str">
        <f>"000"</f>
        <v>000</v>
      </c>
      <c r="R152" t="str">
        <f>"כללית"</f>
        <v>כללית</v>
      </c>
      <c r="S152" t="str">
        <f>"034"</f>
        <v>034</v>
      </c>
      <c r="T152" t="str">
        <f>"גנם הודיה"</f>
        <v>גנם הודיה</v>
      </c>
      <c r="U152">
        <v>0</v>
      </c>
      <c r="V152">
        <v>0</v>
      </c>
      <c r="W152">
        <v>185.37</v>
      </c>
      <c r="X152">
        <v>185.37</v>
      </c>
      <c r="Z152" t="str">
        <f>"Y"</f>
        <v>Y</v>
      </c>
      <c r="AA152">
        <v>0</v>
      </c>
      <c r="AC152">
        <v>0</v>
      </c>
      <c r="AE152">
        <v>0</v>
      </c>
      <c r="AF152">
        <v>0</v>
      </c>
      <c r="AG152">
        <v>650.28</v>
      </c>
      <c r="AH152">
        <v>0</v>
      </c>
      <c r="AI152">
        <v>650.28</v>
      </c>
      <c r="AJ152">
        <v>185.37</v>
      </c>
      <c r="AK152">
        <v>185.37</v>
      </c>
      <c r="AL152" t="str">
        <f>"$"</f>
        <v>$</v>
      </c>
    </row>
    <row r="153" spans="1:38" x14ac:dyDescent="0.3">
      <c r="A153" t="str">
        <f>"SO20000103"</f>
        <v>SO20000103</v>
      </c>
      <c r="B153" t="str">
        <f>"E000306153"</f>
        <v>E000306153</v>
      </c>
      <c r="C153" t="str">
        <f>"בוצעה"</f>
        <v>בוצעה</v>
      </c>
      <c r="E153" s="3">
        <v>43899</v>
      </c>
      <c r="F153" s="3">
        <v>43998</v>
      </c>
      <c r="G153" t="str">
        <f>"700065"</f>
        <v>700065</v>
      </c>
      <c r="H153" t="str">
        <f>"אלתא מערכות בע""מ"</f>
        <v>אלתא מערכות בע"מ</v>
      </c>
      <c r="I153" t="str">
        <f>"ערן שלו"</f>
        <v>ערן שלו</v>
      </c>
      <c r="J153" t="str">
        <f>"OP-AR01673"</f>
        <v>OP-AR01673</v>
      </c>
      <c r="K153" s="1" t="str">
        <f>"6649E321-001 W1291"</f>
        <v>6649E321-001 W1291</v>
      </c>
      <c r="L153">
        <v>2</v>
      </c>
      <c r="M153" t="str">
        <f>"PR20000120"</f>
        <v>PR20000120</v>
      </c>
      <c r="N153" t="str">
        <f>"SYSTEM BUNDLE TO RS"</f>
        <v>SYSTEM BUNDLE TO RS</v>
      </c>
      <c r="O153">
        <v>392.9</v>
      </c>
      <c r="P153" t="str">
        <f>"$"</f>
        <v>$</v>
      </c>
      <c r="Q153" t="str">
        <f>"000"</f>
        <v>000</v>
      </c>
      <c r="R153" t="str">
        <f>"כללית"</f>
        <v>כללית</v>
      </c>
      <c r="S153" t="str">
        <f>"034"</f>
        <v>034</v>
      </c>
      <c r="T153" t="str">
        <f>"גנם הודיה"</f>
        <v>גנם הודיה</v>
      </c>
      <c r="U153">
        <v>0</v>
      </c>
      <c r="V153">
        <v>0</v>
      </c>
      <c r="W153">
        <v>392.9</v>
      </c>
      <c r="X153">
        <v>785.8</v>
      </c>
      <c r="Z153" t="str">
        <f>"Y"</f>
        <v>Y</v>
      </c>
      <c r="AA153">
        <v>0</v>
      </c>
      <c r="AC153">
        <v>0</v>
      </c>
      <c r="AE153">
        <v>0</v>
      </c>
      <c r="AF153">
        <v>0</v>
      </c>
      <c r="AG153" s="2">
        <v>1378.29</v>
      </c>
      <c r="AH153">
        <v>0</v>
      </c>
      <c r="AI153" s="2">
        <v>2756.59</v>
      </c>
      <c r="AJ153">
        <v>785.8</v>
      </c>
      <c r="AK153">
        <v>785.8</v>
      </c>
      <c r="AL153" t="str">
        <f>"$"</f>
        <v>$</v>
      </c>
    </row>
    <row r="154" spans="1:38" x14ac:dyDescent="0.3">
      <c r="A154" t="str">
        <f>"SO20000103"</f>
        <v>SO20000103</v>
      </c>
      <c r="B154" t="str">
        <f>"E000306153"</f>
        <v>E000306153</v>
      </c>
      <c r="C154" t="str">
        <f>"בוצעה"</f>
        <v>בוצעה</v>
      </c>
      <c r="E154" s="3">
        <v>43899</v>
      </c>
      <c r="F154" s="3">
        <v>43998</v>
      </c>
      <c r="G154" t="str">
        <f>"700065"</f>
        <v>700065</v>
      </c>
      <c r="H154" t="str">
        <f>"אלתא מערכות בע""מ"</f>
        <v>אלתא מערכות בע"מ</v>
      </c>
      <c r="I154" t="str">
        <f>"ערן שלו"</f>
        <v>ערן שלו</v>
      </c>
      <c r="J154" t="str">
        <f>"OP-AR01674"</f>
        <v>OP-AR01674</v>
      </c>
      <c r="K154" s="1" t="str">
        <f>"6649E322-001 W1292"</f>
        <v>6649E322-001 W1292</v>
      </c>
      <c r="L154">
        <v>1</v>
      </c>
      <c r="M154" t="str">
        <f>"PR20000120"</f>
        <v>PR20000120</v>
      </c>
      <c r="N154" t="str">
        <f>"SYSTEM BUNDLE TO RS"</f>
        <v>SYSTEM BUNDLE TO RS</v>
      </c>
      <c r="O154">
        <v>579.83000000000004</v>
      </c>
      <c r="P154" t="str">
        <f>"$"</f>
        <v>$</v>
      </c>
      <c r="Q154" t="str">
        <f>"000"</f>
        <v>000</v>
      </c>
      <c r="R154" t="str">
        <f>"כללית"</f>
        <v>כללית</v>
      </c>
      <c r="S154" t="str">
        <f>"034"</f>
        <v>034</v>
      </c>
      <c r="T154" t="str">
        <f>"גנם הודיה"</f>
        <v>גנם הודיה</v>
      </c>
      <c r="U154">
        <v>0</v>
      </c>
      <c r="V154">
        <v>0</v>
      </c>
      <c r="W154">
        <v>579.83000000000004</v>
      </c>
      <c r="X154">
        <v>579.83000000000004</v>
      </c>
      <c r="Z154" t="str">
        <f>"Y"</f>
        <v>Y</v>
      </c>
      <c r="AA154">
        <v>0</v>
      </c>
      <c r="AC154">
        <v>0</v>
      </c>
      <c r="AE154">
        <v>0</v>
      </c>
      <c r="AF154">
        <v>0</v>
      </c>
      <c r="AG154" s="2">
        <v>2034.04</v>
      </c>
      <c r="AH154">
        <v>0</v>
      </c>
      <c r="AI154" s="2">
        <v>2034.04</v>
      </c>
      <c r="AJ154">
        <v>579.83000000000004</v>
      </c>
      <c r="AK154">
        <v>579.83000000000004</v>
      </c>
      <c r="AL154" t="str">
        <f>"$"</f>
        <v>$</v>
      </c>
    </row>
    <row r="155" spans="1:38" x14ac:dyDescent="0.3">
      <c r="A155" t="str">
        <f>"SO20000103"</f>
        <v>SO20000103</v>
      </c>
      <c r="B155" t="str">
        <f>"E000306153"</f>
        <v>E000306153</v>
      </c>
      <c r="C155" t="str">
        <f>"בוצעה"</f>
        <v>בוצעה</v>
      </c>
      <c r="E155" s="3">
        <v>43899</v>
      </c>
      <c r="F155" s="3">
        <v>43998</v>
      </c>
      <c r="G155" t="str">
        <f>"700065"</f>
        <v>700065</v>
      </c>
      <c r="H155" t="str">
        <f>"אלתא מערכות בע""מ"</f>
        <v>אלתא מערכות בע"מ</v>
      </c>
      <c r="I155" t="str">
        <f>"ערן שלו"</f>
        <v>ערן שלו</v>
      </c>
      <c r="J155" t="str">
        <f>"OP-AR01675"</f>
        <v>OP-AR01675</v>
      </c>
      <c r="K155" s="1" t="str">
        <f>"6649E301-001 W1091"</f>
        <v>6649E301-001 W1091</v>
      </c>
      <c r="L155">
        <v>1</v>
      </c>
      <c r="M155" t="str">
        <f>"PR20000120"</f>
        <v>PR20000120</v>
      </c>
      <c r="N155" t="str">
        <f>"SYSTEM BUNDLE TO RS"</f>
        <v>SYSTEM BUNDLE TO RS</v>
      </c>
      <c r="O155">
        <v>455.92</v>
      </c>
      <c r="P155" t="str">
        <f>"$"</f>
        <v>$</v>
      </c>
      <c r="Q155" t="str">
        <f>"000"</f>
        <v>000</v>
      </c>
      <c r="R155" t="str">
        <f>"כללית"</f>
        <v>כללית</v>
      </c>
      <c r="S155" t="str">
        <f>"034"</f>
        <v>034</v>
      </c>
      <c r="T155" t="str">
        <f>"גנם הודיה"</f>
        <v>גנם הודיה</v>
      </c>
      <c r="U155">
        <v>0</v>
      </c>
      <c r="V155">
        <v>0</v>
      </c>
      <c r="W155">
        <v>455.92</v>
      </c>
      <c r="X155">
        <v>455.92</v>
      </c>
      <c r="Z155" t="str">
        <f>"Y"</f>
        <v>Y</v>
      </c>
      <c r="AA155">
        <v>0</v>
      </c>
      <c r="AC155">
        <v>0</v>
      </c>
      <c r="AE155">
        <v>0</v>
      </c>
      <c r="AF155">
        <v>0</v>
      </c>
      <c r="AG155" s="2">
        <v>1599.37</v>
      </c>
      <c r="AH155">
        <v>0</v>
      </c>
      <c r="AI155" s="2">
        <v>1599.37</v>
      </c>
      <c r="AJ155">
        <v>455.92</v>
      </c>
      <c r="AK155">
        <v>455.92</v>
      </c>
      <c r="AL155" t="str">
        <f>"$"</f>
        <v>$</v>
      </c>
    </row>
    <row r="156" spans="1:38" x14ac:dyDescent="0.3">
      <c r="A156" t="str">
        <f>"SO20000103"</f>
        <v>SO20000103</v>
      </c>
      <c r="B156" t="str">
        <f>"E000306153"</f>
        <v>E000306153</v>
      </c>
      <c r="C156" t="str">
        <f>"בוצעה"</f>
        <v>בוצעה</v>
      </c>
      <c r="E156" s="3">
        <v>43899</v>
      </c>
      <c r="F156" s="3">
        <v>43998</v>
      </c>
      <c r="G156" t="str">
        <f>"700065"</f>
        <v>700065</v>
      </c>
      <c r="H156" t="str">
        <f>"אלתא מערכות בע""מ"</f>
        <v>אלתא מערכות בע"מ</v>
      </c>
      <c r="I156" t="str">
        <f>"ערן שלו"</f>
        <v>ערן שלו</v>
      </c>
      <c r="J156" t="str">
        <f>"OP-AR01679"</f>
        <v>OP-AR01679</v>
      </c>
      <c r="K156" s="1" t="str">
        <f>"6649E632-001 ANT DOMO N TYPE -TBDM- N TYPE"</f>
        <v>6649E632-001 ANT DOMO N TYPE -TBDM- N TYPE</v>
      </c>
      <c r="L156">
        <v>1</v>
      </c>
      <c r="M156" t="str">
        <f>"PR20000120"</f>
        <v>PR20000120</v>
      </c>
      <c r="N156" t="str">
        <f>"SYSTEM BUNDLE TO RS"</f>
        <v>SYSTEM BUNDLE TO RS</v>
      </c>
      <c r="O156">
        <v>307.08</v>
      </c>
      <c r="P156" t="str">
        <f>"$"</f>
        <v>$</v>
      </c>
      <c r="Q156" t="str">
        <f>"000"</f>
        <v>000</v>
      </c>
      <c r="R156" t="str">
        <f>"כללית"</f>
        <v>כללית</v>
      </c>
      <c r="S156" t="str">
        <f>"034"</f>
        <v>034</v>
      </c>
      <c r="T156" t="str">
        <f>"גנם הודיה"</f>
        <v>גנם הודיה</v>
      </c>
      <c r="U156">
        <v>0</v>
      </c>
      <c r="V156">
        <v>0</v>
      </c>
      <c r="W156">
        <v>307.08</v>
      </c>
      <c r="X156">
        <v>307.08</v>
      </c>
      <c r="Z156" t="str">
        <f>"Y"</f>
        <v>Y</v>
      </c>
      <c r="AA156">
        <v>0</v>
      </c>
      <c r="AC156">
        <v>0</v>
      </c>
      <c r="AE156">
        <v>0</v>
      </c>
      <c r="AF156">
        <v>0</v>
      </c>
      <c r="AG156" s="2">
        <v>1077.24</v>
      </c>
      <c r="AH156">
        <v>0</v>
      </c>
      <c r="AI156" s="2">
        <v>1077.24</v>
      </c>
      <c r="AJ156">
        <v>307.08</v>
      </c>
      <c r="AK156">
        <v>307.08</v>
      </c>
      <c r="AL156" t="str">
        <f>"$"</f>
        <v>$</v>
      </c>
    </row>
    <row r="157" spans="1:38" x14ac:dyDescent="0.3">
      <c r="A157" t="str">
        <f>"SO20000103"</f>
        <v>SO20000103</v>
      </c>
      <c r="B157" t="str">
        <f>"E000306153"</f>
        <v>E000306153</v>
      </c>
      <c r="C157" t="str">
        <f>"בוצעה"</f>
        <v>בוצעה</v>
      </c>
      <c r="E157" s="3">
        <v>43899</v>
      </c>
      <c r="F157" s="3">
        <v>43998</v>
      </c>
      <c r="G157" t="str">
        <f>"700065"</f>
        <v>700065</v>
      </c>
      <c r="H157" t="str">
        <f>"אלתא מערכות בע""מ"</f>
        <v>אלתא מערכות בע"מ</v>
      </c>
      <c r="I157" t="str">
        <f>"ערן שלו"</f>
        <v>ערן שלו</v>
      </c>
      <c r="J157" t="str">
        <f>"OP-AR01681"</f>
        <v>OP-AR01681</v>
      </c>
      <c r="K157" s="1" t="str">
        <f>"6649J011-001 W7001"</f>
        <v>6649J011-001 W7001</v>
      </c>
      <c r="L157">
        <v>1</v>
      </c>
      <c r="M157" t="str">
        <f>"PR20000120"</f>
        <v>PR20000120</v>
      </c>
      <c r="N157" t="str">
        <f>"SYSTEM BUNDLE TO RS"</f>
        <v>SYSTEM BUNDLE TO RS</v>
      </c>
      <c r="O157" s="2">
        <v>1349.28</v>
      </c>
      <c r="P157" t="str">
        <f>"$"</f>
        <v>$</v>
      </c>
      <c r="Q157" t="str">
        <f>"000"</f>
        <v>000</v>
      </c>
      <c r="R157" t="str">
        <f>"כללית"</f>
        <v>כללית</v>
      </c>
      <c r="S157" t="str">
        <f>"034"</f>
        <v>034</v>
      </c>
      <c r="T157" t="str">
        <f>"גנם הודיה"</f>
        <v>גנם הודיה</v>
      </c>
      <c r="U157">
        <v>0</v>
      </c>
      <c r="V157">
        <v>0</v>
      </c>
      <c r="W157" s="2">
        <v>1349.28</v>
      </c>
      <c r="X157" s="2">
        <v>1349.28</v>
      </c>
      <c r="Z157" t="str">
        <f>"Y"</f>
        <v>Y</v>
      </c>
      <c r="AA157">
        <v>0</v>
      </c>
      <c r="AC157">
        <v>0</v>
      </c>
      <c r="AE157">
        <v>0</v>
      </c>
      <c r="AF157">
        <v>0</v>
      </c>
      <c r="AG157" s="2">
        <v>4733.2700000000004</v>
      </c>
      <c r="AH157">
        <v>0</v>
      </c>
      <c r="AI157" s="2">
        <v>4733.2700000000004</v>
      </c>
      <c r="AJ157" s="2">
        <v>1349.28</v>
      </c>
      <c r="AK157" s="2">
        <v>1349.28</v>
      </c>
      <c r="AL157" t="str">
        <f>"$"</f>
        <v>$</v>
      </c>
    </row>
    <row r="158" spans="1:38" x14ac:dyDescent="0.3">
      <c r="A158" t="str">
        <f>"SO20000103"</f>
        <v>SO20000103</v>
      </c>
      <c r="B158" t="str">
        <f>"E000306153"</f>
        <v>E000306153</v>
      </c>
      <c r="C158" t="str">
        <f>"בוצעה"</f>
        <v>בוצעה</v>
      </c>
      <c r="E158" s="3">
        <v>43899</v>
      </c>
      <c r="F158" s="3">
        <v>43998</v>
      </c>
      <c r="G158" t="str">
        <f>"700065"</f>
        <v>700065</v>
      </c>
      <c r="H158" t="str">
        <f>"אלתא מערכות בע""מ"</f>
        <v>אלתא מערכות בע"מ</v>
      </c>
      <c r="I158" t="str">
        <f>"ערן שלו"</f>
        <v>ערן שלו</v>
      </c>
      <c r="J158" t="str">
        <f>"OP-AR01682"</f>
        <v>OP-AR01682</v>
      </c>
      <c r="K158" s="1" t="str">
        <f>"6649J231-001 W7611"</f>
        <v>6649J231-001 W7611</v>
      </c>
      <c r="L158">
        <v>1</v>
      </c>
      <c r="M158" t="str">
        <f>"PR20000120"</f>
        <v>PR20000120</v>
      </c>
      <c r="N158" t="str">
        <f>"SYSTEM BUNDLE TO RS"</f>
        <v>SYSTEM BUNDLE TO RS</v>
      </c>
      <c r="O158">
        <v>346.59</v>
      </c>
      <c r="P158" t="str">
        <f>"$"</f>
        <v>$</v>
      </c>
      <c r="Q158" t="str">
        <f>"000"</f>
        <v>000</v>
      </c>
      <c r="R158" t="str">
        <f>"כללית"</f>
        <v>כללית</v>
      </c>
      <c r="S158" t="str">
        <f>"034"</f>
        <v>034</v>
      </c>
      <c r="T158" t="str">
        <f>"גנם הודיה"</f>
        <v>גנם הודיה</v>
      </c>
      <c r="U158">
        <v>0</v>
      </c>
      <c r="V158">
        <v>0</v>
      </c>
      <c r="W158">
        <v>346.59</v>
      </c>
      <c r="X158">
        <v>346.59</v>
      </c>
      <c r="Z158" t="str">
        <f>"Y"</f>
        <v>Y</v>
      </c>
      <c r="AA158">
        <v>0</v>
      </c>
      <c r="AC158">
        <v>0</v>
      </c>
      <c r="AE158">
        <v>0</v>
      </c>
      <c r="AF158">
        <v>0</v>
      </c>
      <c r="AG158" s="2">
        <v>1215.8399999999999</v>
      </c>
      <c r="AH158">
        <v>0</v>
      </c>
      <c r="AI158" s="2">
        <v>1215.8399999999999</v>
      </c>
      <c r="AJ158">
        <v>346.59</v>
      </c>
      <c r="AK158">
        <v>346.59</v>
      </c>
      <c r="AL158" t="str">
        <f>"$"</f>
        <v>$</v>
      </c>
    </row>
    <row r="159" spans="1:38" x14ac:dyDescent="0.3">
      <c r="A159" t="str">
        <f>"SO20000103"</f>
        <v>SO20000103</v>
      </c>
      <c r="B159" t="str">
        <f>"E000306153"</f>
        <v>E000306153</v>
      </c>
      <c r="C159" t="str">
        <f>"בוצעה"</f>
        <v>בוצעה</v>
      </c>
      <c r="E159" s="3">
        <v>43899</v>
      </c>
      <c r="F159" s="3">
        <v>43998</v>
      </c>
      <c r="G159" t="str">
        <f>"700065"</f>
        <v>700065</v>
      </c>
      <c r="H159" t="str">
        <f>"אלתא מערכות בע""מ"</f>
        <v>אלתא מערכות בע"מ</v>
      </c>
      <c r="I159" t="str">
        <f>"ערן שלו"</f>
        <v>ערן שלו</v>
      </c>
      <c r="J159" t="str">
        <f>"OP-AR01683"</f>
        <v>OP-AR01683</v>
      </c>
      <c r="K159" s="1" t="str">
        <f>"6660J713-001 W713"</f>
        <v>6660J713-001 W713</v>
      </c>
      <c r="L159">
        <v>1</v>
      </c>
      <c r="M159" t="str">
        <f>"PR20000120"</f>
        <v>PR20000120</v>
      </c>
      <c r="N159" t="str">
        <f>"SYSTEM BUNDLE TO RS"</f>
        <v>SYSTEM BUNDLE TO RS</v>
      </c>
      <c r="O159">
        <v>437.12</v>
      </c>
      <c r="P159" t="str">
        <f>"$"</f>
        <v>$</v>
      </c>
      <c r="Q159" t="str">
        <f>"000"</f>
        <v>000</v>
      </c>
      <c r="R159" t="str">
        <f>"כללית"</f>
        <v>כללית</v>
      </c>
      <c r="S159" t="str">
        <f>"034"</f>
        <v>034</v>
      </c>
      <c r="T159" t="str">
        <f>"גנם הודיה"</f>
        <v>גנם הודיה</v>
      </c>
      <c r="U159">
        <v>0</v>
      </c>
      <c r="V159">
        <v>0</v>
      </c>
      <c r="W159">
        <v>437.12</v>
      </c>
      <c r="X159">
        <v>437.12</v>
      </c>
      <c r="Z159" t="str">
        <f>"Y"</f>
        <v>Y</v>
      </c>
      <c r="AA159">
        <v>0</v>
      </c>
      <c r="AC159">
        <v>0</v>
      </c>
      <c r="AE159">
        <v>0</v>
      </c>
      <c r="AF159">
        <v>0</v>
      </c>
      <c r="AG159" s="2">
        <v>1533.42</v>
      </c>
      <c r="AH159">
        <v>0</v>
      </c>
      <c r="AI159" s="2">
        <v>1533.42</v>
      </c>
      <c r="AJ159">
        <v>437.12</v>
      </c>
      <c r="AK159">
        <v>437.12</v>
      </c>
      <c r="AL159" t="str">
        <f>"$"</f>
        <v>$</v>
      </c>
    </row>
    <row r="160" spans="1:38" x14ac:dyDescent="0.3">
      <c r="A160" t="str">
        <f>"SO20000103"</f>
        <v>SO20000103</v>
      </c>
      <c r="B160" t="str">
        <f>"E000306153"</f>
        <v>E000306153</v>
      </c>
      <c r="C160" t="str">
        <f>"בוצעה"</f>
        <v>בוצעה</v>
      </c>
      <c r="E160" s="3">
        <v>43899</v>
      </c>
      <c r="F160" s="3">
        <v>43998</v>
      </c>
      <c r="G160" t="str">
        <f>"700065"</f>
        <v>700065</v>
      </c>
      <c r="H160" t="str">
        <f>"אלתא מערכות בע""מ"</f>
        <v>אלתא מערכות בע"מ</v>
      </c>
      <c r="I160" t="str">
        <f>"ערן שלו"</f>
        <v>ערן שלו</v>
      </c>
      <c r="J160" t="str">
        <f>"OP-AR01684"</f>
        <v>OP-AR01684</v>
      </c>
      <c r="K160" s="1" t="str">
        <f>"6660J831-001 W831"</f>
        <v>6660J831-001 W831</v>
      </c>
      <c r="L160">
        <v>1</v>
      </c>
      <c r="M160" t="str">
        <f>"PR20000120"</f>
        <v>PR20000120</v>
      </c>
      <c r="N160" t="str">
        <f>"SYSTEM BUNDLE TO RS"</f>
        <v>SYSTEM BUNDLE TO RS</v>
      </c>
      <c r="O160">
        <v>382.17</v>
      </c>
      <c r="P160" t="str">
        <f>"$"</f>
        <v>$</v>
      </c>
      <c r="Q160" t="str">
        <f>"000"</f>
        <v>000</v>
      </c>
      <c r="R160" t="str">
        <f>"כללית"</f>
        <v>כללית</v>
      </c>
      <c r="S160" t="str">
        <f>"034"</f>
        <v>034</v>
      </c>
      <c r="T160" t="str">
        <f>"גנם הודיה"</f>
        <v>גנם הודיה</v>
      </c>
      <c r="U160">
        <v>0</v>
      </c>
      <c r="V160">
        <v>0</v>
      </c>
      <c r="W160">
        <v>382.17</v>
      </c>
      <c r="X160">
        <v>382.17</v>
      </c>
      <c r="Z160" t="str">
        <f>"Y"</f>
        <v>Y</v>
      </c>
      <c r="AA160">
        <v>0</v>
      </c>
      <c r="AC160">
        <v>0</v>
      </c>
      <c r="AE160">
        <v>0</v>
      </c>
      <c r="AF160">
        <v>0</v>
      </c>
      <c r="AG160" s="2">
        <v>1340.65</v>
      </c>
      <c r="AH160">
        <v>0</v>
      </c>
      <c r="AI160" s="2">
        <v>1340.65</v>
      </c>
      <c r="AJ160">
        <v>382.17</v>
      </c>
      <c r="AK160">
        <v>382.17</v>
      </c>
      <c r="AL160" t="str">
        <f>"$"</f>
        <v>$</v>
      </c>
    </row>
    <row r="161" spans="1:38" x14ac:dyDescent="0.3">
      <c r="A161" t="str">
        <f>"SO20000103"</f>
        <v>SO20000103</v>
      </c>
      <c r="B161" t="str">
        <f>"E000306153"</f>
        <v>E000306153</v>
      </c>
      <c r="C161" t="str">
        <f>"בוצעה"</f>
        <v>בוצעה</v>
      </c>
      <c r="E161" s="3">
        <v>43899</v>
      </c>
      <c r="F161" s="3">
        <v>43998</v>
      </c>
      <c r="G161" t="str">
        <f>"700065"</f>
        <v>700065</v>
      </c>
      <c r="H161" t="str">
        <f>"אלתא מערכות בע""מ"</f>
        <v>אלתא מערכות בע"מ</v>
      </c>
      <c r="I161" t="str">
        <f>"ערן שלו"</f>
        <v>ערן שלו</v>
      </c>
      <c r="J161" t="str">
        <f>"OP-AR01685"</f>
        <v>OP-AR01685</v>
      </c>
      <c r="K161" s="1" t="str">
        <f>"6660J731-001 W731"</f>
        <v>6660J731-001 W731</v>
      </c>
      <c r="L161">
        <v>1</v>
      </c>
      <c r="M161" t="str">
        <f>"PR20000120"</f>
        <v>PR20000120</v>
      </c>
      <c r="N161" t="str">
        <f>"SYSTEM BUNDLE TO RS"</f>
        <v>SYSTEM BUNDLE TO RS</v>
      </c>
      <c r="O161">
        <v>402.48</v>
      </c>
      <c r="P161" t="str">
        <f>"$"</f>
        <v>$</v>
      </c>
      <c r="Q161" t="str">
        <f>"000"</f>
        <v>000</v>
      </c>
      <c r="R161" t="str">
        <f>"כללית"</f>
        <v>כללית</v>
      </c>
      <c r="S161" t="str">
        <f>"034"</f>
        <v>034</v>
      </c>
      <c r="T161" t="str">
        <f>"גנם הודיה"</f>
        <v>גנם הודיה</v>
      </c>
      <c r="U161">
        <v>0</v>
      </c>
      <c r="V161">
        <v>0</v>
      </c>
      <c r="W161">
        <v>402.48</v>
      </c>
      <c r="X161">
        <v>402.48</v>
      </c>
      <c r="Z161" t="str">
        <f>"Y"</f>
        <v>Y</v>
      </c>
      <c r="AA161">
        <v>0</v>
      </c>
      <c r="AC161">
        <v>0</v>
      </c>
      <c r="AE161">
        <v>0</v>
      </c>
      <c r="AF161">
        <v>0</v>
      </c>
      <c r="AG161" s="2">
        <v>1411.9</v>
      </c>
      <c r="AH161">
        <v>0</v>
      </c>
      <c r="AI161" s="2">
        <v>1411.9</v>
      </c>
      <c r="AJ161">
        <v>402.48</v>
      </c>
      <c r="AK161">
        <v>402.48</v>
      </c>
      <c r="AL161" t="str">
        <f>"$"</f>
        <v>$</v>
      </c>
    </row>
    <row r="162" spans="1:38" x14ac:dyDescent="0.3">
      <c r="A162" t="str">
        <f>"SO20000103"</f>
        <v>SO20000103</v>
      </c>
      <c r="B162" t="str">
        <f>"E000306153"</f>
        <v>E000306153</v>
      </c>
      <c r="C162" t="str">
        <f>"בוצעה"</f>
        <v>בוצעה</v>
      </c>
      <c r="E162" s="3">
        <v>43899</v>
      </c>
      <c r="F162" s="3">
        <v>43998</v>
      </c>
      <c r="G162" t="str">
        <f>"700065"</f>
        <v>700065</v>
      </c>
      <c r="H162" t="str">
        <f>"אלתא מערכות בע""מ"</f>
        <v>אלתא מערכות בע"מ</v>
      </c>
      <c r="I162" t="str">
        <f>"ערן שלו"</f>
        <v>ערן שלו</v>
      </c>
      <c r="J162" t="str">
        <f>"OP-AR01686"</f>
        <v>OP-AR01686</v>
      </c>
      <c r="K162" s="1" t="str">
        <f>"6649J331-001 W7002"</f>
        <v>6649J331-001 W7002</v>
      </c>
      <c r="L162">
        <v>1</v>
      </c>
      <c r="M162" t="str">
        <f>"PR20000120"</f>
        <v>PR20000120</v>
      </c>
      <c r="N162" t="str">
        <f>"SYSTEM BUNDLE TO RS"</f>
        <v>SYSTEM BUNDLE TO RS</v>
      </c>
      <c r="O162">
        <v>783.11</v>
      </c>
      <c r="P162" t="str">
        <f>"$"</f>
        <v>$</v>
      </c>
      <c r="Q162" t="str">
        <f>"000"</f>
        <v>000</v>
      </c>
      <c r="R162" t="str">
        <f>"כללית"</f>
        <v>כללית</v>
      </c>
      <c r="S162" t="str">
        <f>"034"</f>
        <v>034</v>
      </c>
      <c r="T162" t="str">
        <f>"גנם הודיה"</f>
        <v>גנם הודיה</v>
      </c>
      <c r="U162">
        <v>0</v>
      </c>
      <c r="V162">
        <v>0</v>
      </c>
      <c r="W162">
        <v>783.11</v>
      </c>
      <c r="X162">
        <v>783.11</v>
      </c>
      <c r="Z162" t="str">
        <f>"Y"</f>
        <v>Y</v>
      </c>
      <c r="AA162">
        <v>0</v>
      </c>
      <c r="AC162">
        <v>0</v>
      </c>
      <c r="AE162">
        <v>0</v>
      </c>
      <c r="AF162">
        <v>0</v>
      </c>
      <c r="AG162" s="2">
        <v>2747.15</v>
      </c>
      <c r="AH162">
        <v>0</v>
      </c>
      <c r="AI162" s="2">
        <v>2747.15</v>
      </c>
      <c r="AJ162">
        <v>783.11</v>
      </c>
      <c r="AK162">
        <v>783.11</v>
      </c>
      <c r="AL162" t="str">
        <f>"$"</f>
        <v>$</v>
      </c>
    </row>
    <row r="163" spans="1:38" x14ac:dyDescent="0.3">
      <c r="A163" t="str">
        <f>"SO20000103"</f>
        <v>SO20000103</v>
      </c>
      <c r="B163" t="str">
        <f>"E000306153"</f>
        <v>E000306153</v>
      </c>
      <c r="C163" t="str">
        <f>"בוצעה"</f>
        <v>בוצעה</v>
      </c>
      <c r="E163" s="3">
        <v>43899</v>
      </c>
      <c r="F163" s="3">
        <v>43998</v>
      </c>
      <c r="G163" t="str">
        <f>"700065"</f>
        <v>700065</v>
      </c>
      <c r="H163" t="str">
        <f>"אלתא מערכות בע""מ"</f>
        <v>אלתא מערכות בע"מ</v>
      </c>
      <c r="I163" t="str">
        <f>"ערן שלו"</f>
        <v>ערן שלו</v>
      </c>
      <c r="J163" t="str">
        <f>"OP-AR01688"</f>
        <v>OP-AR01688</v>
      </c>
      <c r="K163" s="1" t="str">
        <f>"NRE FOR E000306153"</f>
        <v>NRE FOR E000306153</v>
      </c>
      <c r="L163">
        <v>1</v>
      </c>
      <c r="M163" t="str">
        <f>"PR20000120"</f>
        <v>PR20000120</v>
      </c>
      <c r="N163" t="str">
        <f>"SYSTEM BUNDLE TO RS"</f>
        <v>SYSTEM BUNDLE TO RS</v>
      </c>
      <c r="O163" s="2">
        <v>1700</v>
      </c>
      <c r="P163" t="str">
        <f>"$"</f>
        <v>$</v>
      </c>
      <c r="Q163" t="str">
        <f>"000"</f>
        <v>000</v>
      </c>
      <c r="R163" t="str">
        <f>"כללית"</f>
        <v>כללית</v>
      </c>
      <c r="S163" t="str">
        <f>"034"</f>
        <v>034</v>
      </c>
      <c r="T163" t="str">
        <f>"גנם הודיה"</f>
        <v>גנם הודיה</v>
      </c>
      <c r="U163">
        <v>0</v>
      </c>
      <c r="V163">
        <v>0</v>
      </c>
      <c r="W163" s="2">
        <v>1700</v>
      </c>
      <c r="X163" s="2">
        <v>1700</v>
      </c>
      <c r="Z163" t="str">
        <f>"Y"</f>
        <v>Y</v>
      </c>
      <c r="AA163">
        <v>1</v>
      </c>
      <c r="AC163">
        <v>0</v>
      </c>
      <c r="AE163">
        <v>0</v>
      </c>
      <c r="AF163">
        <v>0</v>
      </c>
      <c r="AG163" s="2">
        <v>5963.6</v>
      </c>
      <c r="AH163">
        <v>0</v>
      </c>
      <c r="AI163" s="2">
        <v>5963.6</v>
      </c>
      <c r="AJ163" s="2">
        <v>1700</v>
      </c>
      <c r="AK163" s="2">
        <v>1700</v>
      </c>
      <c r="AL163" t="str">
        <f>"$"</f>
        <v>$</v>
      </c>
    </row>
    <row r="164" spans="1:38" x14ac:dyDescent="0.3">
      <c r="A164" t="str">
        <f>"SO20000103"</f>
        <v>SO20000103</v>
      </c>
      <c r="B164" t="str">
        <f>"E000306153"</f>
        <v>E000306153</v>
      </c>
      <c r="C164" t="str">
        <f>"בוצעה"</f>
        <v>בוצעה</v>
      </c>
      <c r="E164" s="3">
        <v>43899</v>
      </c>
      <c r="F164" s="3">
        <v>43998</v>
      </c>
      <c r="G164" t="str">
        <f>"700065"</f>
        <v>700065</v>
      </c>
      <c r="H164" t="str">
        <f>"אלתא מערכות בע""מ"</f>
        <v>אלתא מערכות בע"מ</v>
      </c>
      <c r="I164" t="str">
        <f>"ערן שלו"</f>
        <v>ערן שלו</v>
      </c>
      <c r="J164" t="str">
        <f>"OP-AR01687"</f>
        <v>OP-AR01687</v>
      </c>
      <c r="K164" s="1" t="str">
        <f>"6649E013-001 SYSTEM BUNDLE TO RSU - LOCALIZATION"</f>
        <v>6649E013-001 SYSTEM BUNDLE TO RSU - LOCALIZATION</v>
      </c>
      <c r="L164">
        <v>1</v>
      </c>
      <c r="M164" t="str">
        <f>"PR20000120"</f>
        <v>PR20000120</v>
      </c>
      <c r="N164" t="str">
        <f>"SYSTEM BUNDLE TO RS"</f>
        <v>SYSTEM BUNDLE TO RS</v>
      </c>
      <c r="O164" s="2">
        <v>1460.02</v>
      </c>
      <c r="P164" t="str">
        <f>"$"</f>
        <v>$</v>
      </c>
      <c r="Q164" t="str">
        <f>"000"</f>
        <v>000</v>
      </c>
      <c r="R164" t="str">
        <f>"כללית"</f>
        <v>כללית</v>
      </c>
      <c r="S164" t="str">
        <f>"034"</f>
        <v>034</v>
      </c>
      <c r="T164" t="str">
        <f>"גנם הודיה"</f>
        <v>גנם הודיה</v>
      </c>
      <c r="U164">
        <v>0</v>
      </c>
      <c r="V164">
        <v>0</v>
      </c>
      <c r="W164" s="2">
        <v>1460.02</v>
      </c>
      <c r="X164" s="2">
        <v>1460.02</v>
      </c>
      <c r="Z164" t="str">
        <f>"Y"</f>
        <v>Y</v>
      </c>
      <c r="AA164">
        <v>0</v>
      </c>
      <c r="AC164">
        <v>0</v>
      </c>
      <c r="AE164">
        <v>0</v>
      </c>
      <c r="AF164">
        <v>0</v>
      </c>
      <c r="AG164" s="2">
        <v>5121.75</v>
      </c>
      <c r="AH164">
        <v>0</v>
      </c>
      <c r="AI164" s="2">
        <v>5121.75</v>
      </c>
      <c r="AJ164" s="2">
        <v>1460.02</v>
      </c>
      <c r="AK164" s="2">
        <v>1460.02</v>
      </c>
      <c r="AL164" t="str">
        <f>"$"</f>
        <v>$</v>
      </c>
    </row>
    <row r="165" spans="1:38" x14ac:dyDescent="0.3">
      <c r="A165" t="str">
        <f>"SO20000103"</f>
        <v>SO20000103</v>
      </c>
      <c r="B165" t="str">
        <f>"E000306153"</f>
        <v>E000306153</v>
      </c>
      <c r="C165" t="str">
        <f>"בוצעה"</f>
        <v>בוצעה</v>
      </c>
      <c r="E165" s="3">
        <v>43899</v>
      </c>
      <c r="F165" s="3">
        <v>43998</v>
      </c>
      <c r="G165" t="str">
        <f>"700065"</f>
        <v>700065</v>
      </c>
      <c r="H165" t="str">
        <f>"אלתא מערכות בע""מ"</f>
        <v>אלתא מערכות בע"מ</v>
      </c>
      <c r="I165" t="str">
        <f>"ערן שלו"</f>
        <v>ערן שלו</v>
      </c>
      <c r="J165" t="str">
        <f>"OP-AR01689"</f>
        <v>OP-AR01689</v>
      </c>
      <c r="K165" s="1" t="str">
        <f>"6649E014-001 SYSTEM BUNDLE TO RSU - VIDEO"</f>
        <v>6649E014-001 SYSTEM BUNDLE TO RSU - VIDEO</v>
      </c>
      <c r="L165">
        <v>1</v>
      </c>
      <c r="M165" t="str">
        <f>"PR20000120"</f>
        <v>PR20000120</v>
      </c>
      <c r="N165" t="str">
        <f>"SYSTEM BUNDLE TO RS"</f>
        <v>SYSTEM BUNDLE TO RS</v>
      </c>
      <c r="O165" s="2">
        <v>1567</v>
      </c>
      <c r="P165" t="str">
        <f>"$"</f>
        <v>$</v>
      </c>
      <c r="Q165" t="str">
        <f>"000"</f>
        <v>000</v>
      </c>
      <c r="R165" t="str">
        <f>"כללית"</f>
        <v>כללית</v>
      </c>
      <c r="S165" t="str">
        <f>"034"</f>
        <v>034</v>
      </c>
      <c r="T165" t="str">
        <f>"גנם הודיה"</f>
        <v>גנם הודיה</v>
      </c>
      <c r="U165">
        <v>0</v>
      </c>
      <c r="V165">
        <v>0</v>
      </c>
      <c r="W165" s="2">
        <v>1567</v>
      </c>
      <c r="X165" s="2">
        <v>1567</v>
      </c>
      <c r="Z165" t="str">
        <f>"Y"</f>
        <v>Y</v>
      </c>
      <c r="AA165">
        <v>0</v>
      </c>
      <c r="AC165">
        <v>0</v>
      </c>
      <c r="AE165">
        <v>0</v>
      </c>
      <c r="AF165">
        <v>0</v>
      </c>
      <c r="AG165" s="2">
        <v>5497.04</v>
      </c>
      <c r="AH165">
        <v>0</v>
      </c>
      <c r="AI165" s="2">
        <v>5497.04</v>
      </c>
      <c r="AJ165" s="2">
        <v>1567</v>
      </c>
      <c r="AK165" s="2">
        <v>1567</v>
      </c>
      <c r="AL165" t="str">
        <f>"$"</f>
        <v>$</v>
      </c>
    </row>
    <row r="166" spans="1:38" x14ac:dyDescent="0.3">
      <c r="A166" t="str">
        <f>"SO20000103"</f>
        <v>SO20000103</v>
      </c>
      <c r="B166" t="str">
        <f>"E000306153"</f>
        <v>E000306153</v>
      </c>
      <c r="C166" t="str">
        <f>"בוצעה"</f>
        <v>בוצעה</v>
      </c>
      <c r="E166" s="3">
        <v>43899</v>
      </c>
      <c r="F166" s="3">
        <v>43998</v>
      </c>
      <c r="G166" t="str">
        <f>"700065"</f>
        <v>700065</v>
      </c>
      <c r="H166" t="str">
        <f>"אלתא מערכות בע""מ"</f>
        <v>אלתא מערכות בע"מ</v>
      </c>
      <c r="I166" t="str">
        <f>"ערן שלו"</f>
        <v>ערן שלו</v>
      </c>
      <c r="J166" t="str">
        <f>"OP-AR01663"</f>
        <v>OP-AR01663</v>
      </c>
      <c r="K166" s="1" t="str">
        <f>"6649E011-001 SYSTEM BUNDLE TO RSU - POWER"</f>
        <v>6649E011-001 SYSTEM BUNDLE TO RSU - POWER</v>
      </c>
      <c r="L166">
        <v>1</v>
      </c>
      <c r="M166" t="str">
        <f>"PR20000120"</f>
        <v>PR20000120</v>
      </c>
      <c r="N166" t="str">
        <f>"SYSTEM BUNDLE TO RS"</f>
        <v>SYSTEM BUNDLE TO RS</v>
      </c>
      <c r="O166">
        <v>422.32</v>
      </c>
      <c r="P166" t="str">
        <f>"$"</f>
        <v>$</v>
      </c>
      <c r="Q166" t="str">
        <f>"000"</f>
        <v>000</v>
      </c>
      <c r="R166" t="str">
        <f>"כללית"</f>
        <v>כללית</v>
      </c>
      <c r="S166" t="str">
        <f>"034"</f>
        <v>034</v>
      </c>
      <c r="T166" t="str">
        <f>"גנם הודיה"</f>
        <v>גנם הודיה</v>
      </c>
      <c r="U166">
        <v>0</v>
      </c>
      <c r="V166">
        <v>0</v>
      </c>
      <c r="W166">
        <v>422.32</v>
      </c>
      <c r="X166">
        <v>422.32</v>
      </c>
      <c r="Z166" t="str">
        <f>"Y"</f>
        <v>Y</v>
      </c>
      <c r="AA166">
        <v>0</v>
      </c>
      <c r="AC166">
        <v>0</v>
      </c>
      <c r="AE166">
        <v>0</v>
      </c>
      <c r="AF166">
        <v>0</v>
      </c>
      <c r="AG166" s="2">
        <v>1481.5</v>
      </c>
      <c r="AH166">
        <v>0</v>
      </c>
      <c r="AI166" s="2">
        <v>1481.5</v>
      </c>
      <c r="AJ166">
        <v>422.32</v>
      </c>
      <c r="AK166">
        <v>422.32</v>
      </c>
      <c r="AL166" t="str">
        <f>"$"</f>
        <v>$</v>
      </c>
    </row>
    <row r="167" spans="1:38" x14ac:dyDescent="0.3">
      <c r="A167" t="str">
        <f>"SO20000104"</f>
        <v>SO20000104</v>
      </c>
      <c r="B167" t="str">
        <f>"E000307717"</f>
        <v>E000307717</v>
      </c>
      <c r="C167" t="str">
        <f>"בוצעה"</f>
        <v>בוצעה</v>
      </c>
      <c r="E167" s="3">
        <v>43901</v>
      </c>
      <c r="F167" s="3">
        <v>43951</v>
      </c>
      <c r="G167" t="str">
        <f>"700065"</f>
        <v>700065</v>
      </c>
      <c r="H167" t="str">
        <f>"אלתא מערכות בע""מ"</f>
        <v>אלתא מערכות בע"מ</v>
      </c>
      <c r="I167" t="str">
        <f>"ערן שלו"</f>
        <v>ערן שלו</v>
      </c>
      <c r="J167" t="str">
        <f>"000"</f>
        <v>000</v>
      </c>
      <c r="K167" s="1" t="str">
        <f>"שינויים ותוספות פיקוד ע""י מנו"</f>
        <v>שינויים ותוספות פיקוד ע"י מנו</v>
      </c>
      <c r="L167">
        <v>1</v>
      </c>
      <c r="M167" t="str">
        <f>"PR15003502"</f>
        <v>PR15003502</v>
      </c>
      <c r="N167" t="str">
        <f>"ייצור  15 116 117 118 119 LB PDB"</f>
        <v>ייצור  15 116 117 118 119 LB PDB</v>
      </c>
      <c r="O167" s="2">
        <v>9500</v>
      </c>
      <c r="P167" t="str">
        <f>"$"</f>
        <v>$</v>
      </c>
      <c r="Q167" t="str">
        <f>"000"</f>
        <v>000</v>
      </c>
      <c r="R167" t="str">
        <f>"כללית"</f>
        <v>כללית</v>
      </c>
      <c r="S167" t="str">
        <f>"034"</f>
        <v>034</v>
      </c>
      <c r="T167" t="str">
        <f>"גנם הודיה"</f>
        <v>גנם הודיה</v>
      </c>
      <c r="U167">
        <v>0</v>
      </c>
      <c r="V167">
        <v>0</v>
      </c>
      <c r="W167" s="2">
        <v>9500</v>
      </c>
      <c r="X167" s="2">
        <v>9500</v>
      </c>
      <c r="Z167" t="str">
        <f>"Y"</f>
        <v>Y</v>
      </c>
      <c r="AA167">
        <v>0</v>
      </c>
      <c r="AC167">
        <v>0</v>
      </c>
      <c r="AE167">
        <v>0</v>
      </c>
      <c r="AF167">
        <v>0</v>
      </c>
      <c r="AG167" s="2">
        <v>33326</v>
      </c>
      <c r="AH167">
        <v>0</v>
      </c>
      <c r="AI167" s="2">
        <v>33326</v>
      </c>
      <c r="AJ167" s="2">
        <v>9500</v>
      </c>
      <c r="AK167" s="2">
        <v>9500</v>
      </c>
      <c r="AL167" t="str">
        <f>"$"</f>
        <v>$</v>
      </c>
    </row>
    <row r="168" spans="1:38" x14ac:dyDescent="0.3">
      <c r="A168" t="str">
        <f>"SO20000119"</f>
        <v>SO20000119</v>
      </c>
      <c r="B168" t="str">
        <f>"E000308667"</f>
        <v>E000308667</v>
      </c>
      <c r="C168" t="str">
        <f>"בוצעה"</f>
        <v>בוצעה</v>
      </c>
      <c r="E168" s="3">
        <v>43916</v>
      </c>
      <c r="F168" s="3">
        <v>44195</v>
      </c>
      <c r="G168" t="str">
        <f>"700065"</f>
        <v>700065</v>
      </c>
      <c r="H168" t="str">
        <f>"אלתא מערכות בע""מ"</f>
        <v>אלתא מערכות בע"מ</v>
      </c>
      <c r="I168" t="str">
        <f>"ערן שלו"</f>
        <v>ערן שלו</v>
      </c>
      <c r="J168" t="str">
        <f>"OP-AR01025"</f>
        <v>OP-AR01025</v>
      </c>
      <c r="K168" s="1" t="str">
        <f>"BATTERY BOX 1039V520-001"</f>
        <v>BATTERY BOX 1039V520-001</v>
      </c>
      <c r="L168">
        <v>2</v>
      </c>
      <c r="M168" t="str">
        <f>"PR20000156"</f>
        <v>PR20000156</v>
      </c>
      <c r="N168" t="str">
        <f>"LB BATTERY BOX דצמבר 2020"</f>
        <v>LB BATTERY BOX דצמבר 2020</v>
      </c>
      <c r="O168" s="2">
        <v>5750</v>
      </c>
      <c r="P168" t="str">
        <f>"$"</f>
        <v>$</v>
      </c>
      <c r="Q168" t="str">
        <f>"000"</f>
        <v>000</v>
      </c>
      <c r="R168" t="str">
        <f>"כללית"</f>
        <v>כללית</v>
      </c>
      <c r="S168" t="str">
        <f>"034"</f>
        <v>034</v>
      </c>
      <c r="T168" t="str">
        <f>"גנם הודיה"</f>
        <v>גנם הודיה</v>
      </c>
      <c r="U168">
        <v>0</v>
      </c>
      <c r="V168">
        <v>0</v>
      </c>
      <c r="W168" s="2">
        <v>5750</v>
      </c>
      <c r="X168" s="2">
        <v>11500</v>
      </c>
      <c r="Z168" t="str">
        <f>"Y"</f>
        <v>Y</v>
      </c>
      <c r="AA168">
        <v>0</v>
      </c>
      <c r="AC168">
        <v>0</v>
      </c>
      <c r="AE168">
        <v>0</v>
      </c>
      <c r="AF168">
        <v>0</v>
      </c>
      <c r="AG168" s="2">
        <v>20838</v>
      </c>
      <c r="AH168">
        <v>0</v>
      </c>
      <c r="AI168" s="2">
        <v>41676</v>
      </c>
      <c r="AJ168" s="2">
        <v>11500</v>
      </c>
      <c r="AK168" s="2">
        <v>11500</v>
      </c>
      <c r="AL168" t="str">
        <f>"$"</f>
        <v>$</v>
      </c>
    </row>
    <row r="169" spans="1:38" x14ac:dyDescent="0.3">
      <c r="A169" t="str">
        <f>"SO20000119"</f>
        <v>SO20000119</v>
      </c>
      <c r="B169" t="str">
        <f>"E000308667"</f>
        <v>E000308667</v>
      </c>
      <c r="C169" t="str">
        <f>"בוצעה"</f>
        <v>בוצעה</v>
      </c>
      <c r="E169" s="3">
        <v>43916</v>
      </c>
      <c r="F169" s="3">
        <v>44195</v>
      </c>
      <c r="G169" t="str">
        <f>"700065"</f>
        <v>700065</v>
      </c>
      <c r="H169" t="str">
        <f>"אלתא מערכות בע""מ"</f>
        <v>אלתא מערכות בע"מ</v>
      </c>
      <c r="I169" t="str">
        <f>"ערן שלו"</f>
        <v>ערן שלו</v>
      </c>
      <c r="J169" t="str">
        <f>"OP-AR09105-1"</f>
        <v>OP-AR09105-1</v>
      </c>
      <c r="K169" s="1" t="str">
        <f>"לוח ARMY מק""ט לקוח 1036V310-001"</f>
        <v>לוח ARMY מק"ט לקוח 1036V310-001</v>
      </c>
      <c r="L169">
        <v>1</v>
      </c>
      <c r="M169" t="str">
        <f>"PR20000138"</f>
        <v>PR20000138</v>
      </c>
      <c r="N169" t="str">
        <f>"ייצור לוח PDB דצמבר 2020/1"</f>
        <v>ייצור לוח PDB דצמבר 2020/1</v>
      </c>
      <c r="O169" s="2">
        <v>39948</v>
      </c>
      <c r="P169" t="str">
        <f>"$"</f>
        <v>$</v>
      </c>
      <c r="Q169" t="str">
        <f>"000"</f>
        <v>000</v>
      </c>
      <c r="R169" t="str">
        <f>"כללית"</f>
        <v>כללית</v>
      </c>
      <c r="S169" t="str">
        <f>"034"</f>
        <v>034</v>
      </c>
      <c r="T169" t="str">
        <f>"גנם הודיה"</f>
        <v>גנם הודיה</v>
      </c>
      <c r="U169">
        <v>0</v>
      </c>
      <c r="V169">
        <v>0</v>
      </c>
      <c r="W169" s="2">
        <v>39948</v>
      </c>
      <c r="X169" s="2">
        <v>39948</v>
      </c>
      <c r="Z169" t="str">
        <f>"Y"</f>
        <v>Y</v>
      </c>
      <c r="AA169">
        <v>0</v>
      </c>
      <c r="AC169">
        <v>0</v>
      </c>
      <c r="AE169">
        <v>0</v>
      </c>
      <c r="AF169">
        <v>0</v>
      </c>
      <c r="AG169" s="2">
        <v>144771.54999999999</v>
      </c>
      <c r="AH169">
        <v>0</v>
      </c>
      <c r="AI169" s="2">
        <v>144771.54999999999</v>
      </c>
      <c r="AJ169" s="2">
        <v>39948</v>
      </c>
      <c r="AK169" s="2">
        <v>39948</v>
      </c>
      <c r="AL169" t="str">
        <f>"$"</f>
        <v>$</v>
      </c>
    </row>
    <row r="170" spans="1:38" x14ac:dyDescent="0.3">
      <c r="A170" t="str">
        <f>"SO20000119"</f>
        <v>SO20000119</v>
      </c>
      <c r="B170" t="str">
        <f>"E000308667"</f>
        <v>E000308667</v>
      </c>
      <c r="C170" t="str">
        <f>"בוצעה"</f>
        <v>בוצעה</v>
      </c>
      <c r="E170" s="3">
        <v>43916</v>
      </c>
      <c r="F170" s="3">
        <v>44195</v>
      </c>
      <c r="G170" t="str">
        <f>"700065"</f>
        <v>700065</v>
      </c>
      <c r="H170" t="str">
        <f>"אלתא מערכות בע""מ"</f>
        <v>אלתא מערכות בע"מ</v>
      </c>
      <c r="I170" t="str">
        <f>"ערן שלו"</f>
        <v>ערן שלו</v>
      </c>
      <c r="J170" t="str">
        <f>"OP-AR09105-1"</f>
        <v>OP-AR09105-1</v>
      </c>
      <c r="K170" s="1" t="str">
        <f>"לוח ARMY מק""ט לקוח 1036V310-001"</f>
        <v>לוח ARMY מק"ט לקוח 1036V310-001</v>
      </c>
      <c r="L170">
        <v>1</v>
      </c>
      <c r="M170" t="str">
        <f>"PR20000139"</f>
        <v>PR20000139</v>
      </c>
      <c r="N170" t="str">
        <f>"ייצור לוח PDB דצמבר 2020/2"</f>
        <v>ייצור לוח PDB דצמבר 2020/2</v>
      </c>
      <c r="O170" s="2">
        <v>39948</v>
      </c>
      <c r="P170" t="str">
        <f>"$"</f>
        <v>$</v>
      </c>
      <c r="Q170" t="str">
        <f>"000"</f>
        <v>000</v>
      </c>
      <c r="R170" t="str">
        <f>"כללית"</f>
        <v>כללית</v>
      </c>
      <c r="S170" t="str">
        <f>"034"</f>
        <v>034</v>
      </c>
      <c r="T170" t="str">
        <f>"גנם הודיה"</f>
        <v>גנם הודיה</v>
      </c>
      <c r="U170">
        <v>0</v>
      </c>
      <c r="V170">
        <v>0</v>
      </c>
      <c r="W170" s="2">
        <v>39948</v>
      </c>
      <c r="X170" s="2">
        <v>39948</v>
      </c>
      <c r="Z170" t="str">
        <f>"Y"</f>
        <v>Y</v>
      </c>
      <c r="AA170">
        <v>0</v>
      </c>
      <c r="AC170">
        <v>0</v>
      </c>
      <c r="AE170">
        <v>0</v>
      </c>
      <c r="AF170">
        <v>0</v>
      </c>
      <c r="AG170" s="2">
        <v>144771.54999999999</v>
      </c>
      <c r="AH170">
        <v>0</v>
      </c>
      <c r="AI170" s="2">
        <v>144771.54999999999</v>
      </c>
      <c r="AJ170" s="2">
        <v>39948</v>
      </c>
      <c r="AK170" s="2">
        <v>39948</v>
      </c>
      <c r="AL170" t="str">
        <f>"$"</f>
        <v>$</v>
      </c>
    </row>
    <row r="171" spans="1:38" x14ac:dyDescent="0.3">
      <c r="A171" t="str">
        <f>"SO20000119"</f>
        <v>SO20000119</v>
      </c>
      <c r="B171" t="str">
        <f>"E000308667"</f>
        <v>E000308667</v>
      </c>
      <c r="C171" t="str">
        <f>"בוצעה"</f>
        <v>בוצעה</v>
      </c>
      <c r="E171" s="3">
        <v>43916</v>
      </c>
      <c r="F171" s="3">
        <v>44195</v>
      </c>
      <c r="G171" t="str">
        <f>"700065"</f>
        <v>700065</v>
      </c>
      <c r="H171" t="str">
        <f>"אלתא מערכות בע""מ"</f>
        <v>אלתא מערכות בע"מ</v>
      </c>
      <c r="I171" t="str">
        <f>"ערן שלו"</f>
        <v>ערן שלו</v>
      </c>
      <c r="J171" t="str">
        <f>"OP-AR09107-1"</f>
        <v>OP-AR09107-1</v>
      </c>
      <c r="K171" s="1" t="str">
        <f>"לוח AUX BOX מק""ט לקוח 1036V320 001"</f>
        <v>לוח AUX BOX מק"ט לקוח 1036V320 001</v>
      </c>
      <c r="L171">
        <v>1</v>
      </c>
      <c r="M171" t="str">
        <f>"PR20000147"</f>
        <v>PR20000147</v>
      </c>
      <c r="N171" t="str">
        <f>"ייצור AUX BOX דצמבר 2020/1"</f>
        <v>ייצור AUX BOX דצמבר 2020/1</v>
      </c>
      <c r="O171" s="2">
        <v>27792</v>
      </c>
      <c r="P171" t="str">
        <f>"$"</f>
        <v>$</v>
      </c>
      <c r="Q171" t="str">
        <f>"000"</f>
        <v>000</v>
      </c>
      <c r="R171" t="str">
        <f>"כללית"</f>
        <v>כללית</v>
      </c>
      <c r="S171" t="str">
        <f>"034"</f>
        <v>034</v>
      </c>
      <c r="T171" t="str">
        <f>"גנם הודיה"</f>
        <v>גנם הודיה</v>
      </c>
      <c r="U171">
        <v>0</v>
      </c>
      <c r="V171">
        <v>0</v>
      </c>
      <c r="W171" s="2">
        <v>27792</v>
      </c>
      <c r="X171" s="2">
        <v>27792</v>
      </c>
      <c r="Z171" t="str">
        <f>"Y"</f>
        <v>Y</v>
      </c>
      <c r="AA171">
        <v>0</v>
      </c>
      <c r="AC171">
        <v>0</v>
      </c>
      <c r="AE171">
        <v>0</v>
      </c>
      <c r="AF171">
        <v>0</v>
      </c>
      <c r="AG171" s="2">
        <v>100718.21</v>
      </c>
      <c r="AH171">
        <v>0</v>
      </c>
      <c r="AI171" s="2">
        <v>100718.21</v>
      </c>
      <c r="AJ171" s="2">
        <v>27792</v>
      </c>
      <c r="AK171" s="2">
        <v>27792</v>
      </c>
      <c r="AL171" t="str">
        <f>"$"</f>
        <v>$</v>
      </c>
    </row>
    <row r="172" spans="1:38" x14ac:dyDescent="0.3">
      <c r="A172" t="str">
        <f>"SO20000119"</f>
        <v>SO20000119</v>
      </c>
      <c r="B172" t="str">
        <f>"E000308667"</f>
        <v>E000308667</v>
      </c>
      <c r="C172" t="str">
        <f>"בוצעה"</f>
        <v>בוצעה</v>
      </c>
      <c r="E172" s="3">
        <v>43916</v>
      </c>
      <c r="F172" s="3">
        <v>44170</v>
      </c>
      <c r="G172" t="str">
        <f>"700065"</f>
        <v>700065</v>
      </c>
      <c r="H172" t="str">
        <f>"אלתא מערכות בע""מ"</f>
        <v>אלתא מערכות בע"מ</v>
      </c>
      <c r="I172" t="str">
        <f>"ערן שלו"</f>
        <v>ערן שלו</v>
      </c>
      <c r="J172" t="str">
        <f>"OP-AR09107-1"</f>
        <v>OP-AR09107-1</v>
      </c>
      <c r="K172" s="1" t="str">
        <f>"לוח AUX BOX מק""ט לקוח 1036V320 001"</f>
        <v>לוח AUX BOX מק"ט לקוח 1036V320 001</v>
      </c>
      <c r="L172">
        <v>1</v>
      </c>
      <c r="M172" t="str">
        <f>"PR20000148"</f>
        <v>PR20000148</v>
      </c>
      <c r="N172" t="str">
        <f>"ייצור AUX BOX דצמבר 2020/2"</f>
        <v>ייצור AUX BOX דצמבר 2020/2</v>
      </c>
      <c r="O172" s="2">
        <v>27792</v>
      </c>
      <c r="P172" t="str">
        <f>"$"</f>
        <v>$</v>
      </c>
      <c r="Q172" t="str">
        <f>"000"</f>
        <v>000</v>
      </c>
      <c r="R172" t="str">
        <f>"כללית"</f>
        <v>כללית</v>
      </c>
      <c r="S172" t="str">
        <f>"034"</f>
        <v>034</v>
      </c>
      <c r="T172" t="str">
        <f>"גנם הודיה"</f>
        <v>גנם הודיה</v>
      </c>
      <c r="U172">
        <v>0</v>
      </c>
      <c r="V172">
        <v>0</v>
      </c>
      <c r="W172" s="2">
        <v>27792</v>
      </c>
      <c r="X172" s="2">
        <v>27792</v>
      </c>
      <c r="Z172" t="str">
        <f>"Y"</f>
        <v>Y</v>
      </c>
      <c r="AA172">
        <v>0</v>
      </c>
      <c r="AC172">
        <v>0</v>
      </c>
      <c r="AE172">
        <v>0</v>
      </c>
      <c r="AF172">
        <v>0</v>
      </c>
      <c r="AG172" s="2">
        <v>100718.21</v>
      </c>
      <c r="AH172">
        <v>0</v>
      </c>
      <c r="AI172" s="2">
        <v>100718.21</v>
      </c>
      <c r="AJ172" s="2">
        <v>27792</v>
      </c>
      <c r="AK172" s="2">
        <v>27792</v>
      </c>
      <c r="AL172" t="str">
        <f>"$"</f>
        <v>$</v>
      </c>
    </row>
    <row r="173" spans="1:38" x14ac:dyDescent="0.3">
      <c r="A173" t="str">
        <f>"SO20000119"</f>
        <v>SO20000119</v>
      </c>
      <c r="B173" t="str">
        <f>"E000308667"</f>
        <v>E000308667</v>
      </c>
      <c r="C173" t="str">
        <f>"בוצעה"</f>
        <v>בוצעה</v>
      </c>
      <c r="E173" s="3">
        <v>43916</v>
      </c>
      <c r="F173" s="3">
        <v>44170</v>
      </c>
      <c r="G173" t="str">
        <f>"700065"</f>
        <v>700065</v>
      </c>
      <c r="H173" t="str">
        <f>"אלתא מערכות בע""מ"</f>
        <v>אלתא מערכות בע"מ</v>
      </c>
      <c r="I173" t="str">
        <f>"ערן שלו"</f>
        <v>ערן שלו</v>
      </c>
      <c r="J173" t="str">
        <f>"PS9900081"</f>
        <v>PS9900081</v>
      </c>
      <c r="K173" s="1" t="str">
        <f>"מטען מצברים 1039V517-001 ירוק"</f>
        <v>מטען מצברים 1039V517-001 ירוק</v>
      </c>
      <c r="L173">
        <v>13</v>
      </c>
      <c r="M173" t="str">
        <f>"PR20000184"</f>
        <v>PR20000184</v>
      </c>
      <c r="N173" t="str">
        <f>"13 CHARGER יח צדמבר 20"</f>
        <v>13 CHARGER יח צדמבר 20</v>
      </c>
      <c r="O173" s="2">
        <v>5500</v>
      </c>
      <c r="P173" t="str">
        <f>"$"</f>
        <v>$</v>
      </c>
      <c r="Q173" t="str">
        <f>"000"</f>
        <v>000</v>
      </c>
      <c r="R173" t="str">
        <f>"כללית"</f>
        <v>כללית</v>
      </c>
      <c r="S173" t="str">
        <f>"034"</f>
        <v>034</v>
      </c>
      <c r="T173" t="str">
        <f>"גנם הודיה"</f>
        <v>גנם הודיה</v>
      </c>
      <c r="U173">
        <v>0</v>
      </c>
      <c r="V173">
        <v>0</v>
      </c>
      <c r="W173" s="2">
        <v>5500</v>
      </c>
      <c r="X173" s="2">
        <v>71500</v>
      </c>
      <c r="Z173" t="str">
        <f>"Y"</f>
        <v>Y</v>
      </c>
      <c r="AA173">
        <v>0</v>
      </c>
      <c r="AC173">
        <v>0</v>
      </c>
      <c r="AE173">
        <v>0</v>
      </c>
      <c r="AF173">
        <v>0</v>
      </c>
      <c r="AG173" s="2">
        <v>19932</v>
      </c>
      <c r="AH173">
        <v>0</v>
      </c>
      <c r="AI173" s="2">
        <v>259116</v>
      </c>
      <c r="AJ173" s="2">
        <v>71500</v>
      </c>
      <c r="AK173" s="2">
        <v>71500</v>
      </c>
      <c r="AL173" t="str">
        <f>"$"</f>
        <v>$</v>
      </c>
    </row>
    <row r="174" spans="1:38" x14ac:dyDescent="0.3">
      <c r="A174" t="str">
        <f>"SO20000122"</f>
        <v>SO20000122</v>
      </c>
      <c r="B174" t="str">
        <f>"E000308920"</f>
        <v>E000308920</v>
      </c>
      <c r="C174" t="str">
        <f>"בוצעה"</f>
        <v>בוצעה</v>
      </c>
      <c r="E174" s="3">
        <v>43919</v>
      </c>
      <c r="F174" s="3">
        <v>44002</v>
      </c>
      <c r="G174" t="str">
        <f>"700065"</f>
        <v>700065</v>
      </c>
      <c r="H174" t="str">
        <f>"אלתא מערכות בע""מ"</f>
        <v>אלתא מערכות בע"מ</v>
      </c>
      <c r="I174" t="str">
        <f>"ערן שלו"</f>
        <v>ערן שלו</v>
      </c>
      <c r="J174" t="str">
        <f>"OP-PR00071"</f>
        <v>OP-PR00071</v>
      </c>
      <c r="K174" s="1" t="str">
        <f>"תיקון HVJB"</f>
        <v>תיקון HVJB</v>
      </c>
      <c r="L174">
        <v>1</v>
      </c>
      <c r="M174" t="str">
        <f>"PR20000196"</f>
        <v>PR20000196</v>
      </c>
      <c r="N174" t="str">
        <f>"תיקון 3 HVJB יח"</f>
        <v>תיקון 3 HVJB יח</v>
      </c>
      <c r="O174">
        <v>600</v>
      </c>
      <c r="P174" t="str">
        <f>"$"</f>
        <v>$</v>
      </c>
      <c r="Q174" t="str">
        <f>"000"</f>
        <v>000</v>
      </c>
      <c r="R174" t="str">
        <f>"כללית"</f>
        <v>כללית</v>
      </c>
      <c r="S174" t="str">
        <f>"034"</f>
        <v>034</v>
      </c>
      <c r="T174" t="str">
        <f>"גנם הודיה"</f>
        <v>גנם הודיה</v>
      </c>
      <c r="U174">
        <v>0</v>
      </c>
      <c r="V174">
        <v>0</v>
      </c>
      <c r="W174">
        <v>600</v>
      </c>
      <c r="X174">
        <v>600</v>
      </c>
      <c r="Z174" t="str">
        <f>"Y"</f>
        <v>Y</v>
      </c>
      <c r="AA174">
        <v>0</v>
      </c>
      <c r="AC174">
        <v>0</v>
      </c>
      <c r="AE174">
        <v>0</v>
      </c>
      <c r="AF174">
        <v>0</v>
      </c>
      <c r="AG174" s="2">
        <v>2158.8000000000002</v>
      </c>
      <c r="AH174">
        <v>0</v>
      </c>
      <c r="AI174" s="2">
        <v>2158.8000000000002</v>
      </c>
      <c r="AJ174">
        <v>600</v>
      </c>
      <c r="AK174">
        <v>600</v>
      </c>
      <c r="AL174" t="str">
        <f>"$"</f>
        <v>$</v>
      </c>
    </row>
    <row r="175" spans="1:38" x14ac:dyDescent="0.3">
      <c r="A175" t="str">
        <f>"SO20000122"</f>
        <v>SO20000122</v>
      </c>
      <c r="B175" t="str">
        <f>"E000308920"</f>
        <v>E000308920</v>
      </c>
      <c r="C175" t="str">
        <f>"בוצעה"</f>
        <v>בוצעה</v>
      </c>
      <c r="E175" s="3">
        <v>43919</v>
      </c>
      <c r="F175" s="3">
        <v>44002</v>
      </c>
      <c r="G175" t="str">
        <f>"700065"</f>
        <v>700065</v>
      </c>
      <c r="H175" t="str">
        <f>"אלתא מערכות בע""מ"</f>
        <v>אלתא מערכות בע"מ</v>
      </c>
      <c r="I175" t="str">
        <f>"ערן שלו"</f>
        <v>ערן שלו</v>
      </c>
      <c r="J175" t="str">
        <f>"OP-PR00071"</f>
        <v>OP-PR00071</v>
      </c>
      <c r="K175" s="1" t="str">
        <f>"תיקון HVJB"</f>
        <v>תיקון HVJB</v>
      </c>
      <c r="L175">
        <v>1</v>
      </c>
      <c r="M175" t="str">
        <f>"PR20000196"</f>
        <v>PR20000196</v>
      </c>
      <c r="N175" t="str">
        <f>"תיקון 3 HVJB יח"</f>
        <v>תיקון 3 HVJB יח</v>
      </c>
      <c r="O175">
        <v>600</v>
      </c>
      <c r="P175" t="str">
        <f>"$"</f>
        <v>$</v>
      </c>
      <c r="Q175" t="str">
        <f>"000"</f>
        <v>000</v>
      </c>
      <c r="R175" t="str">
        <f>"כללית"</f>
        <v>כללית</v>
      </c>
      <c r="S175" t="str">
        <f>"034"</f>
        <v>034</v>
      </c>
      <c r="T175" t="str">
        <f>"גנם הודיה"</f>
        <v>גנם הודיה</v>
      </c>
      <c r="U175">
        <v>0</v>
      </c>
      <c r="V175">
        <v>0</v>
      </c>
      <c r="W175">
        <v>600</v>
      </c>
      <c r="X175">
        <v>600</v>
      </c>
      <c r="Z175" t="str">
        <f>"Y"</f>
        <v>Y</v>
      </c>
      <c r="AA175">
        <v>0</v>
      </c>
      <c r="AC175">
        <v>0</v>
      </c>
      <c r="AE175">
        <v>0</v>
      </c>
      <c r="AF175">
        <v>0</v>
      </c>
      <c r="AG175" s="2">
        <v>2158.8000000000002</v>
      </c>
      <c r="AH175">
        <v>0</v>
      </c>
      <c r="AI175" s="2">
        <v>2158.8000000000002</v>
      </c>
      <c r="AJ175">
        <v>600</v>
      </c>
      <c r="AK175">
        <v>600</v>
      </c>
      <c r="AL175" t="str">
        <f>"$"</f>
        <v>$</v>
      </c>
    </row>
    <row r="176" spans="1:38" x14ac:dyDescent="0.3">
      <c r="A176" t="str">
        <f>"SO20000122"</f>
        <v>SO20000122</v>
      </c>
      <c r="B176" t="str">
        <f>"E000308920"</f>
        <v>E000308920</v>
      </c>
      <c r="C176" t="str">
        <f>"בוצעה"</f>
        <v>בוצעה</v>
      </c>
      <c r="E176" s="3">
        <v>43919</v>
      </c>
      <c r="F176" s="3">
        <v>44002</v>
      </c>
      <c r="G176" t="str">
        <f>"700065"</f>
        <v>700065</v>
      </c>
      <c r="H176" t="str">
        <f>"אלתא מערכות בע""מ"</f>
        <v>אלתא מערכות בע"מ</v>
      </c>
      <c r="I176" t="str">
        <f>"ערן שלו"</f>
        <v>ערן שלו</v>
      </c>
      <c r="J176" t="str">
        <f>"OP-PR00071"</f>
        <v>OP-PR00071</v>
      </c>
      <c r="K176" s="1" t="str">
        <f>"תיקון HVJB"</f>
        <v>תיקון HVJB</v>
      </c>
      <c r="L176">
        <v>1</v>
      </c>
      <c r="M176" t="str">
        <f>"PR20000196"</f>
        <v>PR20000196</v>
      </c>
      <c r="N176" t="str">
        <f>"תיקון 3 HVJB יח"</f>
        <v>תיקון 3 HVJB יח</v>
      </c>
      <c r="O176">
        <v>600</v>
      </c>
      <c r="P176" t="str">
        <f>"$"</f>
        <v>$</v>
      </c>
      <c r="Q176" t="str">
        <f>"000"</f>
        <v>000</v>
      </c>
      <c r="R176" t="str">
        <f>"כללית"</f>
        <v>כללית</v>
      </c>
      <c r="S176" t="str">
        <f>"034"</f>
        <v>034</v>
      </c>
      <c r="T176" t="str">
        <f>"גנם הודיה"</f>
        <v>גנם הודיה</v>
      </c>
      <c r="U176">
        <v>0</v>
      </c>
      <c r="V176">
        <v>0</v>
      </c>
      <c r="W176">
        <v>600</v>
      </c>
      <c r="X176">
        <v>600</v>
      </c>
      <c r="Z176" t="str">
        <f>"Y"</f>
        <v>Y</v>
      </c>
      <c r="AA176">
        <v>0</v>
      </c>
      <c r="AC176">
        <v>0</v>
      </c>
      <c r="AE176">
        <v>0</v>
      </c>
      <c r="AF176">
        <v>0</v>
      </c>
      <c r="AG176" s="2">
        <v>2158.8000000000002</v>
      </c>
      <c r="AH176">
        <v>0</v>
      </c>
      <c r="AI176" s="2">
        <v>2158.8000000000002</v>
      </c>
      <c r="AJ176">
        <v>600</v>
      </c>
      <c r="AK176">
        <v>600</v>
      </c>
      <c r="AL176" t="str">
        <f>"$"</f>
        <v>$</v>
      </c>
    </row>
    <row r="177" spans="1:38" x14ac:dyDescent="0.3">
      <c r="A177" t="str">
        <f>"SO20000127"</f>
        <v>SO20000127</v>
      </c>
      <c r="B177" t="str">
        <f>"E000308084"</f>
        <v>E000308084</v>
      </c>
      <c r="C177" t="str">
        <f>"בוצעה"</f>
        <v>בוצעה</v>
      </c>
      <c r="E177" s="3">
        <v>43923</v>
      </c>
      <c r="F177" s="3">
        <v>44006</v>
      </c>
      <c r="G177" t="str">
        <f>"700065"</f>
        <v>700065</v>
      </c>
      <c r="H177" t="str">
        <f>"אלתא מערכות בע""מ"</f>
        <v>אלתא מערכות בע"מ</v>
      </c>
      <c r="I177" t="str">
        <f>"ערן שלו"</f>
        <v>ערן שלו</v>
      </c>
      <c r="J177" t="str">
        <f>"OP-AR01694"</f>
        <v>OP-AR01694</v>
      </c>
      <c r="K177" s="1" t="str">
        <f>"1023B323-001 CABLE ASSY WC034 GPS ADAPTER CABLE"</f>
        <v>1023B323-001 CABLE ASSY WC034 GPS ADAPTER CABLE</v>
      </c>
      <c r="L177">
        <v>2</v>
      </c>
      <c r="O177">
        <v>234.72</v>
      </c>
      <c r="P177" t="str">
        <f>"$"</f>
        <v>$</v>
      </c>
      <c r="Q177" t="str">
        <f>"000"</f>
        <v>000</v>
      </c>
      <c r="R177" t="str">
        <f>"כללית"</f>
        <v>כללית</v>
      </c>
      <c r="S177" t="str">
        <f>"034"</f>
        <v>034</v>
      </c>
      <c r="T177" t="str">
        <f>"גנם הודיה"</f>
        <v>גנם הודיה</v>
      </c>
      <c r="U177">
        <v>0</v>
      </c>
      <c r="V177">
        <v>0</v>
      </c>
      <c r="W177">
        <v>234.72</v>
      </c>
      <c r="X177">
        <v>469.44</v>
      </c>
      <c r="Z177" t="str">
        <f>"Y"</f>
        <v>Y</v>
      </c>
      <c r="AA177">
        <v>0</v>
      </c>
      <c r="AC177">
        <v>0</v>
      </c>
      <c r="AE177">
        <v>0</v>
      </c>
      <c r="AF177">
        <v>0</v>
      </c>
      <c r="AG177">
        <v>852.03</v>
      </c>
      <c r="AH177">
        <v>0</v>
      </c>
      <c r="AI177" s="2">
        <v>1704.07</v>
      </c>
      <c r="AJ177">
        <v>469.44</v>
      </c>
      <c r="AK177">
        <v>469.44</v>
      </c>
      <c r="AL177" t="str">
        <f>"$"</f>
        <v>$</v>
      </c>
    </row>
    <row r="178" spans="1:38" x14ac:dyDescent="0.3">
      <c r="A178" t="str">
        <f>"SO20000127"</f>
        <v>SO20000127</v>
      </c>
      <c r="B178" t="str">
        <f>"E000308084"</f>
        <v>E000308084</v>
      </c>
      <c r="C178" t="str">
        <f>"בוצעה"</f>
        <v>בוצעה</v>
      </c>
      <c r="E178" s="3">
        <v>43923</v>
      </c>
      <c r="F178" s="3">
        <v>44006</v>
      </c>
      <c r="G178" t="str">
        <f>"700065"</f>
        <v>700065</v>
      </c>
      <c r="H178" t="str">
        <f>"אלתא מערכות בע""מ"</f>
        <v>אלתא מערכות בע"מ</v>
      </c>
      <c r="I178" t="str">
        <f>"ערן שלו"</f>
        <v>ערן שלו</v>
      </c>
      <c r="J178" t="str">
        <f>"OP-AR01695"</f>
        <v>OP-AR01695</v>
      </c>
      <c r="K178" s="1" t="str">
        <f>"1023B325-001 CABLE ASSY WC037 GPS ADAPTER CABLE"</f>
        <v>1023B325-001 CABLE ASSY WC037 GPS ADAPTER CABLE</v>
      </c>
      <c r="L178">
        <v>2</v>
      </c>
      <c r="M178" t="str">
        <f>"PR20000183"</f>
        <v>PR20000183</v>
      </c>
      <c r="N178" t="str">
        <f>"CABLE ASSY WC"</f>
        <v>CABLE ASSY WC</v>
      </c>
      <c r="O178">
        <v>200.4</v>
      </c>
      <c r="P178" t="str">
        <f>"$"</f>
        <v>$</v>
      </c>
      <c r="Q178" t="str">
        <f>"000"</f>
        <v>000</v>
      </c>
      <c r="R178" t="str">
        <f>"כללית"</f>
        <v>כללית</v>
      </c>
      <c r="S178" t="str">
        <f>"034"</f>
        <v>034</v>
      </c>
      <c r="T178" t="str">
        <f>"גנם הודיה"</f>
        <v>גנם הודיה</v>
      </c>
      <c r="U178">
        <v>0</v>
      </c>
      <c r="V178">
        <v>0</v>
      </c>
      <c r="W178">
        <v>200.4</v>
      </c>
      <c r="X178">
        <v>400.8</v>
      </c>
      <c r="Z178" t="str">
        <f>"Y"</f>
        <v>Y</v>
      </c>
      <c r="AA178">
        <v>0</v>
      </c>
      <c r="AC178">
        <v>0</v>
      </c>
      <c r="AE178">
        <v>0</v>
      </c>
      <c r="AF178">
        <v>0</v>
      </c>
      <c r="AG178">
        <v>727.45</v>
      </c>
      <c r="AH178">
        <v>0</v>
      </c>
      <c r="AI178" s="2">
        <v>1454.9</v>
      </c>
      <c r="AJ178">
        <v>400.8</v>
      </c>
      <c r="AK178">
        <v>400.8</v>
      </c>
      <c r="AL178" t="str">
        <f>"$"</f>
        <v>$</v>
      </c>
    </row>
    <row r="179" spans="1:38" x14ac:dyDescent="0.3">
      <c r="A179" t="str">
        <f>"SO20000127"</f>
        <v>SO20000127</v>
      </c>
      <c r="B179" t="str">
        <f>"E000308084"</f>
        <v>E000308084</v>
      </c>
      <c r="C179" t="str">
        <f>"בוצעה"</f>
        <v>בוצעה</v>
      </c>
      <c r="E179" s="3">
        <v>43923</v>
      </c>
      <c r="F179" s="3">
        <v>44006</v>
      </c>
      <c r="G179" t="str">
        <f>"700065"</f>
        <v>700065</v>
      </c>
      <c r="H179" t="str">
        <f>"אלתא מערכות בע""מ"</f>
        <v>אלתא מערכות בע"מ</v>
      </c>
      <c r="I179" t="str">
        <f>"ערן שלו"</f>
        <v>ערן שלו</v>
      </c>
      <c r="J179" t="str">
        <f>"OP-AR01833"</f>
        <v>OP-AR01833</v>
      </c>
      <c r="K179" s="1" t="str">
        <f>"NRE FOR E000308084"</f>
        <v>NRE FOR E000308084</v>
      </c>
      <c r="L179">
        <v>1</v>
      </c>
      <c r="M179" t="str">
        <f>"PR20000183"</f>
        <v>PR20000183</v>
      </c>
      <c r="N179" t="str">
        <f>"CABLE ASSY WC"</f>
        <v>CABLE ASSY WC</v>
      </c>
      <c r="O179">
        <v>350</v>
      </c>
      <c r="P179" t="str">
        <f>"$"</f>
        <v>$</v>
      </c>
      <c r="Q179" t="str">
        <f>"000"</f>
        <v>000</v>
      </c>
      <c r="R179" t="str">
        <f>"כללית"</f>
        <v>כללית</v>
      </c>
      <c r="S179" t="str">
        <f>"034"</f>
        <v>034</v>
      </c>
      <c r="T179" t="str">
        <f>"גנם הודיה"</f>
        <v>גנם הודיה</v>
      </c>
      <c r="U179">
        <v>0</v>
      </c>
      <c r="V179">
        <v>0</v>
      </c>
      <c r="W179">
        <v>350</v>
      </c>
      <c r="X179">
        <v>350</v>
      </c>
      <c r="Z179" t="str">
        <f>"Y"</f>
        <v>Y</v>
      </c>
      <c r="AA179">
        <v>1</v>
      </c>
      <c r="AC179">
        <v>0</v>
      </c>
      <c r="AE179">
        <v>0</v>
      </c>
      <c r="AF179">
        <v>0</v>
      </c>
      <c r="AG179" s="2">
        <v>1270.5</v>
      </c>
      <c r="AH179">
        <v>0</v>
      </c>
      <c r="AI179" s="2">
        <v>1270.5</v>
      </c>
      <c r="AJ179">
        <v>350</v>
      </c>
      <c r="AK179">
        <v>350</v>
      </c>
      <c r="AL179" t="str">
        <f>"$"</f>
        <v>$</v>
      </c>
    </row>
    <row r="180" spans="1:38" x14ac:dyDescent="0.3">
      <c r="A180" t="str">
        <f>"SO20000128"</f>
        <v>SO20000128</v>
      </c>
      <c r="B180" t="str">
        <f>"E000309541"</f>
        <v>E000309541</v>
      </c>
      <c r="C180" t="str">
        <f>"בוצעה"</f>
        <v>בוצעה</v>
      </c>
      <c r="E180" s="3">
        <v>43923</v>
      </c>
      <c r="F180" s="3">
        <v>43992</v>
      </c>
      <c r="G180" t="str">
        <f>"700065"</f>
        <v>700065</v>
      </c>
      <c r="H180" t="str">
        <f>"אלתא מערכות בע""מ"</f>
        <v>אלתא מערכות בע"מ</v>
      </c>
      <c r="I180" t="str">
        <f>"ערן שלו"</f>
        <v>ערן שלו</v>
      </c>
      <c r="J180" t="str">
        <f>"OP-AR01693"</f>
        <v>OP-AR01693</v>
      </c>
      <c r="K180" s="1" t="str">
        <f>"1032F915-001 HARNESS W915 - A1-ACM TO HVPS SWITC"</f>
        <v>1032F915-001 HARNESS W915 - A1-ACM TO HVPS SWITC</v>
      </c>
      <c r="L180">
        <v>4</v>
      </c>
      <c r="M180" t="str">
        <f>"PR20000198"</f>
        <v>PR20000198</v>
      </c>
      <c r="N180" t="str">
        <f>"-001 HARNESS W915 - A1-ACM TO HV"</f>
        <v>-001 HARNESS W915 - A1-ACM TO HV</v>
      </c>
      <c r="O180">
        <v>704.52</v>
      </c>
      <c r="P180" t="str">
        <f>"$"</f>
        <v>$</v>
      </c>
      <c r="Q180" t="str">
        <f>"000"</f>
        <v>000</v>
      </c>
      <c r="R180" t="str">
        <f>"כללית"</f>
        <v>כללית</v>
      </c>
      <c r="S180" t="str">
        <f>"034"</f>
        <v>034</v>
      </c>
      <c r="T180" t="str">
        <f>"גנם הודיה"</f>
        <v>גנם הודיה</v>
      </c>
      <c r="U180">
        <v>0</v>
      </c>
      <c r="V180">
        <v>0</v>
      </c>
      <c r="W180">
        <v>704.52</v>
      </c>
      <c r="X180" s="2">
        <v>2818.08</v>
      </c>
      <c r="Z180" t="str">
        <f>"Y"</f>
        <v>Y</v>
      </c>
      <c r="AA180">
        <v>0</v>
      </c>
      <c r="AC180">
        <v>0</v>
      </c>
      <c r="AE180">
        <v>0</v>
      </c>
      <c r="AF180">
        <v>0</v>
      </c>
      <c r="AG180" s="2">
        <v>2557.41</v>
      </c>
      <c r="AH180">
        <v>0</v>
      </c>
      <c r="AI180" s="2">
        <v>10229.629999999999</v>
      </c>
      <c r="AJ180" s="2">
        <v>2818.08</v>
      </c>
      <c r="AK180" s="2">
        <v>2818.08</v>
      </c>
      <c r="AL180" t="str">
        <f>"$"</f>
        <v>$</v>
      </c>
    </row>
    <row r="181" spans="1:38" x14ac:dyDescent="0.3">
      <c r="A181" t="str">
        <f>"SO20000128"</f>
        <v>SO20000128</v>
      </c>
      <c r="B181" t="str">
        <f>"E000309541"</f>
        <v>E000309541</v>
      </c>
      <c r="C181" t="str">
        <f>"בוצעה"</f>
        <v>בוצעה</v>
      </c>
      <c r="E181" s="3">
        <v>43923</v>
      </c>
      <c r="F181" s="3">
        <v>43992</v>
      </c>
      <c r="G181" t="str">
        <f>"700065"</f>
        <v>700065</v>
      </c>
      <c r="H181" t="str">
        <f>"אלתא מערכות בע""מ"</f>
        <v>אלתא מערכות בע"מ</v>
      </c>
      <c r="I181" t="str">
        <f>"ערן שלו"</f>
        <v>ערן שלו</v>
      </c>
      <c r="J181" t="str">
        <f>"OP-AR01693"</f>
        <v>OP-AR01693</v>
      </c>
      <c r="K181" s="1" t="str">
        <f>"1032F915-001 HARNESS W915 - A1-ACM TO HVPS SWITC"</f>
        <v>1032F915-001 HARNESS W915 - A1-ACM TO HVPS SWITC</v>
      </c>
      <c r="L181">
        <v>1</v>
      </c>
      <c r="M181" t="str">
        <f>"PR20000198"</f>
        <v>PR20000198</v>
      </c>
      <c r="N181" t="str">
        <f>"-001 HARNESS W915 - A1-ACM TO HV"</f>
        <v>-001 HARNESS W915 - A1-ACM TO HV</v>
      </c>
      <c r="O181">
        <v>704.52</v>
      </c>
      <c r="P181" t="str">
        <f>"$"</f>
        <v>$</v>
      </c>
      <c r="Q181" t="str">
        <f>"000"</f>
        <v>000</v>
      </c>
      <c r="R181" t="str">
        <f>"כללית"</f>
        <v>כללית</v>
      </c>
      <c r="S181" t="str">
        <f>"034"</f>
        <v>034</v>
      </c>
      <c r="T181" t="str">
        <f>"גנם הודיה"</f>
        <v>גנם הודיה</v>
      </c>
      <c r="U181">
        <v>0</v>
      </c>
      <c r="V181">
        <v>0</v>
      </c>
      <c r="W181">
        <v>704.52</v>
      </c>
      <c r="X181">
        <v>704.52</v>
      </c>
      <c r="Z181" t="str">
        <f>"Y"</f>
        <v>Y</v>
      </c>
      <c r="AA181">
        <v>0</v>
      </c>
      <c r="AC181">
        <v>0</v>
      </c>
      <c r="AE181">
        <v>0</v>
      </c>
      <c r="AF181">
        <v>0</v>
      </c>
      <c r="AG181" s="2">
        <v>2557.41</v>
      </c>
      <c r="AH181">
        <v>0</v>
      </c>
      <c r="AI181" s="2">
        <v>2557.41</v>
      </c>
      <c r="AJ181">
        <v>704.52</v>
      </c>
      <c r="AK181">
        <v>704.52</v>
      </c>
      <c r="AL181" t="str">
        <f>"$"</f>
        <v>$</v>
      </c>
    </row>
    <row r="182" spans="1:38" x14ac:dyDescent="0.3">
      <c r="A182" t="str">
        <f>"SO20000138"</f>
        <v>SO20000138</v>
      </c>
      <c r="B182" t="str">
        <f>"E000309816"</f>
        <v>E000309816</v>
      </c>
      <c r="C182" t="str">
        <f>"בוצעה"</f>
        <v>בוצעה</v>
      </c>
      <c r="E182" s="3">
        <v>43938</v>
      </c>
      <c r="F182" s="3">
        <v>44068</v>
      </c>
      <c r="G182" t="str">
        <f>"700065"</f>
        <v>700065</v>
      </c>
      <c r="H182" t="str">
        <f>"אלתא מערכות בע""מ"</f>
        <v>אלתא מערכות בע"מ</v>
      </c>
      <c r="I182" t="str">
        <f>"ערן שלו"</f>
        <v>ערן שלו</v>
      </c>
      <c r="J182" t="str">
        <f>"OP-KT00100"</f>
        <v>OP-KT00100</v>
      </c>
      <c r="K182" s="1" t="str">
        <f>"PHILIPPINE 1039R900-001 RPS SPARE PARTS LIST"</f>
        <v>PHILIPPINE 1039R900-001 RPS SPARE PARTS LIST</v>
      </c>
      <c r="L182">
        <v>1</v>
      </c>
      <c r="M182" t="str">
        <f>"PR20000218"</f>
        <v>PR20000218</v>
      </c>
      <c r="N182" t="str">
        <f>"חלקי חילוף הריבון"</f>
        <v>חלקי חילוף הריבון</v>
      </c>
      <c r="O182" s="2">
        <v>28205.55</v>
      </c>
      <c r="P182" t="str">
        <f>"$"</f>
        <v>$</v>
      </c>
      <c r="Q182" t="str">
        <f>"000"</f>
        <v>000</v>
      </c>
      <c r="R182" t="str">
        <f>"כללית"</f>
        <v>כללית</v>
      </c>
      <c r="S182" t="str">
        <f>"034"</f>
        <v>034</v>
      </c>
      <c r="T182" t="str">
        <f>"גנם הודיה"</f>
        <v>גנם הודיה</v>
      </c>
      <c r="U182">
        <v>0</v>
      </c>
      <c r="V182">
        <v>0</v>
      </c>
      <c r="W182" s="2">
        <v>28205.55</v>
      </c>
      <c r="X182" s="2">
        <v>28205.55</v>
      </c>
      <c r="Z182" t="str">
        <f>"Y"</f>
        <v>Y</v>
      </c>
      <c r="AA182">
        <v>0</v>
      </c>
      <c r="AC182">
        <v>0</v>
      </c>
      <c r="AE182">
        <v>0</v>
      </c>
      <c r="AF182">
        <v>0</v>
      </c>
      <c r="AG182" s="2">
        <v>101286.13</v>
      </c>
      <c r="AH182">
        <v>0</v>
      </c>
      <c r="AI182" s="2">
        <v>101286.13</v>
      </c>
      <c r="AJ182" s="2">
        <v>28205.55</v>
      </c>
      <c r="AK182" s="2">
        <v>28205.55</v>
      </c>
      <c r="AL182" t="str">
        <f>"$"</f>
        <v>$</v>
      </c>
    </row>
    <row r="183" spans="1:38" x14ac:dyDescent="0.3">
      <c r="A183" t="str">
        <f>"SO20000138"</f>
        <v>SO20000138</v>
      </c>
      <c r="B183" t="str">
        <f>"E000309816"</f>
        <v>E000309816</v>
      </c>
      <c r="C183" t="str">
        <f>"בוצעה"</f>
        <v>בוצעה</v>
      </c>
      <c r="E183" s="3">
        <v>43938</v>
      </c>
      <c r="F183" s="3">
        <v>44068</v>
      </c>
      <c r="G183" t="str">
        <f>"700065"</f>
        <v>700065</v>
      </c>
      <c r="H183" t="str">
        <f>"אלתא מערכות בע""מ"</f>
        <v>אלתא מערכות בע"מ</v>
      </c>
      <c r="I183" t="str">
        <f>"ערן שלו"</f>
        <v>ערן שלו</v>
      </c>
      <c r="J183" t="str">
        <f>"OP-KT00101"</f>
        <v>OP-KT00101</v>
      </c>
      <c r="K183" s="1" t="str">
        <f>"VIETNAM 1039R555-001 RPS SPARE PARTS LIST"</f>
        <v>VIETNAM 1039R555-001 RPS SPARE PARTS LIST</v>
      </c>
      <c r="L183">
        <v>1</v>
      </c>
      <c r="M183" t="str">
        <f>"PR20000218"</f>
        <v>PR20000218</v>
      </c>
      <c r="N183" t="str">
        <f>"חלקי חילוף הריבון"</f>
        <v>חלקי חילוף הריבון</v>
      </c>
      <c r="O183" s="2">
        <v>27350</v>
      </c>
      <c r="P183" t="str">
        <f>"$"</f>
        <v>$</v>
      </c>
      <c r="Q183" t="str">
        <f>"000"</f>
        <v>000</v>
      </c>
      <c r="R183" t="str">
        <f>"כללית"</f>
        <v>כללית</v>
      </c>
      <c r="S183" t="str">
        <f>"034"</f>
        <v>034</v>
      </c>
      <c r="T183" t="str">
        <f>"גנם הודיה"</f>
        <v>גנם הודיה</v>
      </c>
      <c r="U183">
        <v>0</v>
      </c>
      <c r="V183">
        <v>0</v>
      </c>
      <c r="W183" s="2">
        <v>27350</v>
      </c>
      <c r="X183" s="2">
        <v>27350</v>
      </c>
      <c r="Z183" t="str">
        <f>"Y"</f>
        <v>Y</v>
      </c>
      <c r="AA183">
        <v>0</v>
      </c>
      <c r="AC183">
        <v>0</v>
      </c>
      <c r="AE183">
        <v>0</v>
      </c>
      <c r="AF183">
        <v>0</v>
      </c>
      <c r="AG183" s="2">
        <v>98213.85</v>
      </c>
      <c r="AH183">
        <v>0</v>
      </c>
      <c r="AI183" s="2">
        <v>98213.85</v>
      </c>
      <c r="AJ183" s="2">
        <v>27350</v>
      </c>
      <c r="AK183" s="2">
        <v>27350</v>
      </c>
      <c r="AL183" t="str">
        <f>"$"</f>
        <v>$</v>
      </c>
    </row>
    <row r="184" spans="1:38" x14ac:dyDescent="0.3">
      <c r="A184" t="str">
        <f>"SO20000138"</f>
        <v>SO20000138</v>
      </c>
      <c r="B184" t="str">
        <f>"E000309816"</f>
        <v>E000309816</v>
      </c>
      <c r="C184" t="str">
        <f>"בוצעה"</f>
        <v>בוצעה</v>
      </c>
      <c r="E184" s="3">
        <v>43938</v>
      </c>
      <c r="F184" s="3">
        <v>43971</v>
      </c>
      <c r="G184" t="str">
        <f>"700065"</f>
        <v>700065</v>
      </c>
      <c r="H184" t="str">
        <f>"אלתא מערכות בע""מ"</f>
        <v>אלתא מערכות בע"מ</v>
      </c>
      <c r="I184" t="str">
        <f>"ערן שלו"</f>
        <v>ערן שלו</v>
      </c>
      <c r="J184" t="str">
        <f>"PS9900047"</f>
        <v>PS9900047</v>
      </c>
      <c r="K184" s="1" t="str">
        <f>"Flatpack 2 380/3000 HE"</f>
        <v>Flatpack 2 380/3000 HE</v>
      </c>
      <c r="L184">
        <v>6</v>
      </c>
      <c r="O184">
        <v>0</v>
      </c>
      <c r="P184" t="str">
        <f>"$"</f>
        <v>$</v>
      </c>
      <c r="Q184" t="str">
        <f>"000"</f>
        <v>000</v>
      </c>
      <c r="R184" t="str">
        <f>"כללית"</f>
        <v>כללית</v>
      </c>
      <c r="S184" t="str">
        <f>"034"</f>
        <v>034</v>
      </c>
      <c r="T184" t="str">
        <f>"גנם הודיה"</f>
        <v>גנם הודיה</v>
      </c>
      <c r="U184">
        <v>0</v>
      </c>
      <c r="V184">
        <v>0</v>
      </c>
      <c r="W184">
        <v>0</v>
      </c>
      <c r="X184">
        <v>0</v>
      </c>
      <c r="Z184" t="str">
        <f>"Y"</f>
        <v>Y</v>
      </c>
      <c r="AA184">
        <v>2</v>
      </c>
      <c r="AC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 t="str">
        <f>"$"</f>
        <v>$</v>
      </c>
    </row>
    <row r="185" spans="1:38" x14ac:dyDescent="0.3">
      <c r="A185" t="str">
        <f>"SO20000138"</f>
        <v>SO20000138</v>
      </c>
      <c r="B185" t="str">
        <f>"E000309816"</f>
        <v>E000309816</v>
      </c>
      <c r="C185" t="str">
        <f>"בוצעה"</f>
        <v>בוצעה</v>
      </c>
      <c r="E185" s="3">
        <v>43938</v>
      </c>
      <c r="F185" s="3">
        <v>43971</v>
      </c>
      <c r="G185" t="str">
        <f>"700065"</f>
        <v>700065</v>
      </c>
      <c r="H185" t="str">
        <f>"אלתא מערכות בע""מ"</f>
        <v>אלתא מערכות בע"מ</v>
      </c>
      <c r="I185" t="str">
        <f>"ערן שלו"</f>
        <v>ערן שלו</v>
      </c>
      <c r="J185" t="str">
        <f>"PS0300006"</f>
        <v>PS0300006</v>
      </c>
      <c r="K185" s="1" t="str">
        <f>"TSI-EPC - 380Vac-Module BRAVO"</f>
        <v>TSI-EPC - 380Vac-Module BRAVO</v>
      </c>
      <c r="L185">
        <v>2</v>
      </c>
      <c r="O185">
        <v>0</v>
      </c>
      <c r="P185" t="str">
        <f>"$"</f>
        <v>$</v>
      </c>
      <c r="Q185" t="str">
        <f>"000"</f>
        <v>000</v>
      </c>
      <c r="R185" t="str">
        <f>"כללית"</f>
        <v>כללית</v>
      </c>
      <c r="S185" t="str">
        <f>"034"</f>
        <v>034</v>
      </c>
      <c r="T185" t="str">
        <f>"גנם הודיה"</f>
        <v>גנם הודיה</v>
      </c>
      <c r="U185">
        <v>0</v>
      </c>
      <c r="V185">
        <v>0</v>
      </c>
      <c r="W185">
        <v>0</v>
      </c>
      <c r="X185">
        <v>0</v>
      </c>
      <c r="Z185" t="str">
        <f>"Y"</f>
        <v>Y</v>
      </c>
      <c r="AA185">
        <v>2</v>
      </c>
      <c r="AC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tr">
        <f>"$"</f>
        <v>$</v>
      </c>
    </row>
    <row r="186" spans="1:38" x14ac:dyDescent="0.3">
      <c r="A186" t="str">
        <f>"SO20000138"</f>
        <v>SO20000138</v>
      </c>
      <c r="B186" t="str">
        <f>"E000309816"</f>
        <v>E000309816</v>
      </c>
      <c r="C186" t="str">
        <f>"בוצעה"</f>
        <v>בוצעה</v>
      </c>
      <c r="E186" s="3">
        <v>43938</v>
      </c>
      <c r="F186" s="3">
        <v>44077</v>
      </c>
      <c r="G186" t="str">
        <f>"700065"</f>
        <v>700065</v>
      </c>
      <c r="H186" t="str">
        <f>"אלתא מערכות בע""מ"</f>
        <v>אלתא מערכות בע"מ</v>
      </c>
      <c r="I186" t="str">
        <f>"ערן שלו"</f>
        <v>ערן שלו</v>
      </c>
      <c r="J186" t="str">
        <f>"PD0300363"</f>
        <v>PD0300363</v>
      </c>
      <c r="K186" s="1" t="str">
        <f>"כרטיס דיגיטלי כניס לבקר סימנס 6ES7131-6BF01-0BA0"</f>
        <v>כרטיס דיגיטלי כניס לבקר סימנס 6ES7131-6BF01-0BA0</v>
      </c>
      <c r="L186">
        <v>2</v>
      </c>
      <c r="O186">
        <v>0</v>
      </c>
      <c r="P186" t="str">
        <f>"$"</f>
        <v>$</v>
      </c>
      <c r="Q186" t="str">
        <f>"000"</f>
        <v>000</v>
      </c>
      <c r="R186" t="str">
        <f>"כללית"</f>
        <v>כללית</v>
      </c>
      <c r="S186" t="str">
        <f>"034"</f>
        <v>034</v>
      </c>
      <c r="T186" t="str">
        <f>"גנם הודיה"</f>
        <v>גנם הודיה</v>
      </c>
      <c r="U186">
        <v>0</v>
      </c>
      <c r="V186">
        <v>0</v>
      </c>
      <c r="W186">
        <v>0</v>
      </c>
      <c r="X186">
        <v>0</v>
      </c>
      <c r="Z186" t="str">
        <f>"Y"</f>
        <v>Y</v>
      </c>
      <c r="AA186">
        <v>0</v>
      </c>
      <c r="AC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str">
        <f>"$"</f>
        <v>$</v>
      </c>
    </row>
    <row r="187" spans="1:38" x14ac:dyDescent="0.3">
      <c r="A187" t="str">
        <f>"SO20000138"</f>
        <v>SO20000138</v>
      </c>
      <c r="B187" t="str">
        <f>"E000309816"</f>
        <v>E000309816</v>
      </c>
      <c r="C187" t="str">
        <f>"בוצעה"</f>
        <v>בוצעה</v>
      </c>
      <c r="E187" s="3">
        <v>43938</v>
      </c>
      <c r="F187" s="3">
        <v>44077</v>
      </c>
      <c r="G187" t="str">
        <f>"700065"</f>
        <v>700065</v>
      </c>
      <c r="H187" t="str">
        <f>"אלתא מערכות בע""מ"</f>
        <v>אלתא מערכות בע"מ</v>
      </c>
      <c r="I187" t="str">
        <f>"ערן שלו"</f>
        <v>ערן שלו</v>
      </c>
      <c r="J187" t="str">
        <f>"PS9900047"</f>
        <v>PS9900047</v>
      </c>
      <c r="K187" s="1" t="str">
        <f>"Flatpack 2 380/3000 HE"</f>
        <v>Flatpack 2 380/3000 HE</v>
      </c>
      <c r="L187">
        <v>2</v>
      </c>
      <c r="O187">
        <v>0</v>
      </c>
      <c r="P187" t="str">
        <f>"$"</f>
        <v>$</v>
      </c>
      <c r="Q187" t="str">
        <f>"000"</f>
        <v>000</v>
      </c>
      <c r="R187" t="str">
        <f>"כללית"</f>
        <v>כללית</v>
      </c>
      <c r="S187" t="str">
        <f>"034"</f>
        <v>034</v>
      </c>
      <c r="T187" t="str">
        <f>"גנם הודיה"</f>
        <v>גנם הודיה</v>
      </c>
      <c r="U187">
        <v>0</v>
      </c>
      <c r="V187">
        <v>0</v>
      </c>
      <c r="W187">
        <v>0</v>
      </c>
      <c r="X187">
        <v>0</v>
      </c>
      <c r="Z187" t="str">
        <f>"Y"</f>
        <v>Y</v>
      </c>
      <c r="AA187">
        <v>2</v>
      </c>
      <c r="AC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tr">
        <f>"$"</f>
        <v>$</v>
      </c>
    </row>
    <row r="188" spans="1:38" x14ac:dyDescent="0.3">
      <c r="A188" t="str">
        <f>"SO20000139"</f>
        <v>SO20000139</v>
      </c>
      <c r="B188" t="str">
        <f>"E000309670"</f>
        <v>E000309670</v>
      </c>
      <c r="C188" t="str">
        <f>"בוצעה"</f>
        <v>בוצעה</v>
      </c>
      <c r="E188" s="3">
        <v>43940</v>
      </c>
      <c r="F188" s="3">
        <v>44042</v>
      </c>
      <c r="G188" t="str">
        <f>"700065"</f>
        <v>700065</v>
      </c>
      <c r="H188" t="str">
        <f>"אלתא מערכות בע""מ"</f>
        <v>אלתא מערכות בע"מ</v>
      </c>
      <c r="I188" t="str">
        <f>"ערן שלו"</f>
        <v>ערן שלו</v>
      </c>
      <c r="J188" t="str">
        <f>"OP-AR01705"</f>
        <v>OP-AR01705</v>
      </c>
      <c r="K188" s="1" t="str">
        <f>"1022H882-001 W2- 32CH VIDEO CABLE (SLAVE)"</f>
        <v>1022H882-001 W2- 32CH VIDEO CABLE (SLAVE)</v>
      </c>
      <c r="L188">
        <v>12</v>
      </c>
      <c r="M188" t="str">
        <f>"PR20000210"</f>
        <v>PR20000210</v>
      </c>
      <c r="N188" t="str">
        <f>"32CH VIDEO CABLE"</f>
        <v>32CH VIDEO CABLE</v>
      </c>
      <c r="O188" s="2">
        <v>1272.45</v>
      </c>
      <c r="P188" t="str">
        <f>"$"</f>
        <v>$</v>
      </c>
      <c r="Q188" t="str">
        <f>"117"</f>
        <v>117</v>
      </c>
      <c r="R188" t="str">
        <f>"רתמות"</f>
        <v>רתמות</v>
      </c>
      <c r="S188" t="str">
        <f>"034"</f>
        <v>034</v>
      </c>
      <c r="T188" t="str">
        <f>"גנם הודיה"</f>
        <v>גנם הודיה</v>
      </c>
      <c r="U188">
        <v>0</v>
      </c>
      <c r="V188">
        <v>0</v>
      </c>
      <c r="W188" s="2">
        <v>1272.45</v>
      </c>
      <c r="X188" s="2">
        <v>15269.4</v>
      </c>
      <c r="Z188" t="str">
        <f>"Y"</f>
        <v>Y</v>
      </c>
      <c r="AA188">
        <v>0</v>
      </c>
      <c r="AC188">
        <v>0</v>
      </c>
      <c r="AE188">
        <v>0</v>
      </c>
      <c r="AF188">
        <v>0</v>
      </c>
      <c r="AG188" s="2">
        <v>4569.37</v>
      </c>
      <c r="AH188">
        <v>0</v>
      </c>
      <c r="AI188" s="2">
        <v>54832.42</v>
      </c>
      <c r="AJ188" s="2">
        <v>15269.4</v>
      </c>
      <c r="AK188" s="2">
        <v>15269.4</v>
      </c>
      <c r="AL188" t="str">
        <f>"$"</f>
        <v>$</v>
      </c>
    </row>
    <row r="189" spans="1:38" x14ac:dyDescent="0.3">
      <c r="A189" t="str">
        <f>"SO20000139"</f>
        <v>SO20000139</v>
      </c>
      <c r="B189" t="str">
        <f>"E000309670"</f>
        <v>E000309670</v>
      </c>
      <c r="C189" t="str">
        <f>"בוצעה"</f>
        <v>בוצעה</v>
      </c>
      <c r="E189" s="3">
        <v>43940</v>
      </c>
      <c r="F189" s="3">
        <v>44042</v>
      </c>
      <c r="G189" t="str">
        <f>"700065"</f>
        <v>700065</v>
      </c>
      <c r="H189" t="str">
        <f>"אלתא מערכות בע""מ"</f>
        <v>אלתא מערכות בע"מ</v>
      </c>
      <c r="I189" t="str">
        <f>"ערן שלו"</f>
        <v>ערן שלו</v>
      </c>
      <c r="J189" t="str">
        <f>"OP-AR01706"</f>
        <v>OP-AR01706</v>
      </c>
      <c r="K189" s="1" t="str">
        <f>"1022H885-001 W85-32CH VIDEO CABLE"</f>
        <v>1022H885-001 W85-32CH VIDEO CABLE</v>
      </c>
      <c r="L189">
        <v>4</v>
      </c>
      <c r="M189" t="str">
        <f>"PR20000210"</f>
        <v>PR20000210</v>
      </c>
      <c r="N189" t="str">
        <f>"32CH VIDEO CABLE"</f>
        <v>32CH VIDEO CABLE</v>
      </c>
      <c r="O189">
        <v>518.66</v>
      </c>
      <c r="P189" t="str">
        <f>"$"</f>
        <v>$</v>
      </c>
      <c r="Q189" t="str">
        <f>"117"</f>
        <v>117</v>
      </c>
      <c r="R189" t="str">
        <f>"רתמות"</f>
        <v>רתמות</v>
      </c>
      <c r="S189" t="str">
        <f>"034"</f>
        <v>034</v>
      </c>
      <c r="T189" t="str">
        <f>"גנם הודיה"</f>
        <v>גנם הודיה</v>
      </c>
      <c r="U189">
        <v>0</v>
      </c>
      <c r="V189">
        <v>0</v>
      </c>
      <c r="W189">
        <v>518.66</v>
      </c>
      <c r="X189" s="2">
        <v>2074.64</v>
      </c>
      <c r="Z189" t="str">
        <f>"Y"</f>
        <v>Y</v>
      </c>
      <c r="AA189">
        <v>0</v>
      </c>
      <c r="AC189">
        <v>0</v>
      </c>
      <c r="AE189">
        <v>0</v>
      </c>
      <c r="AF189">
        <v>0</v>
      </c>
      <c r="AG189" s="2">
        <v>1862.51</v>
      </c>
      <c r="AH189">
        <v>0</v>
      </c>
      <c r="AI189" s="2">
        <v>7450.03</v>
      </c>
      <c r="AJ189" s="2">
        <v>2074.64</v>
      </c>
      <c r="AK189" s="2">
        <v>2074.64</v>
      </c>
      <c r="AL189" t="str">
        <f>"$"</f>
        <v>$</v>
      </c>
    </row>
    <row r="190" spans="1:38" x14ac:dyDescent="0.3">
      <c r="A190" t="str">
        <f>"SO20000139"</f>
        <v>SO20000139</v>
      </c>
      <c r="B190" t="str">
        <f>"E000309670"</f>
        <v>E000309670</v>
      </c>
      <c r="C190" t="str">
        <f>"בוצעה"</f>
        <v>בוצעה</v>
      </c>
      <c r="E190" s="3">
        <v>43940</v>
      </c>
      <c r="F190" s="3">
        <v>44285</v>
      </c>
      <c r="G190" t="str">
        <f>"700065"</f>
        <v>700065</v>
      </c>
      <c r="H190" t="str">
        <f>"אלתא מערכות בע""מ"</f>
        <v>אלתא מערכות בע"מ</v>
      </c>
      <c r="I190" t="str">
        <f>"ערן שלו"</f>
        <v>ערן שלו</v>
      </c>
      <c r="J190" t="str">
        <f>"OP-AR01707"</f>
        <v>OP-AR01707</v>
      </c>
      <c r="K190" s="1" t="str">
        <f>"1022H886-001 W86-32CH VIDEO CABLE"</f>
        <v>1022H886-001 W86-32CH VIDEO CABLE</v>
      </c>
      <c r="L190">
        <v>4</v>
      </c>
      <c r="M190" t="str">
        <f>"PR20000210"</f>
        <v>PR20000210</v>
      </c>
      <c r="N190" t="str">
        <f>"32CH VIDEO CABLE"</f>
        <v>32CH VIDEO CABLE</v>
      </c>
      <c r="O190">
        <v>516.75</v>
      </c>
      <c r="P190" t="str">
        <f>"$"</f>
        <v>$</v>
      </c>
      <c r="Q190" t="str">
        <f>"117"</f>
        <v>117</v>
      </c>
      <c r="R190" t="str">
        <f>"רתמות"</f>
        <v>רתמות</v>
      </c>
      <c r="S190" t="str">
        <f>"034"</f>
        <v>034</v>
      </c>
      <c r="T190" t="str">
        <f>"גנם הודיה"</f>
        <v>גנם הודיה</v>
      </c>
      <c r="U190">
        <v>0</v>
      </c>
      <c r="V190">
        <v>0</v>
      </c>
      <c r="W190">
        <v>516.75</v>
      </c>
      <c r="X190" s="2">
        <v>2067</v>
      </c>
      <c r="Z190" t="str">
        <f>"Y"</f>
        <v>Y</v>
      </c>
      <c r="AA190">
        <v>0</v>
      </c>
      <c r="AC190">
        <v>0</v>
      </c>
      <c r="AE190">
        <v>0</v>
      </c>
      <c r="AF190">
        <v>0</v>
      </c>
      <c r="AG190" s="2">
        <v>1855.65</v>
      </c>
      <c r="AH190">
        <v>0</v>
      </c>
      <c r="AI190" s="2">
        <v>7422.6</v>
      </c>
      <c r="AJ190" s="2">
        <v>2067</v>
      </c>
      <c r="AK190" s="2">
        <v>2067</v>
      </c>
      <c r="AL190" t="str">
        <f>"$"</f>
        <v>$</v>
      </c>
    </row>
    <row r="191" spans="1:38" x14ac:dyDescent="0.3">
      <c r="A191" t="str">
        <f>"SO20000139"</f>
        <v>SO20000139</v>
      </c>
      <c r="B191" t="str">
        <f>"E000309670"</f>
        <v>E000309670</v>
      </c>
      <c r="C191" t="str">
        <f>"בוצעה"</f>
        <v>בוצעה</v>
      </c>
      <c r="E191" s="3">
        <v>43940</v>
      </c>
      <c r="F191" s="3">
        <v>44042</v>
      </c>
      <c r="G191" t="str">
        <f>"700065"</f>
        <v>700065</v>
      </c>
      <c r="H191" t="str">
        <f>"אלתא מערכות בע""מ"</f>
        <v>אלתא מערכות בע"מ</v>
      </c>
      <c r="I191" t="str">
        <f>"ערן שלו"</f>
        <v>ערן שלו</v>
      </c>
      <c r="J191" t="str">
        <f>"OP-AR01708"</f>
        <v>OP-AR01708</v>
      </c>
      <c r="K191" s="1" t="str">
        <f>"1022H887-002 W87-32CH VIDEO CABLE (MASTER)"</f>
        <v>1022H887-002 W87-32CH VIDEO CABLE (MASTER)</v>
      </c>
      <c r="L191">
        <v>2</v>
      </c>
      <c r="M191" t="str">
        <f>"PR20000210"</f>
        <v>PR20000210</v>
      </c>
      <c r="N191" t="str">
        <f>"32CH VIDEO CABLE"</f>
        <v>32CH VIDEO CABLE</v>
      </c>
      <c r="O191">
        <v>545.11</v>
      </c>
      <c r="P191" t="str">
        <f>"$"</f>
        <v>$</v>
      </c>
      <c r="Q191" t="str">
        <f>"117"</f>
        <v>117</v>
      </c>
      <c r="R191" t="str">
        <f>"רתמות"</f>
        <v>רתמות</v>
      </c>
      <c r="S191" t="str">
        <f>"034"</f>
        <v>034</v>
      </c>
      <c r="T191" t="str">
        <f>"גנם הודיה"</f>
        <v>גנם הודיה</v>
      </c>
      <c r="U191">
        <v>0</v>
      </c>
      <c r="V191">
        <v>0</v>
      </c>
      <c r="W191">
        <v>545.11</v>
      </c>
      <c r="X191" s="2">
        <v>1090.22</v>
      </c>
      <c r="Z191" t="str">
        <f>"Y"</f>
        <v>Y</v>
      </c>
      <c r="AA191">
        <v>0</v>
      </c>
      <c r="AC191">
        <v>0</v>
      </c>
      <c r="AE191">
        <v>0</v>
      </c>
      <c r="AF191">
        <v>0</v>
      </c>
      <c r="AG191" s="2">
        <v>1957.49</v>
      </c>
      <c r="AH191">
        <v>0</v>
      </c>
      <c r="AI191" s="2">
        <v>3914.98</v>
      </c>
      <c r="AJ191" s="2">
        <v>1090.22</v>
      </c>
      <c r="AK191" s="2">
        <v>1090.22</v>
      </c>
      <c r="AL191" t="str">
        <f>"$"</f>
        <v>$</v>
      </c>
    </row>
    <row r="192" spans="1:38" x14ac:dyDescent="0.3">
      <c r="A192" t="str">
        <f>"SO20000139"</f>
        <v>SO20000139</v>
      </c>
      <c r="B192" t="str">
        <f>"E000309670"</f>
        <v>E000309670</v>
      </c>
      <c r="C192" t="str">
        <f>"בוצעה"</f>
        <v>בוצעה</v>
      </c>
      <c r="E192" s="3">
        <v>43940</v>
      </c>
      <c r="F192" s="3">
        <v>44165</v>
      </c>
      <c r="G192" t="str">
        <f>"700065"</f>
        <v>700065</v>
      </c>
      <c r="H192" t="str">
        <f>"אלתא מערכות בע""מ"</f>
        <v>אלתא מערכות בע"מ</v>
      </c>
      <c r="I192" t="str">
        <f>"ערן שלו"</f>
        <v>ערן שלו</v>
      </c>
      <c r="J192" t="str">
        <f>"OP-AR01709"</f>
        <v>OP-AR01709</v>
      </c>
      <c r="K192" s="1" t="str">
        <f>"1022H888-001 W8-32CH VIDEO CABLE (MASTER)"</f>
        <v>1022H888-001 W8-32CH VIDEO CABLE (MASTER)</v>
      </c>
      <c r="L192">
        <v>4</v>
      </c>
      <c r="M192" t="str">
        <f>"PR20000210"</f>
        <v>PR20000210</v>
      </c>
      <c r="N192" t="str">
        <f>"32CH VIDEO CABLE"</f>
        <v>32CH VIDEO CABLE</v>
      </c>
      <c r="O192" s="2">
        <v>1234.4100000000001</v>
      </c>
      <c r="P192" t="str">
        <f>"$"</f>
        <v>$</v>
      </c>
      <c r="Q192" t="str">
        <f>"117"</f>
        <v>117</v>
      </c>
      <c r="R192" t="str">
        <f>"רתמות"</f>
        <v>רתמות</v>
      </c>
      <c r="S192" t="str">
        <f>"034"</f>
        <v>034</v>
      </c>
      <c r="T192" t="str">
        <f>"גנם הודיה"</f>
        <v>גנם הודיה</v>
      </c>
      <c r="U192">
        <v>0</v>
      </c>
      <c r="V192">
        <v>0</v>
      </c>
      <c r="W192" s="2">
        <v>1234.4100000000001</v>
      </c>
      <c r="X192" s="2">
        <v>4937.6400000000003</v>
      </c>
      <c r="Z192" t="str">
        <f>"Y"</f>
        <v>Y</v>
      </c>
      <c r="AA192">
        <v>0</v>
      </c>
      <c r="AC192">
        <v>0</v>
      </c>
      <c r="AE192">
        <v>0</v>
      </c>
      <c r="AF192">
        <v>0</v>
      </c>
      <c r="AG192" s="2">
        <v>4432.7700000000004</v>
      </c>
      <c r="AH192">
        <v>0</v>
      </c>
      <c r="AI192" s="2">
        <v>17731.07</v>
      </c>
      <c r="AJ192" s="2">
        <v>4937.6400000000003</v>
      </c>
      <c r="AK192" s="2">
        <v>4937.6400000000003</v>
      </c>
      <c r="AL192" t="str">
        <f>"$"</f>
        <v>$</v>
      </c>
    </row>
    <row r="193" spans="1:38" x14ac:dyDescent="0.3">
      <c r="A193" t="str">
        <f>"SO20000139"</f>
        <v>SO20000139</v>
      </c>
      <c r="B193" t="str">
        <f>"E000309670"</f>
        <v>E000309670</v>
      </c>
      <c r="C193" t="str">
        <f>"בוצעה"</f>
        <v>בוצעה</v>
      </c>
      <c r="E193" s="3">
        <v>43940</v>
      </c>
      <c r="F193" s="3">
        <v>44042</v>
      </c>
      <c r="G193" t="str">
        <f>"700065"</f>
        <v>700065</v>
      </c>
      <c r="H193" t="str">
        <f>"אלתא מערכות בע""מ"</f>
        <v>אלתא מערכות בע"מ</v>
      </c>
      <c r="I193" t="str">
        <f>"ערן שלו"</f>
        <v>ערן שלו</v>
      </c>
      <c r="J193" t="str">
        <f>"OP-AR01710"</f>
        <v>OP-AR01710</v>
      </c>
      <c r="K193" s="1" t="str">
        <f>"1022H889-001 W9 -INPUT DC CABLE (SLAVE)"</f>
        <v>1022H889-001 W9 -INPUT DC CABLE (SLAVE)</v>
      </c>
      <c r="L193">
        <v>12</v>
      </c>
      <c r="M193" t="str">
        <f>"PR20000210"</f>
        <v>PR20000210</v>
      </c>
      <c r="N193" t="str">
        <f>"32CH VIDEO CABLE"</f>
        <v>32CH VIDEO CABLE</v>
      </c>
      <c r="O193">
        <v>484.17</v>
      </c>
      <c r="P193" t="str">
        <f>"$"</f>
        <v>$</v>
      </c>
      <c r="Q193" t="str">
        <f>"117"</f>
        <v>117</v>
      </c>
      <c r="R193" t="str">
        <f>"רתמות"</f>
        <v>רתמות</v>
      </c>
      <c r="S193" t="str">
        <f>"034"</f>
        <v>034</v>
      </c>
      <c r="T193" t="str">
        <f>"גנם הודיה"</f>
        <v>גנם הודיה</v>
      </c>
      <c r="U193">
        <v>0</v>
      </c>
      <c r="V193">
        <v>0</v>
      </c>
      <c r="W193">
        <v>484.17</v>
      </c>
      <c r="X193" s="2">
        <v>5810.04</v>
      </c>
      <c r="Z193" t="str">
        <f>"Y"</f>
        <v>Y</v>
      </c>
      <c r="AA193">
        <v>0</v>
      </c>
      <c r="AC193">
        <v>0</v>
      </c>
      <c r="AE193">
        <v>0</v>
      </c>
      <c r="AF193">
        <v>0</v>
      </c>
      <c r="AG193" s="2">
        <v>1738.65</v>
      </c>
      <c r="AH193">
        <v>0</v>
      </c>
      <c r="AI193" s="2">
        <v>20863.849999999999</v>
      </c>
      <c r="AJ193" s="2">
        <v>5810.04</v>
      </c>
      <c r="AK193" s="2">
        <v>5810.04</v>
      </c>
      <c r="AL193" t="str">
        <f>"$"</f>
        <v>$</v>
      </c>
    </row>
    <row r="194" spans="1:38" x14ac:dyDescent="0.3">
      <c r="A194" t="str">
        <f>"SO20000139"</f>
        <v>SO20000139</v>
      </c>
      <c r="B194" t="str">
        <f>"E000309670"</f>
        <v>E000309670</v>
      </c>
      <c r="C194" t="str">
        <f>"בוצעה"</f>
        <v>בוצעה</v>
      </c>
      <c r="E194" s="3">
        <v>43940</v>
      </c>
      <c r="F194" s="3">
        <v>44140</v>
      </c>
      <c r="G194" t="str">
        <f>"700065"</f>
        <v>700065</v>
      </c>
      <c r="H194" t="str">
        <f>"אלתא מערכות בע""מ"</f>
        <v>אלתא מערכות בע"מ</v>
      </c>
      <c r="I194" t="str">
        <f>"ערן שלו"</f>
        <v>ערן שלו</v>
      </c>
      <c r="J194" t="str">
        <f>"9977"</f>
        <v>9977</v>
      </c>
      <c r="K194" s="1" t="str">
        <f>"חיוב פיגורים בגין 5112332927 SI206000835"</f>
        <v>חיוב פיגורים בגין 5112332927 SI206000835</v>
      </c>
      <c r="L194">
        <v>0</v>
      </c>
      <c r="M194" t="str">
        <f>"PR20000210"</f>
        <v>PR20000210</v>
      </c>
      <c r="N194" t="str">
        <f>"32CH VIDEO CABLE"</f>
        <v>32CH VIDEO CABLE</v>
      </c>
      <c r="O194">
        <v>87.15</v>
      </c>
      <c r="P194" t="str">
        <f>"$"</f>
        <v>$</v>
      </c>
      <c r="Q194" t="str">
        <f>"117"</f>
        <v>117</v>
      </c>
      <c r="R194" t="str">
        <f>"רתמות"</f>
        <v>רתמות</v>
      </c>
      <c r="S194" t="str">
        <f>"034"</f>
        <v>034</v>
      </c>
      <c r="T194" t="str">
        <f>"גנם הודיה"</f>
        <v>גנם הודיה</v>
      </c>
      <c r="U194">
        <v>0</v>
      </c>
      <c r="V194">
        <v>0</v>
      </c>
      <c r="W194">
        <v>87.15</v>
      </c>
      <c r="X194">
        <v>0</v>
      </c>
      <c r="Z194" t="str">
        <f>"Y"</f>
        <v>Y</v>
      </c>
      <c r="AA194">
        <v>0</v>
      </c>
      <c r="AC194">
        <v>0</v>
      </c>
      <c r="AE194">
        <v>0</v>
      </c>
      <c r="AF194">
        <v>0</v>
      </c>
      <c r="AG194">
        <v>312.95999999999998</v>
      </c>
      <c r="AH194">
        <v>0</v>
      </c>
      <c r="AI194">
        <v>0</v>
      </c>
      <c r="AJ194">
        <v>0</v>
      </c>
      <c r="AK194">
        <v>0</v>
      </c>
      <c r="AL194" t="str">
        <f>"$"</f>
        <v>$</v>
      </c>
    </row>
    <row r="195" spans="1:38" x14ac:dyDescent="0.3">
      <c r="A195" t="str">
        <f>"SO20000139"</f>
        <v>SO20000139</v>
      </c>
      <c r="B195" t="str">
        <f>"E000309670"</f>
        <v>E000309670</v>
      </c>
      <c r="C195" t="str">
        <f>"בוצעה"</f>
        <v>בוצעה</v>
      </c>
      <c r="E195" s="3">
        <v>43940</v>
      </c>
      <c r="F195" s="3">
        <v>44042</v>
      </c>
      <c r="G195" t="str">
        <f>"700065"</f>
        <v>700065</v>
      </c>
      <c r="H195" t="str">
        <f>"אלתא מערכות בע""מ"</f>
        <v>אלתא מערכות בע"מ</v>
      </c>
      <c r="I195" t="str">
        <f>"ערן שלו"</f>
        <v>ערן שלו</v>
      </c>
      <c r="J195" t="str">
        <f>"OP-AR01711"</f>
        <v>OP-AR01711</v>
      </c>
      <c r="K195" s="1" t="str">
        <f>"1022H890-001 W10- INPUT DC CABLE ASSY (MASTER)"</f>
        <v>1022H890-001 W10- INPUT DC CABLE ASSY (MASTER)</v>
      </c>
      <c r="L195">
        <v>4</v>
      </c>
      <c r="M195" t="str">
        <f>"PR20000210"</f>
        <v>PR20000210</v>
      </c>
      <c r="N195" t="str">
        <f>"32CH VIDEO CABLE"</f>
        <v>32CH VIDEO CABLE</v>
      </c>
      <c r="O195">
        <v>278.07</v>
      </c>
      <c r="P195" t="str">
        <f>"$"</f>
        <v>$</v>
      </c>
      <c r="Q195" t="str">
        <f>"117"</f>
        <v>117</v>
      </c>
      <c r="R195" t="str">
        <f>"רתמות"</f>
        <v>רתמות</v>
      </c>
      <c r="S195" t="str">
        <f>"034"</f>
        <v>034</v>
      </c>
      <c r="T195" t="str">
        <f>"גנם הודיה"</f>
        <v>גנם הודיה</v>
      </c>
      <c r="U195">
        <v>0</v>
      </c>
      <c r="V195">
        <v>0</v>
      </c>
      <c r="W195">
        <v>278.07</v>
      </c>
      <c r="X195" s="2">
        <v>1112.28</v>
      </c>
      <c r="Z195" t="str">
        <f>"Y"</f>
        <v>Y</v>
      </c>
      <c r="AA195">
        <v>0</v>
      </c>
      <c r="AC195">
        <v>0</v>
      </c>
      <c r="AE195">
        <v>0</v>
      </c>
      <c r="AF195">
        <v>0</v>
      </c>
      <c r="AG195">
        <v>998.55</v>
      </c>
      <c r="AH195">
        <v>0</v>
      </c>
      <c r="AI195" s="2">
        <v>3994.2</v>
      </c>
      <c r="AJ195" s="2">
        <v>1112.28</v>
      </c>
      <c r="AK195" s="2">
        <v>1112.28</v>
      </c>
      <c r="AL195" t="str">
        <f>"$"</f>
        <v>$</v>
      </c>
    </row>
    <row r="196" spans="1:38" x14ac:dyDescent="0.3">
      <c r="A196" t="str">
        <f>"SO20000139"</f>
        <v>SO20000139</v>
      </c>
      <c r="B196" t="str">
        <f>"E000309670"</f>
        <v>E000309670</v>
      </c>
      <c r="C196" t="str">
        <f>"בוצעה"</f>
        <v>בוצעה</v>
      </c>
      <c r="E196" s="3">
        <v>43940</v>
      </c>
      <c r="F196" s="3">
        <v>44140</v>
      </c>
      <c r="G196" t="str">
        <f>"700065"</f>
        <v>700065</v>
      </c>
      <c r="H196" t="str">
        <f>"אלתא מערכות בע""מ"</f>
        <v>אלתא מערכות בע"מ</v>
      </c>
      <c r="I196" t="str">
        <f>"ערן שלו"</f>
        <v>ערן שלו</v>
      </c>
      <c r="J196" t="str">
        <f>"9977"</f>
        <v>9977</v>
      </c>
      <c r="K196" s="1" t="str">
        <f>"חיוב פיגורים בגין 5112332927 SI206000835"</f>
        <v>חיוב פיגורים בגין 5112332927 SI206000835</v>
      </c>
      <c r="L196">
        <v>0</v>
      </c>
      <c r="M196" t="str">
        <f>"PR20000210"</f>
        <v>PR20000210</v>
      </c>
      <c r="N196" t="str">
        <f>"32CH VIDEO CABLE"</f>
        <v>32CH VIDEO CABLE</v>
      </c>
      <c r="O196">
        <v>16.68</v>
      </c>
      <c r="P196" t="str">
        <f>"$"</f>
        <v>$</v>
      </c>
      <c r="Q196" t="str">
        <f>"117"</f>
        <v>117</v>
      </c>
      <c r="R196" t="str">
        <f>"רתמות"</f>
        <v>רתמות</v>
      </c>
      <c r="S196" t="str">
        <f>"034"</f>
        <v>034</v>
      </c>
      <c r="T196" t="str">
        <f>"גנם הודיה"</f>
        <v>גנם הודיה</v>
      </c>
      <c r="U196">
        <v>0</v>
      </c>
      <c r="V196">
        <v>0</v>
      </c>
      <c r="W196">
        <v>16.68</v>
      </c>
      <c r="X196">
        <v>0</v>
      </c>
      <c r="Z196" t="str">
        <f>"Y"</f>
        <v>Y</v>
      </c>
      <c r="AA196">
        <v>0</v>
      </c>
      <c r="AC196">
        <v>0</v>
      </c>
      <c r="AE196">
        <v>0</v>
      </c>
      <c r="AF196">
        <v>0</v>
      </c>
      <c r="AG196">
        <v>59.9</v>
      </c>
      <c r="AH196">
        <v>0</v>
      </c>
      <c r="AI196">
        <v>0</v>
      </c>
      <c r="AJ196">
        <v>0</v>
      </c>
      <c r="AK196">
        <v>0</v>
      </c>
      <c r="AL196" t="str">
        <f>"$"</f>
        <v>$</v>
      </c>
    </row>
    <row r="197" spans="1:38" x14ac:dyDescent="0.3">
      <c r="A197" t="str">
        <f>"SO20000139"</f>
        <v>SO20000139</v>
      </c>
      <c r="B197" t="str">
        <f>"E000309670"</f>
        <v>E000309670</v>
      </c>
      <c r="C197" t="str">
        <f>"בוצעה"</f>
        <v>בוצעה</v>
      </c>
      <c r="E197" s="3">
        <v>43940</v>
      </c>
      <c r="F197" s="3">
        <v>44042</v>
      </c>
      <c r="G197" t="str">
        <f>"700065"</f>
        <v>700065</v>
      </c>
      <c r="H197" t="str">
        <f>"אלתא מערכות בע""מ"</f>
        <v>אלתא מערכות בע"מ</v>
      </c>
      <c r="I197" t="str">
        <f>"ערן שלו"</f>
        <v>ערן שלו</v>
      </c>
      <c r="J197" t="str">
        <f>"OP-AR01712"</f>
        <v>OP-AR01712</v>
      </c>
      <c r="K197" s="1" t="str">
        <f>"1022H891-002 W11 -DC CABLE ASSY (MASTER)"</f>
        <v>1022H891-002 W11 -DC CABLE ASSY (MASTER)</v>
      </c>
      <c r="L197">
        <v>4</v>
      </c>
      <c r="M197" t="str">
        <f>"PR20000210"</f>
        <v>PR20000210</v>
      </c>
      <c r="N197" t="str">
        <f>"32CH VIDEO CABLE"</f>
        <v>32CH VIDEO CABLE</v>
      </c>
      <c r="O197">
        <v>635.26</v>
      </c>
      <c r="P197" t="str">
        <f>"$"</f>
        <v>$</v>
      </c>
      <c r="Q197" t="str">
        <f>"117"</f>
        <v>117</v>
      </c>
      <c r="R197" t="str">
        <f>"רתמות"</f>
        <v>רתמות</v>
      </c>
      <c r="S197" t="str">
        <f>"034"</f>
        <v>034</v>
      </c>
      <c r="T197" t="str">
        <f>"גנם הודיה"</f>
        <v>גנם הודיה</v>
      </c>
      <c r="U197">
        <v>0</v>
      </c>
      <c r="V197">
        <v>0</v>
      </c>
      <c r="W197">
        <v>635.26</v>
      </c>
      <c r="X197" s="2">
        <v>2541.04</v>
      </c>
      <c r="Z197" t="str">
        <f>"Y"</f>
        <v>Y</v>
      </c>
      <c r="AA197">
        <v>0</v>
      </c>
      <c r="AC197">
        <v>0</v>
      </c>
      <c r="AE197">
        <v>0</v>
      </c>
      <c r="AF197">
        <v>0</v>
      </c>
      <c r="AG197" s="2">
        <v>2281.2199999999998</v>
      </c>
      <c r="AH197">
        <v>0</v>
      </c>
      <c r="AI197" s="2">
        <v>9124.8700000000008</v>
      </c>
      <c r="AJ197" s="2">
        <v>2541.04</v>
      </c>
      <c r="AK197" s="2">
        <v>2541.04</v>
      </c>
      <c r="AL197" t="str">
        <f>"$"</f>
        <v>$</v>
      </c>
    </row>
    <row r="198" spans="1:38" x14ac:dyDescent="0.3">
      <c r="A198" t="str">
        <f>"SO20000139"</f>
        <v>SO20000139</v>
      </c>
      <c r="B198" t="str">
        <f>"E000309670"</f>
        <v>E000309670</v>
      </c>
      <c r="C198" t="str">
        <f>"בוצעה"</f>
        <v>בוצעה</v>
      </c>
      <c r="E198" s="3">
        <v>43940</v>
      </c>
      <c r="F198" s="3">
        <v>44165</v>
      </c>
      <c r="G198" t="str">
        <f>"700065"</f>
        <v>700065</v>
      </c>
      <c r="H198" t="str">
        <f>"אלתא מערכות בע""מ"</f>
        <v>אלתא מערכות בע"מ</v>
      </c>
      <c r="I198" t="str">
        <f>"ערן שלו"</f>
        <v>ערן שלו</v>
      </c>
      <c r="J198" t="str">
        <f>"OP-AR01713"</f>
        <v>OP-AR01713</v>
      </c>
      <c r="K198" s="1" t="str">
        <f>"1022H892-002 W12 -32CH VIDEO CABLE (MASTER)"</f>
        <v>1022H892-002 W12 -32CH VIDEO CABLE (MASTER)</v>
      </c>
      <c r="L198">
        <v>4</v>
      </c>
      <c r="M198" t="str">
        <f>"PR20000210"</f>
        <v>PR20000210</v>
      </c>
      <c r="N198" t="str">
        <f>"32CH VIDEO CABLE"</f>
        <v>32CH VIDEO CABLE</v>
      </c>
      <c r="O198" s="2">
        <v>1347.88</v>
      </c>
      <c r="P198" t="str">
        <f>"$"</f>
        <v>$</v>
      </c>
      <c r="Q198" t="str">
        <f>"117"</f>
        <v>117</v>
      </c>
      <c r="R198" t="str">
        <f>"רתמות"</f>
        <v>רתמות</v>
      </c>
      <c r="S198" t="str">
        <f>"034"</f>
        <v>034</v>
      </c>
      <c r="T198" t="str">
        <f>"גנם הודיה"</f>
        <v>גנם הודיה</v>
      </c>
      <c r="U198">
        <v>0</v>
      </c>
      <c r="V198">
        <v>0</v>
      </c>
      <c r="W198" s="2">
        <v>1347.88</v>
      </c>
      <c r="X198" s="2">
        <v>5391.52</v>
      </c>
      <c r="Z198" t="str">
        <f>"Y"</f>
        <v>Y</v>
      </c>
      <c r="AA198">
        <v>0</v>
      </c>
      <c r="AC198">
        <v>0</v>
      </c>
      <c r="AE198">
        <v>0</v>
      </c>
      <c r="AF198">
        <v>0</v>
      </c>
      <c r="AG198" s="2">
        <v>4840.24</v>
      </c>
      <c r="AH198">
        <v>0</v>
      </c>
      <c r="AI198" s="2">
        <v>19360.95</v>
      </c>
      <c r="AJ198" s="2">
        <v>5391.52</v>
      </c>
      <c r="AK198" s="2">
        <v>5391.52</v>
      </c>
      <c r="AL198" t="str">
        <f>"$"</f>
        <v>$</v>
      </c>
    </row>
    <row r="199" spans="1:38" x14ac:dyDescent="0.3">
      <c r="A199" t="str">
        <f>"SO20000139"</f>
        <v>SO20000139</v>
      </c>
      <c r="B199" t="str">
        <f>"E000309670"</f>
        <v>E000309670</v>
      </c>
      <c r="C199" t="str">
        <f>"בוצעה"</f>
        <v>בוצעה</v>
      </c>
      <c r="E199" s="3">
        <v>43940</v>
      </c>
      <c r="F199" s="3">
        <v>44270</v>
      </c>
      <c r="G199" t="str">
        <f>"700065"</f>
        <v>700065</v>
      </c>
      <c r="H199" t="str">
        <f>"אלתא מערכות בע""מ"</f>
        <v>אלתא מערכות בע"מ</v>
      </c>
      <c r="I199" t="str">
        <f>"ערן שלו"</f>
        <v>ערן שלו</v>
      </c>
      <c r="J199" t="str">
        <f>"OP-AR01714"</f>
        <v>OP-AR01714</v>
      </c>
      <c r="K199" s="1" t="str">
        <f>"שירות ל IFT - הזמנה E000309670 (מתאמים)"</f>
        <v>שירות ל IFT - הזמנה E000309670 (מתאמים)</v>
      </c>
      <c r="L199">
        <v>1</v>
      </c>
      <c r="M199" t="str">
        <f>"PR20000210"</f>
        <v>PR20000210</v>
      </c>
      <c r="N199" t="str">
        <f>"32CH VIDEO CABLE"</f>
        <v>32CH VIDEO CABLE</v>
      </c>
      <c r="O199" s="2">
        <v>2925.45</v>
      </c>
      <c r="P199" t="str">
        <f>"$"</f>
        <v>$</v>
      </c>
      <c r="Q199" t="str">
        <f>"117"</f>
        <v>117</v>
      </c>
      <c r="R199" t="str">
        <f>"רתמות"</f>
        <v>רתמות</v>
      </c>
      <c r="S199" t="str">
        <f>"034"</f>
        <v>034</v>
      </c>
      <c r="T199" t="str">
        <f>"גנם הודיה"</f>
        <v>גנם הודיה</v>
      </c>
      <c r="U199">
        <v>0</v>
      </c>
      <c r="V199">
        <v>0</v>
      </c>
      <c r="W199" s="2">
        <v>2925.45</v>
      </c>
      <c r="X199" s="2">
        <v>2925.45</v>
      </c>
      <c r="Z199" t="str">
        <f>"Y"</f>
        <v>Y</v>
      </c>
      <c r="AA199">
        <v>1</v>
      </c>
      <c r="AC199">
        <v>0</v>
      </c>
      <c r="AE199">
        <v>0</v>
      </c>
      <c r="AF199">
        <v>0</v>
      </c>
      <c r="AG199" s="2">
        <v>10505.29</v>
      </c>
      <c r="AH199">
        <v>0</v>
      </c>
      <c r="AI199" s="2">
        <v>10505.29</v>
      </c>
      <c r="AJ199" s="2">
        <v>2925.45</v>
      </c>
      <c r="AK199" s="2">
        <v>2925.45</v>
      </c>
      <c r="AL199" t="str">
        <f>"$"</f>
        <v>$</v>
      </c>
    </row>
    <row r="200" spans="1:38" x14ac:dyDescent="0.3">
      <c r="A200" t="str">
        <f>"SO20000139"</f>
        <v>SO20000139</v>
      </c>
      <c r="B200" t="str">
        <f>"E000309670"</f>
        <v>E000309670</v>
      </c>
      <c r="C200" t="str">
        <f>"בוצעה"</f>
        <v>בוצעה</v>
      </c>
      <c r="E200" s="3">
        <v>43940</v>
      </c>
      <c r="F200" s="3">
        <v>44103</v>
      </c>
      <c r="G200" t="str">
        <f>"700065"</f>
        <v>700065</v>
      </c>
      <c r="H200" t="str">
        <f>"אלתא מערכות בע""מ"</f>
        <v>אלתא מערכות בע"מ</v>
      </c>
      <c r="I200" t="str">
        <f>"ערן שלו"</f>
        <v>ערן שלו</v>
      </c>
      <c r="J200" t="str">
        <f>"cust000452"</f>
        <v>cust000452</v>
      </c>
      <c r="K200" s="1" t="str">
        <f>"(1022H891-002 W11 -DC CABLE ASSY (MASTER אלתא"</f>
        <v>(1022H891-002 W11 -DC CABLE ASSY (MASTER אלתא</v>
      </c>
      <c r="L200">
        <v>4</v>
      </c>
      <c r="M200" t="str">
        <f>"PR20000210"</f>
        <v>PR20000210</v>
      </c>
      <c r="N200" t="str">
        <f>"32CH VIDEO CABLE"</f>
        <v>32CH VIDEO CABLE</v>
      </c>
      <c r="O200">
        <v>0</v>
      </c>
      <c r="P200" t="str">
        <f>"$"</f>
        <v>$</v>
      </c>
      <c r="Q200" t="str">
        <f>"117"</f>
        <v>117</v>
      </c>
      <c r="R200" t="str">
        <f>"רתמות"</f>
        <v>רתמות</v>
      </c>
      <c r="S200" t="str">
        <f>"034"</f>
        <v>034</v>
      </c>
      <c r="T200" t="str">
        <f>"גנם הודיה"</f>
        <v>גנם הודיה</v>
      </c>
      <c r="U200">
        <v>0</v>
      </c>
      <c r="V200">
        <v>0</v>
      </c>
      <c r="W200">
        <v>0</v>
      </c>
      <c r="X200">
        <v>0</v>
      </c>
      <c r="Z200" t="str">
        <f>"Y"</f>
        <v>Y</v>
      </c>
      <c r="AA200">
        <v>0</v>
      </c>
      <c r="AC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 t="str">
        <f>"$"</f>
        <v>$</v>
      </c>
    </row>
    <row r="201" spans="1:38" x14ac:dyDescent="0.3">
      <c r="A201" t="str">
        <f>"SO20000139"</f>
        <v>SO20000139</v>
      </c>
      <c r="B201" t="str">
        <f>"E000309670"</f>
        <v>E000309670</v>
      </c>
      <c r="C201" t="str">
        <f>"בוצעה"</f>
        <v>בוצעה</v>
      </c>
      <c r="E201" s="3">
        <v>43940</v>
      </c>
      <c r="F201" s="3">
        <v>44525</v>
      </c>
      <c r="G201" t="str">
        <f>"700065"</f>
        <v>700065</v>
      </c>
      <c r="H201" t="str">
        <f>"אלתא מערכות בע""מ"</f>
        <v>אלתא מערכות בע"מ</v>
      </c>
      <c r="I201" t="str">
        <f>"ערן שלו"</f>
        <v>ערן שלו</v>
      </c>
      <c r="J201" t="str">
        <f>"000"</f>
        <v>000</v>
      </c>
      <c r="K201" s="1" t="str">
        <f>"פריט חדש 30/03/21"</f>
        <v>פריט חדש 30/03/21</v>
      </c>
      <c r="L201">
        <v>1</v>
      </c>
      <c r="M201" t="str">
        <f>"PR20000210"</f>
        <v>PR20000210</v>
      </c>
      <c r="N201" t="str">
        <f>"32CH VIDEO CABLE"</f>
        <v>32CH VIDEO CABLE</v>
      </c>
      <c r="O201">
        <v>236.4</v>
      </c>
      <c r="P201" t="str">
        <f>"$"</f>
        <v>$</v>
      </c>
      <c r="Q201" t="str">
        <f>"117"</f>
        <v>117</v>
      </c>
      <c r="R201" t="str">
        <f>"רתמות"</f>
        <v>רתמות</v>
      </c>
      <c r="S201" t="str">
        <f>"034"</f>
        <v>034</v>
      </c>
      <c r="T201" t="str">
        <f>"גנם הודיה"</f>
        <v>גנם הודיה</v>
      </c>
      <c r="U201">
        <v>0</v>
      </c>
      <c r="V201">
        <v>0</v>
      </c>
      <c r="W201">
        <v>236.4</v>
      </c>
      <c r="X201">
        <v>236.4</v>
      </c>
      <c r="Z201" t="str">
        <f>"Y"</f>
        <v>Y</v>
      </c>
      <c r="AA201">
        <v>1</v>
      </c>
      <c r="AC201">
        <v>0</v>
      </c>
      <c r="AE201">
        <v>0</v>
      </c>
      <c r="AF201">
        <v>0</v>
      </c>
      <c r="AG201">
        <v>848.91</v>
      </c>
      <c r="AH201">
        <v>0</v>
      </c>
      <c r="AI201">
        <v>848.91</v>
      </c>
      <c r="AJ201">
        <v>236.4</v>
      </c>
      <c r="AK201">
        <v>236.4</v>
      </c>
      <c r="AL201" t="str">
        <f>"$"</f>
        <v>$</v>
      </c>
    </row>
    <row r="202" spans="1:38" x14ac:dyDescent="0.3">
      <c r="A202" t="str">
        <f>"SO20000141"</f>
        <v>SO20000141</v>
      </c>
      <c r="B202" t="str">
        <f>"E000308646"</f>
        <v>E000308646</v>
      </c>
      <c r="C202" t="str">
        <f>"בוצעה"</f>
        <v>בוצעה</v>
      </c>
      <c r="E202" s="3">
        <v>43940</v>
      </c>
      <c r="F202" s="3">
        <v>44028</v>
      </c>
      <c r="G202" t="str">
        <f>"700065"</f>
        <v>700065</v>
      </c>
      <c r="H202" t="str">
        <f>"אלתא מערכות בע""מ"</f>
        <v>אלתא מערכות בע"מ</v>
      </c>
      <c r="I202" t="str">
        <f>"ערן שלו"</f>
        <v>ערן שלו</v>
      </c>
      <c r="J202" t="str">
        <f>"OP-AR01696"</f>
        <v>OP-AR01696</v>
      </c>
      <c r="K202" s="1" t="str">
        <f>"1020B582-001 P.C.U W6 HARNESS INPUT AC 3 PHASE T"</f>
        <v>1020B582-001 P.C.U W6 HARNESS INPUT AC 3 PHASE T</v>
      </c>
      <c r="L202">
        <v>4</v>
      </c>
      <c r="M202" t="str">
        <f>"PR20000200"</f>
        <v>PR20000200</v>
      </c>
      <c r="N202" t="str">
        <f>"CABLE ASSY CTRL W"</f>
        <v>CABLE ASSY CTRL W</v>
      </c>
      <c r="O202">
        <v>324.37</v>
      </c>
      <c r="P202" t="str">
        <f>"$"</f>
        <v>$</v>
      </c>
      <c r="Q202" t="str">
        <f>"000"</f>
        <v>000</v>
      </c>
      <c r="R202" t="str">
        <f>"כללית"</f>
        <v>כללית</v>
      </c>
      <c r="S202" t="str">
        <f>"034"</f>
        <v>034</v>
      </c>
      <c r="T202" t="str">
        <f>"גנם הודיה"</f>
        <v>גנם הודיה</v>
      </c>
      <c r="U202">
        <v>0</v>
      </c>
      <c r="V202">
        <v>0</v>
      </c>
      <c r="W202">
        <v>324.37</v>
      </c>
      <c r="X202" s="2">
        <v>1297.48</v>
      </c>
      <c r="Z202" t="str">
        <f>"Y"</f>
        <v>Y</v>
      </c>
      <c r="AA202">
        <v>0</v>
      </c>
      <c r="AC202">
        <v>0</v>
      </c>
      <c r="AE202">
        <v>0</v>
      </c>
      <c r="AF202">
        <v>0</v>
      </c>
      <c r="AG202" s="2">
        <v>1164.81</v>
      </c>
      <c r="AH202">
        <v>0</v>
      </c>
      <c r="AI202" s="2">
        <v>4659.25</v>
      </c>
      <c r="AJ202" s="2">
        <v>1297.48</v>
      </c>
      <c r="AK202" s="2">
        <v>1297.48</v>
      </c>
      <c r="AL202" t="str">
        <f>"$"</f>
        <v>$</v>
      </c>
    </row>
    <row r="203" spans="1:38" x14ac:dyDescent="0.3">
      <c r="A203" t="str">
        <f>"SO20000141"</f>
        <v>SO20000141</v>
      </c>
      <c r="B203" t="str">
        <f>"E000308646"</f>
        <v>E000308646</v>
      </c>
      <c r="C203" t="str">
        <f>"בוצעה"</f>
        <v>בוצעה</v>
      </c>
      <c r="E203" s="3">
        <v>43940</v>
      </c>
      <c r="F203" s="3">
        <v>44024</v>
      </c>
      <c r="G203" t="str">
        <f>"700065"</f>
        <v>700065</v>
      </c>
      <c r="H203" t="str">
        <f>"אלתא מערכות בע""מ"</f>
        <v>אלתא מערכות בע"מ</v>
      </c>
      <c r="I203" t="str">
        <f>"ערן שלו"</f>
        <v>ערן שלו</v>
      </c>
      <c r="J203" t="str">
        <f>"OP-AR01697"</f>
        <v>OP-AR01697</v>
      </c>
      <c r="K203" s="1" t="str">
        <f>"NRE FOR E000308646"</f>
        <v>NRE FOR E000308646</v>
      </c>
      <c r="L203">
        <v>1</v>
      </c>
      <c r="M203" t="str">
        <f>"PR20000200"</f>
        <v>PR20000200</v>
      </c>
      <c r="N203" t="str">
        <f>"CABLE ASSY CTRL W"</f>
        <v>CABLE ASSY CTRL W</v>
      </c>
      <c r="O203">
        <v>250</v>
      </c>
      <c r="P203" t="str">
        <f>"$"</f>
        <v>$</v>
      </c>
      <c r="Q203" t="str">
        <f>"000"</f>
        <v>000</v>
      </c>
      <c r="R203" t="str">
        <f>"כללית"</f>
        <v>כללית</v>
      </c>
      <c r="S203" t="str">
        <f>"034"</f>
        <v>034</v>
      </c>
      <c r="T203" t="str">
        <f>"גנם הודיה"</f>
        <v>גנם הודיה</v>
      </c>
      <c r="U203">
        <v>0</v>
      </c>
      <c r="V203">
        <v>0</v>
      </c>
      <c r="W203">
        <v>250</v>
      </c>
      <c r="X203">
        <v>250</v>
      </c>
      <c r="Z203" t="str">
        <f>"Y"</f>
        <v>Y</v>
      </c>
      <c r="AA203">
        <v>0</v>
      </c>
      <c r="AC203">
        <v>0</v>
      </c>
      <c r="AE203">
        <v>0</v>
      </c>
      <c r="AF203">
        <v>0</v>
      </c>
      <c r="AG203">
        <v>897.75</v>
      </c>
      <c r="AH203">
        <v>0</v>
      </c>
      <c r="AI203">
        <v>897.75</v>
      </c>
      <c r="AJ203">
        <v>250</v>
      </c>
      <c r="AK203">
        <v>250</v>
      </c>
      <c r="AL203" t="str">
        <f>"$"</f>
        <v>$</v>
      </c>
    </row>
    <row r="204" spans="1:38" x14ac:dyDescent="0.3">
      <c r="A204" t="str">
        <f>"SO20000141"</f>
        <v>SO20000141</v>
      </c>
      <c r="B204" t="str">
        <f>"E000308646"</f>
        <v>E000308646</v>
      </c>
      <c r="C204" t="str">
        <f>"בוצעה"</f>
        <v>בוצעה</v>
      </c>
      <c r="E204" s="3">
        <v>43940</v>
      </c>
      <c r="F204" s="3">
        <v>44024</v>
      </c>
      <c r="G204" t="str">
        <f>"700065"</f>
        <v>700065</v>
      </c>
      <c r="H204" t="str">
        <f>"אלתא מערכות בע""מ"</f>
        <v>אלתא מערכות בע"מ</v>
      </c>
      <c r="I204" t="str">
        <f>"ערן שלו"</f>
        <v>ערן שלו</v>
      </c>
      <c r="J204" t="str">
        <f>"OP-AR01698"</f>
        <v>OP-AR01698</v>
      </c>
      <c r="K204" s="1" t="str">
        <f>"MOQ FOR E000308646"</f>
        <v>MOQ FOR E000308646</v>
      </c>
      <c r="L204">
        <v>1</v>
      </c>
      <c r="M204" t="str">
        <f>"PR20000200"</f>
        <v>PR20000200</v>
      </c>
      <c r="N204" t="str">
        <f>"CABLE ASSY CTRL W"</f>
        <v>CABLE ASSY CTRL W</v>
      </c>
      <c r="O204">
        <v>500</v>
      </c>
      <c r="P204" t="str">
        <f>"$"</f>
        <v>$</v>
      </c>
      <c r="Q204" t="str">
        <f>"000"</f>
        <v>000</v>
      </c>
      <c r="R204" t="str">
        <f>"כללית"</f>
        <v>כללית</v>
      </c>
      <c r="S204" t="str">
        <f>"034"</f>
        <v>034</v>
      </c>
      <c r="T204" t="str">
        <f>"גנם הודיה"</f>
        <v>גנם הודיה</v>
      </c>
      <c r="U204">
        <v>0</v>
      </c>
      <c r="V204">
        <v>0</v>
      </c>
      <c r="W204">
        <v>500</v>
      </c>
      <c r="X204">
        <v>500</v>
      </c>
      <c r="Z204" t="str">
        <f>"Y"</f>
        <v>Y</v>
      </c>
      <c r="AA204">
        <v>0</v>
      </c>
      <c r="AC204">
        <v>0</v>
      </c>
      <c r="AE204">
        <v>0</v>
      </c>
      <c r="AF204">
        <v>0</v>
      </c>
      <c r="AG204" s="2">
        <v>1795.5</v>
      </c>
      <c r="AH204">
        <v>0</v>
      </c>
      <c r="AI204" s="2">
        <v>1795.5</v>
      </c>
      <c r="AJ204">
        <v>500</v>
      </c>
      <c r="AK204">
        <v>500</v>
      </c>
      <c r="AL204" t="str">
        <f>"$"</f>
        <v>$</v>
      </c>
    </row>
    <row r="205" spans="1:38" x14ac:dyDescent="0.3">
      <c r="A205" t="str">
        <f>"SO20000141"</f>
        <v>SO20000141</v>
      </c>
      <c r="B205" t="str">
        <f>"E000308646"</f>
        <v>E000308646</v>
      </c>
      <c r="C205" t="str">
        <f>"בוצעה"</f>
        <v>בוצעה</v>
      </c>
      <c r="E205" s="3">
        <v>43940</v>
      </c>
      <c r="F205" s="3">
        <v>44024</v>
      </c>
      <c r="G205" t="str">
        <f>"700065"</f>
        <v>700065</v>
      </c>
      <c r="H205" t="str">
        <f>"אלתא מערכות בע""מ"</f>
        <v>אלתא מערכות בע"מ</v>
      </c>
      <c r="I205" t="str">
        <f>"ערן שלו"</f>
        <v>ערן שלו</v>
      </c>
      <c r="J205" t="str">
        <f>"OP-AR01701"</f>
        <v>OP-AR01701</v>
      </c>
      <c r="K205" s="1" t="str">
        <f>"1020B573-003 P.C.U W2 HARNESS MOTOR POWER"</f>
        <v>1020B573-003 P.C.U W2 HARNESS MOTOR POWER</v>
      </c>
      <c r="L205">
        <v>1</v>
      </c>
      <c r="M205" t="str">
        <f>"PR20000697"</f>
        <v>PR20000697</v>
      </c>
      <c r="N205" t="str">
        <f>"פרויקט המשך לפרויקט 200"</f>
        <v>פרויקט המשך לפרויקט 200</v>
      </c>
      <c r="O205">
        <v>663.36</v>
      </c>
      <c r="P205" t="str">
        <f>"$"</f>
        <v>$</v>
      </c>
      <c r="Q205" t="str">
        <f>"000"</f>
        <v>000</v>
      </c>
      <c r="R205" t="str">
        <f>"כללית"</f>
        <v>כללית</v>
      </c>
      <c r="S205" t="str">
        <f>"034"</f>
        <v>034</v>
      </c>
      <c r="T205" t="str">
        <f>"גנם הודיה"</f>
        <v>גנם הודיה</v>
      </c>
      <c r="U205">
        <v>0</v>
      </c>
      <c r="V205">
        <v>0</v>
      </c>
      <c r="W205">
        <v>663.36</v>
      </c>
      <c r="X205">
        <v>663.36</v>
      </c>
      <c r="Z205" t="str">
        <f>"Y"</f>
        <v>Y</v>
      </c>
      <c r="AA205">
        <v>0</v>
      </c>
      <c r="AC205">
        <v>0</v>
      </c>
      <c r="AE205">
        <v>0</v>
      </c>
      <c r="AF205">
        <v>0</v>
      </c>
      <c r="AG205" s="2">
        <v>2382.13</v>
      </c>
      <c r="AH205">
        <v>0</v>
      </c>
      <c r="AI205" s="2">
        <v>2382.13</v>
      </c>
      <c r="AJ205">
        <v>663.36</v>
      </c>
      <c r="AK205">
        <v>663.36</v>
      </c>
      <c r="AL205" t="str">
        <f>"$"</f>
        <v>$</v>
      </c>
    </row>
    <row r="206" spans="1:38" x14ac:dyDescent="0.3">
      <c r="A206" t="str">
        <f>"SO20000141"</f>
        <v>SO20000141</v>
      </c>
      <c r="B206" t="str">
        <f>"E000308646"</f>
        <v>E000308646</v>
      </c>
      <c r="C206" t="str">
        <f>"בוצעה"</f>
        <v>בוצעה</v>
      </c>
      <c r="E206" s="3">
        <v>43940</v>
      </c>
      <c r="F206" s="3">
        <v>44024</v>
      </c>
      <c r="G206" t="str">
        <f>"700065"</f>
        <v>700065</v>
      </c>
      <c r="H206" t="str">
        <f>"אלתא מערכות בע""מ"</f>
        <v>אלתא מערכות בע"מ</v>
      </c>
      <c r="I206" t="str">
        <f>"ערן שלו"</f>
        <v>ערן שלו</v>
      </c>
      <c r="J206" t="str">
        <f>"OP-AR01699"</f>
        <v>OP-AR01699</v>
      </c>
      <c r="K206" s="1" t="str">
        <f>"1028G927-001 CABLE ASSY CTRL W2"</f>
        <v>1028G927-001 CABLE ASSY CTRL W2</v>
      </c>
      <c r="L206">
        <v>1</v>
      </c>
      <c r="M206" t="str">
        <f>"PR20000200"</f>
        <v>PR20000200</v>
      </c>
      <c r="N206" t="str">
        <f>"CABLE ASSY CTRL W"</f>
        <v>CABLE ASSY CTRL W</v>
      </c>
      <c r="O206">
        <v>280.77999999999997</v>
      </c>
      <c r="P206" t="str">
        <f>"$"</f>
        <v>$</v>
      </c>
      <c r="Q206" t="str">
        <f>"000"</f>
        <v>000</v>
      </c>
      <c r="R206" t="str">
        <f>"כללית"</f>
        <v>כללית</v>
      </c>
      <c r="S206" t="str">
        <f>"034"</f>
        <v>034</v>
      </c>
      <c r="T206" t="str">
        <f>"גנם הודיה"</f>
        <v>גנם הודיה</v>
      </c>
      <c r="U206">
        <v>0</v>
      </c>
      <c r="V206">
        <v>0</v>
      </c>
      <c r="W206">
        <v>280.77999999999997</v>
      </c>
      <c r="X206">
        <v>280.77999999999997</v>
      </c>
      <c r="Z206" t="str">
        <f>"Y"</f>
        <v>Y</v>
      </c>
      <c r="AA206">
        <v>0</v>
      </c>
      <c r="AC206">
        <v>0</v>
      </c>
      <c r="AE206">
        <v>0</v>
      </c>
      <c r="AF206">
        <v>0</v>
      </c>
      <c r="AG206" s="2">
        <v>1008.28</v>
      </c>
      <c r="AH206">
        <v>0</v>
      </c>
      <c r="AI206" s="2">
        <v>1008.28</v>
      </c>
      <c r="AJ206">
        <v>280.77999999999997</v>
      </c>
      <c r="AK206">
        <v>280.77999999999997</v>
      </c>
      <c r="AL206" t="str">
        <f>"$"</f>
        <v>$</v>
      </c>
    </row>
    <row r="207" spans="1:38" x14ac:dyDescent="0.3">
      <c r="A207" t="str">
        <f>"SO20000141"</f>
        <v>SO20000141</v>
      </c>
      <c r="B207" t="str">
        <f>"E000308646"</f>
        <v>E000308646</v>
      </c>
      <c r="C207" t="str">
        <f>"בוצעה"</f>
        <v>בוצעה</v>
      </c>
      <c r="E207" s="3">
        <v>43940</v>
      </c>
      <c r="F207" s="3">
        <v>44024</v>
      </c>
      <c r="G207" t="str">
        <f>"700065"</f>
        <v>700065</v>
      </c>
      <c r="H207" t="str">
        <f>"אלתא מערכות בע""מ"</f>
        <v>אלתא מערכות בע"מ</v>
      </c>
      <c r="I207" t="str">
        <f>"ערן שלו"</f>
        <v>ערן שלו</v>
      </c>
      <c r="J207" t="str">
        <f>"OP-AR01700"</f>
        <v>OP-AR01700</v>
      </c>
      <c r="K207" s="1" t="str">
        <f>"2019E570-001 CABLE ASSY POWER W1"</f>
        <v>2019E570-001 CABLE ASSY POWER W1</v>
      </c>
      <c r="L207">
        <v>1</v>
      </c>
      <c r="M207" t="str">
        <f>"PR20000200"</f>
        <v>PR20000200</v>
      </c>
      <c r="N207" t="str">
        <f>"CABLE ASSY CTRL W"</f>
        <v>CABLE ASSY CTRL W</v>
      </c>
      <c r="O207">
        <v>688.09</v>
      </c>
      <c r="P207" t="str">
        <f>"$"</f>
        <v>$</v>
      </c>
      <c r="Q207" t="str">
        <f>"000"</f>
        <v>000</v>
      </c>
      <c r="R207" t="str">
        <f>"כללית"</f>
        <v>כללית</v>
      </c>
      <c r="S207" t="str">
        <f>"034"</f>
        <v>034</v>
      </c>
      <c r="T207" t="str">
        <f>"גנם הודיה"</f>
        <v>גנם הודיה</v>
      </c>
      <c r="U207">
        <v>0</v>
      </c>
      <c r="V207">
        <v>0</v>
      </c>
      <c r="W207">
        <v>688.09</v>
      </c>
      <c r="X207">
        <v>688.09</v>
      </c>
      <c r="Z207" t="str">
        <f>"Y"</f>
        <v>Y</v>
      </c>
      <c r="AA207">
        <v>0</v>
      </c>
      <c r="AC207">
        <v>0</v>
      </c>
      <c r="AE207">
        <v>0</v>
      </c>
      <c r="AF207">
        <v>0</v>
      </c>
      <c r="AG207" s="2">
        <v>2470.9299999999998</v>
      </c>
      <c r="AH207">
        <v>0</v>
      </c>
      <c r="AI207" s="2">
        <v>2470.9299999999998</v>
      </c>
      <c r="AJ207">
        <v>688.09</v>
      </c>
      <c r="AK207">
        <v>688.09</v>
      </c>
      <c r="AL207" t="str">
        <f>"$"</f>
        <v>$</v>
      </c>
    </row>
    <row r="208" spans="1:38" x14ac:dyDescent="0.3">
      <c r="A208" t="str">
        <f>"SO20000141"</f>
        <v>SO20000141</v>
      </c>
      <c r="B208" t="str">
        <f>"E000308646"</f>
        <v>E000308646</v>
      </c>
      <c r="C208" t="str">
        <f>"בוצעה"</f>
        <v>בוצעה</v>
      </c>
      <c r="E208" s="3">
        <v>43940</v>
      </c>
      <c r="F208" s="3">
        <v>44024</v>
      </c>
      <c r="G208" t="str">
        <f>"700065"</f>
        <v>700065</v>
      </c>
      <c r="H208" t="str">
        <f>"אלתא מערכות בע""מ"</f>
        <v>אלתא מערכות בע"מ</v>
      </c>
      <c r="I208" t="str">
        <f>"ערן שלו"</f>
        <v>ערן שלו</v>
      </c>
      <c r="J208" t="str">
        <f>"OP-AR01701"</f>
        <v>OP-AR01701</v>
      </c>
      <c r="K208" s="1" t="str">
        <f>"1020B573-003 P.C.U W2 HARNESS MOTOR POWER"</f>
        <v>1020B573-003 P.C.U W2 HARNESS MOTOR POWER</v>
      </c>
      <c r="L208">
        <v>4</v>
      </c>
      <c r="M208" t="str">
        <f>"PR20000200"</f>
        <v>PR20000200</v>
      </c>
      <c r="N208" t="str">
        <f>"CABLE ASSY CTRL W"</f>
        <v>CABLE ASSY CTRL W</v>
      </c>
      <c r="O208">
        <v>663.36</v>
      </c>
      <c r="P208" t="str">
        <f>"$"</f>
        <v>$</v>
      </c>
      <c r="Q208" t="str">
        <f>"000"</f>
        <v>000</v>
      </c>
      <c r="R208" t="str">
        <f>"כללית"</f>
        <v>כללית</v>
      </c>
      <c r="S208" t="str">
        <f>"034"</f>
        <v>034</v>
      </c>
      <c r="T208" t="str">
        <f>"גנם הודיה"</f>
        <v>גנם הודיה</v>
      </c>
      <c r="U208">
        <v>0</v>
      </c>
      <c r="V208">
        <v>0</v>
      </c>
      <c r="W208">
        <v>663.36</v>
      </c>
      <c r="X208" s="2">
        <v>2653.44</v>
      </c>
      <c r="Z208" t="str">
        <f>"Y"</f>
        <v>Y</v>
      </c>
      <c r="AA208">
        <v>0</v>
      </c>
      <c r="AC208">
        <v>0</v>
      </c>
      <c r="AE208">
        <v>0</v>
      </c>
      <c r="AF208">
        <v>0</v>
      </c>
      <c r="AG208" s="2">
        <v>2382.13</v>
      </c>
      <c r="AH208">
        <v>0</v>
      </c>
      <c r="AI208" s="2">
        <v>9528.5</v>
      </c>
      <c r="AJ208" s="2">
        <v>2653.44</v>
      </c>
      <c r="AK208" s="2">
        <v>2653.44</v>
      </c>
      <c r="AL208" t="str">
        <f>"$"</f>
        <v>$</v>
      </c>
    </row>
    <row r="209" spans="1:38" x14ac:dyDescent="0.3">
      <c r="A209" t="str">
        <f>"SO20000141"</f>
        <v>SO20000141</v>
      </c>
      <c r="B209" t="str">
        <f>"E000308646"</f>
        <v>E000308646</v>
      </c>
      <c r="C209" t="str">
        <f>"בוצעה"</f>
        <v>בוצעה</v>
      </c>
      <c r="E209" s="3">
        <v>43940</v>
      </c>
      <c r="F209" s="3">
        <v>44024</v>
      </c>
      <c r="G209" t="str">
        <f>"700065"</f>
        <v>700065</v>
      </c>
      <c r="H209" t="str">
        <f>"אלתא מערכות בע""מ"</f>
        <v>אלתא מערכות בע"מ</v>
      </c>
      <c r="I209" t="str">
        <f>"ערן שלו"</f>
        <v>ערן שלו</v>
      </c>
      <c r="J209" t="str">
        <f>"OP-AR01702"</f>
        <v>OP-AR01702</v>
      </c>
      <c r="K209" s="1" t="str">
        <f>"1020B584-003 P.C.U HARN/W7/ABS NC/DATA POS"</f>
        <v>1020B584-003 P.C.U HARN/W7/ABS NC/DATA POS</v>
      </c>
      <c r="L209">
        <v>4</v>
      </c>
      <c r="M209" t="str">
        <f>"PR20000200"</f>
        <v>PR20000200</v>
      </c>
      <c r="N209" t="str">
        <f>"CABLE ASSY CTRL W"</f>
        <v>CABLE ASSY CTRL W</v>
      </c>
      <c r="O209" s="2">
        <v>1400.15</v>
      </c>
      <c r="P209" t="str">
        <f>"$"</f>
        <v>$</v>
      </c>
      <c r="Q209" t="str">
        <f>"000"</f>
        <v>000</v>
      </c>
      <c r="R209" t="str">
        <f>"כללית"</f>
        <v>כללית</v>
      </c>
      <c r="S209" t="str">
        <f>"034"</f>
        <v>034</v>
      </c>
      <c r="T209" t="str">
        <f>"גנם הודיה"</f>
        <v>גנם הודיה</v>
      </c>
      <c r="U209">
        <v>0</v>
      </c>
      <c r="V209">
        <v>0</v>
      </c>
      <c r="W209" s="2">
        <v>1400.15</v>
      </c>
      <c r="X209" s="2">
        <v>5600.6</v>
      </c>
      <c r="Z209" t="str">
        <f>"Y"</f>
        <v>Y</v>
      </c>
      <c r="AA209">
        <v>0</v>
      </c>
      <c r="AC209">
        <v>0</v>
      </c>
      <c r="AE209">
        <v>0</v>
      </c>
      <c r="AF209">
        <v>0</v>
      </c>
      <c r="AG209" s="2">
        <v>5027.9399999999996</v>
      </c>
      <c r="AH209">
        <v>0</v>
      </c>
      <c r="AI209" s="2">
        <v>20111.75</v>
      </c>
      <c r="AJ209" s="2">
        <v>5600.6</v>
      </c>
      <c r="AK209" s="2">
        <v>5600.6</v>
      </c>
      <c r="AL209" t="str">
        <f>"$"</f>
        <v>$</v>
      </c>
    </row>
    <row r="210" spans="1:38" x14ac:dyDescent="0.3">
      <c r="A210" t="str">
        <f>"SO20000141"</f>
        <v>SO20000141</v>
      </c>
      <c r="B210" t="str">
        <f>"E000308646"</f>
        <v>E000308646</v>
      </c>
      <c r="C210" t="str">
        <f>"בוצעה"</f>
        <v>בוצעה</v>
      </c>
      <c r="E210" s="3">
        <v>43940</v>
      </c>
      <c r="F210" s="3">
        <v>44024</v>
      </c>
      <c r="G210" t="str">
        <f>"700065"</f>
        <v>700065</v>
      </c>
      <c r="H210" t="str">
        <f>"אלתא מערכות בע""מ"</f>
        <v>אלתא מערכות בע"מ</v>
      </c>
      <c r="I210" t="str">
        <f>"ערן שלו"</f>
        <v>ערן שלו</v>
      </c>
      <c r="J210" t="str">
        <f>"OP-AR01703"</f>
        <v>OP-AR01703</v>
      </c>
      <c r="K210" s="1" t="str">
        <f>"1020B570-001 P.C.U HARNESS W4"</f>
        <v>1020B570-001 P.C.U HARNESS W4</v>
      </c>
      <c r="L210">
        <v>4</v>
      </c>
      <c r="M210" t="str">
        <f>"PR20000200"</f>
        <v>PR20000200</v>
      </c>
      <c r="N210" t="str">
        <f>"CABLE ASSY CTRL W"</f>
        <v>CABLE ASSY CTRL W</v>
      </c>
      <c r="O210">
        <v>178.18</v>
      </c>
      <c r="P210" t="str">
        <f>"$"</f>
        <v>$</v>
      </c>
      <c r="Q210" t="str">
        <f>"000"</f>
        <v>000</v>
      </c>
      <c r="R210" t="str">
        <f>"כללית"</f>
        <v>כללית</v>
      </c>
      <c r="S210" t="str">
        <f>"034"</f>
        <v>034</v>
      </c>
      <c r="T210" t="str">
        <f>"גנם הודיה"</f>
        <v>גנם הודיה</v>
      </c>
      <c r="U210">
        <v>0</v>
      </c>
      <c r="V210">
        <v>0</v>
      </c>
      <c r="W210">
        <v>178.18</v>
      </c>
      <c r="X210">
        <v>712.72</v>
      </c>
      <c r="Z210" t="str">
        <f>"Y"</f>
        <v>Y</v>
      </c>
      <c r="AA210">
        <v>0</v>
      </c>
      <c r="AC210">
        <v>0</v>
      </c>
      <c r="AE210">
        <v>0</v>
      </c>
      <c r="AF210">
        <v>0</v>
      </c>
      <c r="AG210">
        <v>639.84</v>
      </c>
      <c r="AH210">
        <v>0</v>
      </c>
      <c r="AI210" s="2">
        <v>2559.38</v>
      </c>
      <c r="AJ210">
        <v>712.72</v>
      </c>
      <c r="AK210">
        <v>712.72</v>
      </c>
      <c r="AL210" t="str">
        <f>"$"</f>
        <v>$</v>
      </c>
    </row>
    <row r="211" spans="1:38" x14ac:dyDescent="0.3">
      <c r="A211" t="str">
        <f>"SO20000141"</f>
        <v>SO20000141</v>
      </c>
      <c r="B211" t="str">
        <f>"E000308646"</f>
        <v>E000308646</v>
      </c>
      <c r="C211" t="str">
        <f>"בוצעה"</f>
        <v>בוצעה</v>
      </c>
      <c r="E211" s="3">
        <v>43940</v>
      </c>
      <c r="F211" s="3">
        <v>44012</v>
      </c>
      <c r="G211" t="str">
        <f>"700065"</f>
        <v>700065</v>
      </c>
      <c r="H211" t="str">
        <f>"אלתא מערכות בע""מ"</f>
        <v>אלתא מערכות בע"מ</v>
      </c>
      <c r="I211" t="str">
        <f>"ערן שלו"</f>
        <v>ערן שלו</v>
      </c>
      <c r="J211" t="str">
        <f>"OP-AR01703"</f>
        <v>OP-AR01703</v>
      </c>
      <c r="K211" s="1" t="str">
        <f>"1020B570-001 P.C.U HARNESS W4"</f>
        <v>1020B570-001 P.C.U HARNESS W4</v>
      </c>
      <c r="L211">
        <v>1</v>
      </c>
      <c r="M211" t="str">
        <f>"PR20000697"</f>
        <v>PR20000697</v>
      </c>
      <c r="N211" t="str">
        <f>"פרויקט המשך לפרויקט 200"</f>
        <v>פרויקט המשך לפרויקט 200</v>
      </c>
      <c r="O211">
        <v>178.18</v>
      </c>
      <c r="P211" t="str">
        <f>"$"</f>
        <v>$</v>
      </c>
      <c r="Q211" t="str">
        <f>"000"</f>
        <v>000</v>
      </c>
      <c r="R211" t="str">
        <f>"כללית"</f>
        <v>כללית</v>
      </c>
      <c r="S211" t="str">
        <f>"034"</f>
        <v>034</v>
      </c>
      <c r="T211" t="str">
        <f>"גנם הודיה"</f>
        <v>גנם הודיה</v>
      </c>
      <c r="U211">
        <v>0</v>
      </c>
      <c r="V211">
        <v>0</v>
      </c>
      <c r="W211">
        <v>178.18</v>
      </c>
      <c r="X211">
        <v>178.18</v>
      </c>
      <c r="Z211" t="str">
        <f>"Y"</f>
        <v>Y</v>
      </c>
      <c r="AA211">
        <v>0</v>
      </c>
      <c r="AC211">
        <v>0</v>
      </c>
      <c r="AE211">
        <v>0</v>
      </c>
      <c r="AF211">
        <v>0</v>
      </c>
      <c r="AG211">
        <v>639.84</v>
      </c>
      <c r="AH211">
        <v>0</v>
      </c>
      <c r="AI211">
        <v>639.84</v>
      </c>
      <c r="AJ211">
        <v>178.18</v>
      </c>
      <c r="AK211">
        <v>178.18</v>
      </c>
      <c r="AL211" t="str">
        <f>"$"</f>
        <v>$</v>
      </c>
    </row>
    <row r="212" spans="1:38" x14ac:dyDescent="0.3">
      <c r="A212" t="str">
        <f>"SO20000141"</f>
        <v>SO20000141</v>
      </c>
      <c r="B212" t="str">
        <f>"E000308646"</f>
        <v>E000308646</v>
      </c>
      <c r="C212" t="str">
        <f>"בוצעה"</f>
        <v>בוצעה</v>
      </c>
      <c r="E212" s="3">
        <v>43940</v>
      </c>
      <c r="F212" s="3">
        <v>44012</v>
      </c>
      <c r="G212" t="str">
        <f>"700065"</f>
        <v>700065</v>
      </c>
      <c r="H212" t="str">
        <f>"אלתא מערכות בע""מ"</f>
        <v>אלתא מערכות בע"מ</v>
      </c>
      <c r="I212" t="str">
        <f>"ערן שלו"</f>
        <v>ערן שלו</v>
      </c>
      <c r="J212" t="str">
        <f>"OP-AR01702"</f>
        <v>OP-AR01702</v>
      </c>
      <c r="K212" s="1" t="str">
        <f>"1020B584-003 P.C.U HARN/W7/ABS NC/DATA POS"</f>
        <v>1020B584-003 P.C.U HARN/W7/ABS NC/DATA POS</v>
      </c>
      <c r="L212">
        <v>1</v>
      </c>
      <c r="M212" t="str">
        <f>"PR20000697"</f>
        <v>PR20000697</v>
      </c>
      <c r="N212" t="str">
        <f>"פרויקט המשך לפרויקט 200"</f>
        <v>פרויקט המשך לפרויקט 200</v>
      </c>
      <c r="O212" s="2">
        <v>1400.15</v>
      </c>
      <c r="P212" t="str">
        <f>"$"</f>
        <v>$</v>
      </c>
      <c r="Q212" t="str">
        <f>"000"</f>
        <v>000</v>
      </c>
      <c r="R212" t="str">
        <f>"כללית"</f>
        <v>כללית</v>
      </c>
      <c r="S212" t="str">
        <f>"034"</f>
        <v>034</v>
      </c>
      <c r="T212" t="str">
        <f>"גנם הודיה"</f>
        <v>גנם הודיה</v>
      </c>
      <c r="U212">
        <v>0</v>
      </c>
      <c r="V212">
        <v>0</v>
      </c>
      <c r="W212" s="2">
        <v>1400.15</v>
      </c>
      <c r="X212" s="2">
        <v>1400.15</v>
      </c>
      <c r="Z212" t="str">
        <f>"Y"</f>
        <v>Y</v>
      </c>
      <c r="AA212">
        <v>0</v>
      </c>
      <c r="AC212">
        <v>0</v>
      </c>
      <c r="AE212">
        <v>0</v>
      </c>
      <c r="AF212">
        <v>0</v>
      </c>
      <c r="AG212" s="2">
        <v>5027.9399999999996</v>
      </c>
      <c r="AH212">
        <v>0</v>
      </c>
      <c r="AI212" s="2">
        <v>5027.9399999999996</v>
      </c>
      <c r="AJ212" s="2">
        <v>1400.15</v>
      </c>
      <c r="AK212" s="2">
        <v>1400.15</v>
      </c>
      <c r="AL212" t="str">
        <f>"$"</f>
        <v>$</v>
      </c>
    </row>
    <row r="213" spans="1:38" x14ac:dyDescent="0.3">
      <c r="A213" t="str">
        <f>"SO20000141"</f>
        <v>SO20000141</v>
      </c>
      <c r="B213" t="str">
        <f>"E000308646"</f>
        <v>E000308646</v>
      </c>
      <c r="C213" t="str">
        <f>"בוצעה"</f>
        <v>בוצעה</v>
      </c>
      <c r="E213" s="3">
        <v>43940</v>
      </c>
      <c r="F213" s="3">
        <v>44012</v>
      </c>
      <c r="G213" t="str">
        <f>"700065"</f>
        <v>700065</v>
      </c>
      <c r="H213" t="str">
        <f>"אלתא מערכות בע""מ"</f>
        <v>אלתא מערכות בע"מ</v>
      </c>
      <c r="I213" t="str">
        <f>"ערן שלו"</f>
        <v>ערן שלו</v>
      </c>
      <c r="J213" t="str">
        <f>"OP-AR01696"</f>
        <v>OP-AR01696</v>
      </c>
      <c r="K213" s="1" t="str">
        <f>"1020B582-001 P.C.U W6 HARNESS INPUT AC 3 PHASE T"</f>
        <v>1020B582-001 P.C.U W6 HARNESS INPUT AC 3 PHASE T</v>
      </c>
      <c r="L213">
        <v>1</v>
      </c>
      <c r="M213" t="str">
        <f>"PR20000697"</f>
        <v>PR20000697</v>
      </c>
      <c r="N213" t="str">
        <f>"פרויקט המשך לפרויקט 200"</f>
        <v>פרויקט המשך לפרויקט 200</v>
      </c>
      <c r="O213">
        <v>324.37</v>
      </c>
      <c r="P213" t="str">
        <f>"$"</f>
        <v>$</v>
      </c>
      <c r="Q213" t="str">
        <f>"000"</f>
        <v>000</v>
      </c>
      <c r="R213" t="str">
        <f>"כללית"</f>
        <v>כללית</v>
      </c>
      <c r="S213" t="str">
        <f>"034"</f>
        <v>034</v>
      </c>
      <c r="T213" t="str">
        <f>"גנם הודיה"</f>
        <v>גנם הודיה</v>
      </c>
      <c r="U213">
        <v>0</v>
      </c>
      <c r="V213">
        <v>0</v>
      </c>
      <c r="W213">
        <v>324.37</v>
      </c>
      <c r="X213">
        <v>324.37</v>
      </c>
      <c r="Z213" t="str">
        <f>"Y"</f>
        <v>Y</v>
      </c>
      <c r="AA213">
        <v>0</v>
      </c>
      <c r="AC213">
        <v>0</v>
      </c>
      <c r="AE213">
        <v>0</v>
      </c>
      <c r="AF213">
        <v>0</v>
      </c>
      <c r="AG213" s="2">
        <v>1164.81</v>
      </c>
      <c r="AH213">
        <v>0</v>
      </c>
      <c r="AI213" s="2">
        <v>1164.81</v>
      </c>
      <c r="AJ213">
        <v>324.37</v>
      </c>
      <c r="AK213">
        <v>324.37</v>
      </c>
      <c r="AL213" t="str">
        <f>"$"</f>
        <v>$</v>
      </c>
    </row>
    <row r="214" spans="1:38" x14ac:dyDescent="0.3">
      <c r="A214" t="str">
        <f>"SO20000144"</f>
        <v>SO20000144</v>
      </c>
      <c r="B214" t="str">
        <f>"E000310458"</f>
        <v>E000310458</v>
      </c>
      <c r="C214" t="str">
        <f>"בוצעה"</f>
        <v>בוצעה</v>
      </c>
      <c r="E214" s="3">
        <v>43940</v>
      </c>
      <c r="F214" s="3">
        <v>44042</v>
      </c>
      <c r="G214" t="str">
        <f>"700065"</f>
        <v>700065</v>
      </c>
      <c r="H214" t="str">
        <f>"אלתא מערכות בע""מ"</f>
        <v>אלתא מערכות בע"מ</v>
      </c>
      <c r="I214" t="str">
        <f>"ערן שלו"</f>
        <v>ערן שלו</v>
      </c>
      <c r="J214" t="str">
        <f>"OP-AR01716"</f>
        <v>OP-AR01716</v>
      </c>
      <c r="K214" s="1" t="str">
        <f>"4050B381-001 HARNESS W381 - KEY LOAD SSTU"</f>
        <v>4050B381-001 HARNESS W381 - KEY LOAD SSTU</v>
      </c>
      <c r="L214">
        <v>10</v>
      </c>
      <c r="M214" t="str">
        <f>"PR20000217"</f>
        <v>PR20000217</v>
      </c>
      <c r="N214" t="str">
        <f>"HARNESS W381 - KEY LOAD SSTU"</f>
        <v>HARNESS W381 - KEY LOAD SSTU</v>
      </c>
      <c r="O214">
        <v>211.52</v>
      </c>
      <c r="P214" t="str">
        <f>"$"</f>
        <v>$</v>
      </c>
      <c r="Q214" t="str">
        <f>"000"</f>
        <v>000</v>
      </c>
      <c r="R214" t="str">
        <f>"כללית"</f>
        <v>כללית</v>
      </c>
      <c r="S214" t="str">
        <f>"034"</f>
        <v>034</v>
      </c>
      <c r="T214" t="str">
        <f>"גנם הודיה"</f>
        <v>גנם הודיה</v>
      </c>
      <c r="U214">
        <v>0</v>
      </c>
      <c r="V214">
        <v>0</v>
      </c>
      <c r="W214">
        <v>211.52</v>
      </c>
      <c r="X214" s="2">
        <v>2115.1999999999998</v>
      </c>
      <c r="Z214" t="str">
        <f>"Y"</f>
        <v>Y</v>
      </c>
      <c r="AA214">
        <v>0</v>
      </c>
      <c r="AC214">
        <v>0</v>
      </c>
      <c r="AE214">
        <v>0</v>
      </c>
      <c r="AF214">
        <v>0</v>
      </c>
      <c r="AG214">
        <v>759.57</v>
      </c>
      <c r="AH214">
        <v>0</v>
      </c>
      <c r="AI214" s="2">
        <v>7595.68</v>
      </c>
      <c r="AJ214" s="2">
        <v>2115.1999999999998</v>
      </c>
      <c r="AK214" s="2">
        <v>2115.1999999999998</v>
      </c>
      <c r="AL214" t="str">
        <f>"$"</f>
        <v>$</v>
      </c>
    </row>
    <row r="215" spans="1:38" x14ac:dyDescent="0.3">
      <c r="A215" t="str">
        <f>"SO20000144"</f>
        <v>SO20000144</v>
      </c>
      <c r="B215" t="str">
        <f>"E000310458"</f>
        <v>E000310458</v>
      </c>
      <c r="C215" t="str">
        <f>"בוצעה"</f>
        <v>בוצעה</v>
      </c>
      <c r="E215" s="3">
        <v>43940</v>
      </c>
      <c r="F215" s="3">
        <v>44042</v>
      </c>
      <c r="G215" t="str">
        <f>"700065"</f>
        <v>700065</v>
      </c>
      <c r="H215" t="str">
        <f>"אלתא מערכות בע""מ"</f>
        <v>אלתא מערכות בע"מ</v>
      </c>
      <c r="I215" t="str">
        <f>"ערן שלו"</f>
        <v>ערן שלו</v>
      </c>
      <c r="J215" t="str">
        <f>"OP-AR01717"</f>
        <v>OP-AR01717</v>
      </c>
      <c r="K215" s="1" t="str">
        <f>"NRE FOR E000310458"</f>
        <v>NRE FOR E000310458</v>
      </c>
      <c r="L215">
        <v>1</v>
      </c>
      <c r="M215" t="str">
        <f>"PR20000217"</f>
        <v>PR20000217</v>
      </c>
      <c r="N215" t="str">
        <f>"HARNESS W381 - KEY LOAD SSTU"</f>
        <v>HARNESS W381 - KEY LOAD SSTU</v>
      </c>
      <c r="O215">
        <v>65</v>
      </c>
      <c r="P215" t="str">
        <f>"$"</f>
        <v>$</v>
      </c>
      <c r="Q215" t="str">
        <f>"000"</f>
        <v>000</v>
      </c>
      <c r="R215" t="str">
        <f>"כללית"</f>
        <v>כללית</v>
      </c>
      <c r="S215" t="str">
        <f>"034"</f>
        <v>034</v>
      </c>
      <c r="T215" t="str">
        <f>"גנם הודיה"</f>
        <v>גנם הודיה</v>
      </c>
      <c r="U215">
        <v>0</v>
      </c>
      <c r="V215">
        <v>0</v>
      </c>
      <c r="W215">
        <v>65</v>
      </c>
      <c r="X215">
        <v>65</v>
      </c>
      <c r="Z215" t="str">
        <f>"Y"</f>
        <v>Y</v>
      </c>
      <c r="AA215">
        <v>1</v>
      </c>
      <c r="AC215">
        <v>0</v>
      </c>
      <c r="AE215">
        <v>0</v>
      </c>
      <c r="AF215">
        <v>0</v>
      </c>
      <c r="AG215">
        <v>233.42</v>
      </c>
      <c r="AH215">
        <v>0</v>
      </c>
      <c r="AI215">
        <v>233.42</v>
      </c>
      <c r="AJ215">
        <v>65</v>
      </c>
      <c r="AK215">
        <v>65</v>
      </c>
      <c r="AL215" t="str">
        <f>"$"</f>
        <v>$</v>
      </c>
    </row>
    <row r="216" spans="1:38" x14ac:dyDescent="0.3">
      <c r="A216" t="str">
        <f>"SO20000145"</f>
        <v>SO20000145</v>
      </c>
      <c r="B216" t="str">
        <f>"E000310245"</f>
        <v>E000310245</v>
      </c>
      <c r="C216" t="str">
        <f>"בוצעה"</f>
        <v>בוצעה</v>
      </c>
      <c r="E216" s="3">
        <v>43940</v>
      </c>
      <c r="F216" s="3">
        <v>43999</v>
      </c>
      <c r="G216" t="str">
        <f>"700065"</f>
        <v>700065</v>
      </c>
      <c r="H216" t="str">
        <f>"אלתא מערכות בע""מ"</f>
        <v>אלתא מערכות בע"מ</v>
      </c>
      <c r="I216" t="str">
        <f>"ערן שלו"</f>
        <v>ערן שלו</v>
      </c>
      <c r="J216" t="str">
        <f>"OP-AR01715"</f>
        <v>OP-AR01715</v>
      </c>
      <c r="K216" s="1" t="str">
        <f>"1032M387-002 PC4 CABLE- REWORK"</f>
        <v>1032M387-002 PC4 CABLE- REWORK</v>
      </c>
      <c r="L216">
        <v>1</v>
      </c>
      <c r="M216" t="str">
        <f>"PR20000216"</f>
        <v>PR20000216</v>
      </c>
      <c r="N216" t="str">
        <f>"PC4 CABLE- REWORK"</f>
        <v>PC4 CABLE- REWORK</v>
      </c>
      <c r="O216">
        <v>368.51</v>
      </c>
      <c r="P216" t="str">
        <f>"$"</f>
        <v>$</v>
      </c>
      <c r="Q216" t="str">
        <f>"000"</f>
        <v>000</v>
      </c>
      <c r="R216" t="str">
        <f>"כללית"</f>
        <v>כללית</v>
      </c>
      <c r="S216" t="str">
        <f>"034"</f>
        <v>034</v>
      </c>
      <c r="T216" t="str">
        <f>"גנם הודיה"</f>
        <v>גנם הודיה</v>
      </c>
      <c r="U216">
        <v>0</v>
      </c>
      <c r="V216">
        <v>0</v>
      </c>
      <c r="W216">
        <v>368.51</v>
      </c>
      <c r="X216">
        <v>368.51</v>
      </c>
      <c r="Z216" t="str">
        <f>"Y"</f>
        <v>Y</v>
      </c>
      <c r="AA216">
        <v>0</v>
      </c>
      <c r="AC216">
        <v>0</v>
      </c>
      <c r="AE216">
        <v>0</v>
      </c>
      <c r="AF216">
        <v>0</v>
      </c>
      <c r="AG216" s="2">
        <v>1323.32</v>
      </c>
      <c r="AH216">
        <v>0</v>
      </c>
      <c r="AI216" s="2">
        <v>1323.32</v>
      </c>
      <c r="AJ216">
        <v>368.51</v>
      </c>
      <c r="AK216">
        <v>368.51</v>
      </c>
      <c r="AL216" t="str">
        <f>"$"</f>
        <v>$</v>
      </c>
    </row>
    <row r="217" spans="1:38" x14ac:dyDescent="0.3">
      <c r="A217" t="str">
        <f>"SO20000168"</f>
        <v>SO20000168</v>
      </c>
      <c r="B217" t="str">
        <f>"E000310582"</f>
        <v>E000310582</v>
      </c>
      <c r="C217" t="str">
        <f>"בוצעה"</f>
        <v>בוצעה</v>
      </c>
      <c r="E217" s="3">
        <v>43948</v>
      </c>
      <c r="F217" s="3">
        <v>43992</v>
      </c>
      <c r="G217" t="str">
        <f>"700065"</f>
        <v>700065</v>
      </c>
      <c r="H217" t="str">
        <f>"אלתא מערכות בע""מ"</f>
        <v>אלתא מערכות בע"מ</v>
      </c>
      <c r="I217" t="str">
        <f>"ערן שלו"</f>
        <v>ערן שלו</v>
      </c>
      <c r="J217" t="str">
        <f>"CB1500011"</f>
        <v>CB1500011</v>
      </c>
      <c r="K217" s="1" t="str">
        <f>"כבל תקן ימי XTCuZ1-K 4x10"</f>
        <v>כבל תקן ימי XTCuZ1-K 4x10</v>
      </c>
      <c r="L217" s="4">
        <v>1200</v>
      </c>
      <c r="M217" t="str">
        <f>"PR19000400"</f>
        <v>PR19000400</v>
      </c>
      <c r="N217" t="str">
        <f>"פרויקט ראשי - BELL7"</f>
        <v>פרויקט ראשי - BELL7</v>
      </c>
      <c r="O217">
        <v>9.8000000000000007</v>
      </c>
      <c r="P217" t="str">
        <f>"$"</f>
        <v>$</v>
      </c>
      <c r="Q217" t="str">
        <f>"000"</f>
        <v>000</v>
      </c>
      <c r="R217" t="str">
        <f>"כללית"</f>
        <v>כללית</v>
      </c>
      <c r="S217" t="str">
        <f>"034"</f>
        <v>034</v>
      </c>
      <c r="T217" t="str">
        <f>"גנם הודיה"</f>
        <v>גנם הודיה</v>
      </c>
      <c r="U217">
        <v>0</v>
      </c>
      <c r="V217">
        <v>0</v>
      </c>
      <c r="W217">
        <v>9.8000000000000007</v>
      </c>
      <c r="X217" s="2">
        <v>11760</v>
      </c>
      <c r="Z217" t="str">
        <f>"Y"</f>
        <v>Y</v>
      </c>
      <c r="AA217">
        <v>0</v>
      </c>
      <c r="AC217">
        <v>0</v>
      </c>
      <c r="AE217">
        <v>0</v>
      </c>
      <c r="AF217">
        <v>0</v>
      </c>
      <c r="AG217">
        <v>34.450000000000003</v>
      </c>
      <c r="AH217">
        <v>0</v>
      </c>
      <c r="AI217" s="2">
        <v>41336.400000000001</v>
      </c>
      <c r="AJ217" s="2">
        <v>11760</v>
      </c>
      <c r="AK217" s="2">
        <v>11760</v>
      </c>
      <c r="AL217" t="str">
        <f>"$"</f>
        <v>$</v>
      </c>
    </row>
    <row r="218" spans="1:38" x14ac:dyDescent="0.3">
      <c r="A218" t="str">
        <f>"SO20000168"</f>
        <v>SO20000168</v>
      </c>
      <c r="B218" t="str">
        <f>"E000310582"</f>
        <v>E000310582</v>
      </c>
      <c r="C218" t="str">
        <f>"בוצעה"</f>
        <v>בוצעה</v>
      </c>
      <c r="E218" s="3">
        <v>43948</v>
      </c>
      <c r="F218" s="3">
        <v>43992</v>
      </c>
      <c r="G218" t="str">
        <f>"700065"</f>
        <v>700065</v>
      </c>
      <c r="H218" t="str">
        <f>"אלתא מערכות בע""מ"</f>
        <v>אלתא מערכות בע"מ</v>
      </c>
      <c r="I218" t="str">
        <f>"ערן שלו"</f>
        <v>ערן שלו</v>
      </c>
      <c r="J218" t="str">
        <f>"CB1500011"</f>
        <v>CB1500011</v>
      </c>
      <c r="K218" s="1" t="str">
        <f>"כבל תקן ימי XTCuZ1-K 4x10"</f>
        <v>כבל תקן ימי XTCuZ1-K 4x10</v>
      </c>
      <c r="L218" s="4">
        <v>1200</v>
      </c>
      <c r="M218" t="str">
        <f>"PR19000400"</f>
        <v>PR19000400</v>
      </c>
      <c r="N218" t="str">
        <f>"פרויקט ראשי - BELL7"</f>
        <v>פרויקט ראשי - BELL7</v>
      </c>
      <c r="O218">
        <v>9.8000000000000007</v>
      </c>
      <c r="P218" t="str">
        <f>"$"</f>
        <v>$</v>
      </c>
      <c r="Q218" t="str">
        <f>"000"</f>
        <v>000</v>
      </c>
      <c r="R218" t="str">
        <f>"כללית"</f>
        <v>כללית</v>
      </c>
      <c r="S218" t="str">
        <f>"034"</f>
        <v>034</v>
      </c>
      <c r="T218" t="str">
        <f>"גנם הודיה"</f>
        <v>גנם הודיה</v>
      </c>
      <c r="U218">
        <v>0</v>
      </c>
      <c r="V218">
        <v>0</v>
      </c>
      <c r="W218">
        <v>9.8000000000000007</v>
      </c>
      <c r="X218" s="2">
        <v>11760</v>
      </c>
      <c r="Z218" t="str">
        <f>"Y"</f>
        <v>Y</v>
      </c>
      <c r="AA218">
        <v>0</v>
      </c>
      <c r="AC218">
        <v>0</v>
      </c>
      <c r="AE218">
        <v>0</v>
      </c>
      <c r="AF218">
        <v>0</v>
      </c>
      <c r="AG218">
        <v>34.450000000000003</v>
      </c>
      <c r="AH218">
        <v>0</v>
      </c>
      <c r="AI218" s="2">
        <v>41336.400000000001</v>
      </c>
      <c r="AJ218" s="2">
        <v>11760</v>
      </c>
      <c r="AK218" s="2">
        <v>11760</v>
      </c>
      <c r="AL218" t="str">
        <f>"$"</f>
        <v>$</v>
      </c>
    </row>
    <row r="219" spans="1:38" x14ac:dyDescent="0.3">
      <c r="A219" t="str">
        <f>"SO20000168"</f>
        <v>SO20000168</v>
      </c>
      <c r="B219" t="str">
        <f>"E000310582"</f>
        <v>E000310582</v>
      </c>
      <c r="C219" t="str">
        <f>"בוצעה"</f>
        <v>בוצעה</v>
      </c>
      <c r="E219" s="3">
        <v>43948</v>
      </c>
      <c r="F219" s="3">
        <v>43992</v>
      </c>
      <c r="G219" t="str">
        <f>"700065"</f>
        <v>700065</v>
      </c>
      <c r="H219" t="str">
        <f>"אלתא מערכות בע""מ"</f>
        <v>אלתא מערכות בע"מ</v>
      </c>
      <c r="I219" t="str">
        <f>"ערן שלו"</f>
        <v>ערן שלו</v>
      </c>
      <c r="J219" t="str">
        <f>"CB1500011"</f>
        <v>CB1500011</v>
      </c>
      <c r="K219" s="1" t="str">
        <f>"כבל תקן ימי XTCuZ1-K 4x10"</f>
        <v>כבל תקן ימי XTCuZ1-K 4x10</v>
      </c>
      <c r="L219" s="4">
        <v>1250</v>
      </c>
      <c r="M219" t="str">
        <f>"PR19000400"</f>
        <v>PR19000400</v>
      </c>
      <c r="N219" t="str">
        <f>"פרויקט ראשי - BELL7"</f>
        <v>פרויקט ראשי - BELL7</v>
      </c>
      <c r="O219">
        <v>9.8000000000000007</v>
      </c>
      <c r="P219" t="str">
        <f>"$"</f>
        <v>$</v>
      </c>
      <c r="Q219" t="str">
        <f>"000"</f>
        <v>000</v>
      </c>
      <c r="R219" t="str">
        <f>"כללית"</f>
        <v>כללית</v>
      </c>
      <c r="S219" t="str">
        <f>"034"</f>
        <v>034</v>
      </c>
      <c r="T219" t="str">
        <f>"גנם הודיה"</f>
        <v>גנם הודיה</v>
      </c>
      <c r="U219">
        <v>0</v>
      </c>
      <c r="V219">
        <v>0</v>
      </c>
      <c r="W219">
        <v>9.8000000000000007</v>
      </c>
      <c r="X219" s="2">
        <v>12250</v>
      </c>
      <c r="Z219" t="str">
        <f>"Y"</f>
        <v>Y</v>
      </c>
      <c r="AA219">
        <v>0</v>
      </c>
      <c r="AC219">
        <v>0</v>
      </c>
      <c r="AE219">
        <v>0</v>
      </c>
      <c r="AF219">
        <v>0</v>
      </c>
      <c r="AG219">
        <v>34.450000000000003</v>
      </c>
      <c r="AH219">
        <v>0</v>
      </c>
      <c r="AI219" s="2">
        <v>43058.75</v>
      </c>
      <c r="AJ219" s="2">
        <v>12250</v>
      </c>
      <c r="AK219" s="2">
        <v>12250</v>
      </c>
      <c r="AL219" t="str">
        <f>"$"</f>
        <v>$</v>
      </c>
    </row>
    <row r="220" spans="1:38" x14ac:dyDescent="0.3">
      <c r="A220" t="str">
        <f>"SO20000168"</f>
        <v>SO20000168</v>
      </c>
      <c r="B220" t="str">
        <f>"E000310582"</f>
        <v>E000310582</v>
      </c>
      <c r="C220" t="str">
        <f>"בוצעה"</f>
        <v>בוצעה</v>
      </c>
      <c r="E220" s="3">
        <v>43948</v>
      </c>
      <c r="F220" s="3">
        <v>43992</v>
      </c>
      <c r="G220" t="str">
        <f>"700065"</f>
        <v>700065</v>
      </c>
      <c r="H220" t="str">
        <f>"אלתא מערכות בע""מ"</f>
        <v>אלתא מערכות בע"מ</v>
      </c>
      <c r="I220" t="str">
        <f>"ערן שלו"</f>
        <v>ערן שלו</v>
      </c>
      <c r="J220" t="str">
        <f>"CB1500009"</f>
        <v>CB1500009</v>
      </c>
      <c r="K220" s="1" t="str">
        <f>"כבל תקן ימי XTCuZ1-K 4x16"</f>
        <v>כבל תקן ימי XTCuZ1-K 4x16</v>
      </c>
      <c r="L220">
        <v>100</v>
      </c>
      <c r="M220" t="str">
        <f>"PR19000400"</f>
        <v>PR19000400</v>
      </c>
      <c r="N220" t="str">
        <f>"פרויקט ראשי - BELL7"</f>
        <v>פרויקט ראשי - BELL7</v>
      </c>
      <c r="O220">
        <v>13.5</v>
      </c>
      <c r="P220" t="str">
        <f>"$"</f>
        <v>$</v>
      </c>
      <c r="Q220" t="str">
        <f>"000"</f>
        <v>000</v>
      </c>
      <c r="R220" t="str">
        <f>"כללית"</f>
        <v>כללית</v>
      </c>
      <c r="S220" t="str">
        <f>"034"</f>
        <v>034</v>
      </c>
      <c r="T220" t="str">
        <f>"גנם הודיה"</f>
        <v>גנם הודיה</v>
      </c>
      <c r="U220">
        <v>0</v>
      </c>
      <c r="V220">
        <v>0</v>
      </c>
      <c r="W220">
        <v>13.5</v>
      </c>
      <c r="X220" s="2">
        <v>1350</v>
      </c>
      <c r="Z220" t="str">
        <f>"Y"</f>
        <v>Y</v>
      </c>
      <c r="AA220">
        <v>0</v>
      </c>
      <c r="AC220">
        <v>0</v>
      </c>
      <c r="AE220">
        <v>0</v>
      </c>
      <c r="AF220">
        <v>0</v>
      </c>
      <c r="AG220">
        <v>47.45</v>
      </c>
      <c r="AH220">
        <v>0</v>
      </c>
      <c r="AI220" s="2">
        <v>4745.25</v>
      </c>
      <c r="AJ220" s="2">
        <v>1350</v>
      </c>
      <c r="AK220" s="2">
        <v>1350</v>
      </c>
      <c r="AL220" t="str">
        <f>"$"</f>
        <v>$</v>
      </c>
    </row>
    <row r="221" spans="1:38" x14ac:dyDescent="0.3">
      <c r="A221" t="str">
        <f>"SO20000168"</f>
        <v>SO20000168</v>
      </c>
      <c r="B221" t="str">
        <f>"E000310582"</f>
        <v>E000310582</v>
      </c>
      <c r="C221" t="str">
        <f>"בוצעה"</f>
        <v>בוצעה</v>
      </c>
      <c r="E221" s="3">
        <v>43948</v>
      </c>
      <c r="F221" s="3">
        <v>43992</v>
      </c>
      <c r="G221" t="str">
        <f>"700065"</f>
        <v>700065</v>
      </c>
      <c r="H221" t="str">
        <f>"אלתא מערכות בע""מ"</f>
        <v>אלתא מערכות בע"מ</v>
      </c>
      <c r="I221" t="str">
        <f>"ערן שלו"</f>
        <v>ערן שלו</v>
      </c>
      <c r="J221" t="str">
        <f>"CB1500009"</f>
        <v>CB1500009</v>
      </c>
      <c r="K221" s="1" t="str">
        <f>"כבל תקן ימי XTCuZ1-K 4x16"</f>
        <v>כבל תקן ימי XTCuZ1-K 4x16</v>
      </c>
      <c r="L221">
        <v>100</v>
      </c>
      <c r="M221" t="str">
        <f>"PR19000400"</f>
        <v>PR19000400</v>
      </c>
      <c r="N221" t="str">
        <f>"פרויקט ראשי - BELL7"</f>
        <v>פרויקט ראשי - BELL7</v>
      </c>
      <c r="O221">
        <v>13.5</v>
      </c>
      <c r="P221" t="str">
        <f>"$"</f>
        <v>$</v>
      </c>
      <c r="Q221" t="str">
        <f>"000"</f>
        <v>000</v>
      </c>
      <c r="R221" t="str">
        <f>"כללית"</f>
        <v>כללית</v>
      </c>
      <c r="S221" t="str">
        <f>"034"</f>
        <v>034</v>
      </c>
      <c r="T221" t="str">
        <f>"גנם הודיה"</f>
        <v>גנם הודיה</v>
      </c>
      <c r="U221">
        <v>0</v>
      </c>
      <c r="V221">
        <v>0</v>
      </c>
      <c r="W221">
        <v>13.5</v>
      </c>
      <c r="X221" s="2">
        <v>1350</v>
      </c>
      <c r="Z221" t="str">
        <f>"Y"</f>
        <v>Y</v>
      </c>
      <c r="AA221">
        <v>0</v>
      </c>
      <c r="AC221">
        <v>0</v>
      </c>
      <c r="AE221">
        <v>0</v>
      </c>
      <c r="AF221">
        <v>0</v>
      </c>
      <c r="AG221">
        <v>47.45</v>
      </c>
      <c r="AH221">
        <v>0</v>
      </c>
      <c r="AI221" s="2">
        <v>4745.25</v>
      </c>
      <c r="AJ221" s="2">
        <v>1350</v>
      </c>
      <c r="AK221" s="2">
        <v>1350</v>
      </c>
      <c r="AL221" t="str">
        <f>"$"</f>
        <v>$</v>
      </c>
    </row>
    <row r="222" spans="1:38" x14ac:dyDescent="0.3">
      <c r="A222" t="str">
        <f>"SO20000168"</f>
        <v>SO20000168</v>
      </c>
      <c r="B222" t="str">
        <f>"E000310582"</f>
        <v>E000310582</v>
      </c>
      <c r="C222" t="str">
        <f>"בוצעה"</f>
        <v>בוצעה</v>
      </c>
      <c r="E222" s="3">
        <v>43948</v>
      </c>
      <c r="F222" s="3">
        <v>43992</v>
      </c>
      <c r="G222" t="str">
        <f>"700065"</f>
        <v>700065</v>
      </c>
      <c r="H222" t="str">
        <f>"אלתא מערכות בע""מ"</f>
        <v>אלתא מערכות בע"מ</v>
      </c>
      <c r="I222" t="str">
        <f>"ערן שלו"</f>
        <v>ערן שלו</v>
      </c>
      <c r="J222" t="str">
        <f>"CB1500009"</f>
        <v>CB1500009</v>
      </c>
      <c r="K222" s="1" t="str">
        <f>"כבל תקן ימי XTCuZ1-K 4x16"</f>
        <v>כבל תקן ימי XTCuZ1-K 4x16</v>
      </c>
      <c r="L222">
        <v>100</v>
      </c>
      <c r="M222" t="str">
        <f>"PR19000400"</f>
        <v>PR19000400</v>
      </c>
      <c r="N222" t="str">
        <f>"פרויקט ראשי - BELL7"</f>
        <v>פרויקט ראשי - BELL7</v>
      </c>
      <c r="O222">
        <v>13.5</v>
      </c>
      <c r="P222" t="str">
        <f>"$"</f>
        <v>$</v>
      </c>
      <c r="Q222" t="str">
        <f>"000"</f>
        <v>000</v>
      </c>
      <c r="R222" t="str">
        <f>"כללית"</f>
        <v>כללית</v>
      </c>
      <c r="S222" t="str">
        <f>"034"</f>
        <v>034</v>
      </c>
      <c r="T222" t="str">
        <f>"גנם הודיה"</f>
        <v>גנם הודיה</v>
      </c>
      <c r="U222">
        <v>0</v>
      </c>
      <c r="V222">
        <v>0</v>
      </c>
      <c r="W222">
        <v>13.5</v>
      </c>
      <c r="X222" s="2">
        <v>1350</v>
      </c>
      <c r="Z222" t="str">
        <f>"Y"</f>
        <v>Y</v>
      </c>
      <c r="AA222">
        <v>0</v>
      </c>
      <c r="AC222">
        <v>0</v>
      </c>
      <c r="AE222">
        <v>0</v>
      </c>
      <c r="AF222">
        <v>0</v>
      </c>
      <c r="AG222">
        <v>47.45</v>
      </c>
      <c r="AH222">
        <v>0</v>
      </c>
      <c r="AI222" s="2">
        <v>4745.25</v>
      </c>
      <c r="AJ222" s="2">
        <v>1350</v>
      </c>
      <c r="AK222" s="2">
        <v>1350</v>
      </c>
      <c r="AL222" t="str">
        <f>"$"</f>
        <v>$</v>
      </c>
    </row>
    <row r="223" spans="1:38" x14ac:dyDescent="0.3">
      <c r="A223" t="str">
        <f>"SO20000168"</f>
        <v>SO20000168</v>
      </c>
      <c r="B223" t="str">
        <f>"E000310582"</f>
        <v>E000310582</v>
      </c>
      <c r="C223" t="str">
        <f>"בוצעה"</f>
        <v>בוצעה</v>
      </c>
      <c r="E223" s="3">
        <v>43948</v>
      </c>
      <c r="F223" s="3">
        <v>43992</v>
      </c>
      <c r="G223" t="str">
        <f>"700065"</f>
        <v>700065</v>
      </c>
      <c r="H223" t="str">
        <f>"אלתא מערכות בע""מ"</f>
        <v>אלתא מערכות בע"מ</v>
      </c>
      <c r="I223" t="str">
        <f>"ערן שלו"</f>
        <v>ערן שלו</v>
      </c>
      <c r="J223" t="str">
        <f>"CB1500010"</f>
        <v>CB1500010</v>
      </c>
      <c r="K223" s="1" t="str">
        <f>"כבל תקן ימי XTCuZ1-K 4x50"</f>
        <v>כבל תקן ימי XTCuZ1-K 4x50</v>
      </c>
      <c r="L223">
        <v>40</v>
      </c>
      <c r="M223" t="str">
        <f>"PR19000400"</f>
        <v>PR19000400</v>
      </c>
      <c r="N223" t="str">
        <f>"פרויקט ראשי - BELL7"</f>
        <v>פרויקט ראשי - BELL7</v>
      </c>
      <c r="O223">
        <v>38.5</v>
      </c>
      <c r="P223" t="str">
        <f>"$"</f>
        <v>$</v>
      </c>
      <c r="Q223" t="str">
        <f>"000"</f>
        <v>000</v>
      </c>
      <c r="R223" t="str">
        <f>"כללית"</f>
        <v>כללית</v>
      </c>
      <c r="S223" t="str">
        <f>"034"</f>
        <v>034</v>
      </c>
      <c r="T223" t="str">
        <f>"גנם הודיה"</f>
        <v>גנם הודיה</v>
      </c>
      <c r="U223">
        <v>0</v>
      </c>
      <c r="V223">
        <v>0</v>
      </c>
      <c r="W223">
        <v>38.5</v>
      </c>
      <c r="X223" s="2">
        <v>1540</v>
      </c>
      <c r="Z223" t="str">
        <f>"Y"</f>
        <v>Y</v>
      </c>
      <c r="AA223">
        <v>0</v>
      </c>
      <c r="AC223">
        <v>0</v>
      </c>
      <c r="AE223">
        <v>0</v>
      </c>
      <c r="AF223">
        <v>0</v>
      </c>
      <c r="AG223">
        <v>135.33000000000001</v>
      </c>
      <c r="AH223">
        <v>0</v>
      </c>
      <c r="AI223" s="2">
        <v>5413.1</v>
      </c>
      <c r="AJ223" s="2">
        <v>1540</v>
      </c>
      <c r="AK223" s="2">
        <v>1540</v>
      </c>
      <c r="AL223" t="str">
        <f>"$"</f>
        <v>$</v>
      </c>
    </row>
    <row r="224" spans="1:38" x14ac:dyDescent="0.3">
      <c r="A224" t="str">
        <f>"SO20000168"</f>
        <v>SO20000168</v>
      </c>
      <c r="B224" t="str">
        <f>"E000310582"</f>
        <v>E000310582</v>
      </c>
      <c r="C224" t="str">
        <f>"בוצעה"</f>
        <v>בוצעה</v>
      </c>
      <c r="E224" s="3">
        <v>43948</v>
      </c>
      <c r="F224" s="3">
        <v>43992</v>
      </c>
      <c r="G224" t="str">
        <f>"700065"</f>
        <v>700065</v>
      </c>
      <c r="H224" t="str">
        <f>"אלתא מערכות בע""מ"</f>
        <v>אלתא מערכות בע"מ</v>
      </c>
      <c r="I224" t="str">
        <f>"ערן שלו"</f>
        <v>ערן שלו</v>
      </c>
      <c r="J224" t="str">
        <f>"CB1500010"</f>
        <v>CB1500010</v>
      </c>
      <c r="K224" s="1" t="str">
        <f>"כבל תקן ימי XTCuZ1-K 4x50"</f>
        <v>כבל תקן ימי XTCuZ1-K 4x50</v>
      </c>
      <c r="L224">
        <v>25</v>
      </c>
      <c r="M224" t="str">
        <f>"PR19000400"</f>
        <v>PR19000400</v>
      </c>
      <c r="N224" t="str">
        <f>"פרויקט ראשי - BELL7"</f>
        <v>פרויקט ראשי - BELL7</v>
      </c>
      <c r="O224">
        <v>38.5</v>
      </c>
      <c r="P224" t="str">
        <f>"$"</f>
        <v>$</v>
      </c>
      <c r="Q224" t="str">
        <f>"000"</f>
        <v>000</v>
      </c>
      <c r="R224" t="str">
        <f>"כללית"</f>
        <v>כללית</v>
      </c>
      <c r="S224" t="str">
        <f>"034"</f>
        <v>034</v>
      </c>
      <c r="T224" t="str">
        <f>"גנם הודיה"</f>
        <v>גנם הודיה</v>
      </c>
      <c r="U224">
        <v>0</v>
      </c>
      <c r="V224">
        <v>0</v>
      </c>
      <c r="W224">
        <v>38.5</v>
      </c>
      <c r="X224">
        <v>962.5</v>
      </c>
      <c r="Z224" t="str">
        <f>"Y"</f>
        <v>Y</v>
      </c>
      <c r="AA224">
        <v>0</v>
      </c>
      <c r="AC224">
        <v>0</v>
      </c>
      <c r="AE224">
        <v>0</v>
      </c>
      <c r="AF224">
        <v>0</v>
      </c>
      <c r="AG224">
        <v>135.33000000000001</v>
      </c>
      <c r="AH224">
        <v>0</v>
      </c>
      <c r="AI224" s="2">
        <v>3383.19</v>
      </c>
      <c r="AJ224">
        <v>962.5</v>
      </c>
      <c r="AK224">
        <v>962.5</v>
      </c>
      <c r="AL224" t="str">
        <f>"$"</f>
        <v>$</v>
      </c>
    </row>
    <row r="225" spans="1:38" x14ac:dyDescent="0.3">
      <c r="A225" t="str">
        <f>"SO20000168"</f>
        <v>SO20000168</v>
      </c>
      <c r="B225" t="str">
        <f>"E000310582"</f>
        <v>E000310582</v>
      </c>
      <c r="C225" t="str">
        <f>"בוצעה"</f>
        <v>בוצעה</v>
      </c>
      <c r="E225" s="3">
        <v>43948</v>
      </c>
      <c r="F225" s="3">
        <v>43992</v>
      </c>
      <c r="G225" t="str">
        <f>"700065"</f>
        <v>700065</v>
      </c>
      <c r="H225" t="str">
        <f>"אלתא מערכות בע""מ"</f>
        <v>אלתא מערכות בע"מ</v>
      </c>
      <c r="I225" t="str">
        <f>"ערן שלו"</f>
        <v>ערן שלו</v>
      </c>
      <c r="J225" t="str">
        <f>"CB1500010"</f>
        <v>CB1500010</v>
      </c>
      <c r="K225" s="1" t="str">
        <f>"כבל תקן ימי XTCuZ1-K 4x50"</f>
        <v>כבל תקן ימי XTCuZ1-K 4x50</v>
      </c>
      <c r="L225">
        <v>40</v>
      </c>
      <c r="M225" t="str">
        <f>"PR19000400"</f>
        <v>PR19000400</v>
      </c>
      <c r="N225" t="str">
        <f>"פרויקט ראשי - BELL7"</f>
        <v>פרויקט ראשי - BELL7</v>
      </c>
      <c r="O225">
        <v>38.5</v>
      </c>
      <c r="P225" t="str">
        <f>"$"</f>
        <v>$</v>
      </c>
      <c r="Q225" t="str">
        <f>"000"</f>
        <v>000</v>
      </c>
      <c r="R225" t="str">
        <f>"כללית"</f>
        <v>כללית</v>
      </c>
      <c r="S225" t="str">
        <f>"034"</f>
        <v>034</v>
      </c>
      <c r="T225" t="str">
        <f>"גנם הודיה"</f>
        <v>גנם הודיה</v>
      </c>
      <c r="U225">
        <v>0</v>
      </c>
      <c r="V225">
        <v>0</v>
      </c>
      <c r="W225">
        <v>38.5</v>
      </c>
      <c r="X225" s="2">
        <v>1540</v>
      </c>
      <c r="Z225" t="str">
        <f>"Y"</f>
        <v>Y</v>
      </c>
      <c r="AA225">
        <v>0</v>
      </c>
      <c r="AC225">
        <v>0</v>
      </c>
      <c r="AE225">
        <v>0</v>
      </c>
      <c r="AF225">
        <v>0</v>
      </c>
      <c r="AG225">
        <v>135.33000000000001</v>
      </c>
      <c r="AH225">
        <v>0</v>
      </c>
      <c r="AI225" s="2">
        <v>5413.1</v>
      </c>
      <c r="AJ225" s="2">
        <v>1540</v>
      </c>
      <c r="AK225" s="2">
        <v>1540</v>
      </c>
      <c r="AL225" t="str">
        <f>"$"</f>
        <v>$</v>
      </c>
    </row>
    <row r="226" spans="1:38" x14ac:dyDescent="0.3">
      <c r="A226" t="str">
        <f>"SO20000168"</f>
        <v>SO20000168</v>
      </c>
      <c r="B226" t="str">
        <f>"E000310582"</f>
        <v>E000310582</v>
      </c>
      <c r="C226" t="str">
        <f>"בוצעה"</f>
        <v>בוצעה</v>
      </c>
      <c r="E226" s="3">
        <v>43948</v>
      </c>
      <c r="F226" s="3">
        <v>43992</v>
      </c>
      <c r="G226" t="str">
        <f>"700065"</f>
        <v>700065</v>
      </c>
      <c r="H226" t="str">
        <f>"אלתא מערכות בע""מ"</f>
        <v>אלתא מערכות בע"מ</v>
      </c>
      <c r="I226" t="str">
        <f>"ערן שלו"</f>
        <v>ערן שלו</v>
      </c>
      <c r="J226" t="str">
        <f>"000"</f>
        <v>000</v>
      </c>
      <c r="K226" s="1" t="str">
        <f>"משלוח אווירי"</f>
        <v>משלוח אווירי</v>
      </c>
      <c r="L226">
        <v>1</v>
      </c>
      <c r="M226" t="str">
        <f>"PR19000400"</f>
        <v>PR19000400</v>
      </c>
      <c r="N226" t="str">
        <f>"פרויקט ראשי - BELL7"</f>
        <v>פרויקט ראשי - BELL7</v>
      </c>
      <c r="O226" s="2">
        <v>3900</v>
      </c>
      <c r="P226" t="str">
        <f>"$"</f>
        <v>$</v>
      </c>
      <c r="Q226" t="str">
        <f>"000"</f>
        <v>000</v>
      </c>
      <c r="R226" t="str">
        <f>"כללית"</f>
        <v>כללית</v>
      </c>
      <c r="S226" t="str">
        <f>"034"</f>
        <v>034</v>
      </c>
      <c r="T226" t="str">
        <f>"גנם הודיה"</f>
        <v>גנם הודיה</v>
      </c>
      <c r="U226">
        <v>0</v>
      </c>
      <c r="V226">
        <v>0</v>
      </c>
      <c r="W226" s="2">
        <v>3900</v>
      </c>
      <c r="X226" s="2">
        <v>3900</v>
      </c>
      <c r="Z226" t="str">
        <f>"Y"</f>
        <v>Y</v>
      </c>
      <c r="AA226">
        <v>1</v>
      </c>
      <c r="AC226">
        <v>0</v>
      </c>
      <c r="AE226">
        <v>0</v>
      </c>
      <c r="AF226">
        <v>0</v>
      </c>
      <c r="AG226" s="2">
        <v>13708.5</v>
      </c>
      <c r="AH226">
        <v>0</v>
      </c>
      <c r="AI226" s="2">
        <v>13708.5</v>
      </c>
      <c r="AJ226" s="2">
        <v>3900</v>
      </c>
      <c r="AK226" s="2">
        <v>3900</v>
      </c>
      <c r="AL226" t="str">
        <f>"$"</f>
        <v>$</v>
      </c>
    </row>
    <row r="227" spans="1:38" x14ac:dyDescent="0.3">
      <c r="A227" t="str">
        <f>"SO20000168"</f>
        <v>SO20000168</v>
      </c>
      <c r="B227" t="str">
        <f>"E000310582"</f>
        <v>E000310582</v>
      </c>
      <c r="C227" t="str">
        <f>"בוצעה"</f>
        <v>בוצעה</v>
      </c>
      <c r="E227" s="3">
        <v>43948</v>
      </c>
      <c r="F227" s="3">
        <v>44111</v>
      </c>
      <c r="G227" t="str">
        <f>"700065"</f>
        <v>700065</v>
      </c>
      <c r="H227" t="str">
        <f>"אלתא מערכות בע""מ"</f>
        <v>אלתא מערכות בע"מ</v>
      </c>
      <c r="I227" t="str">
        <f>"ערן שלו"</f>
        <v>ערן שלו</v>
      </c>
      <c r="J227" t="str">
        <f>"000"</f>
        <v>000</v>
      </c>
      <c r="K227" s="1" t="str">
        <f>"חיוב פיגורים חשבונית SI206000608"</f>
        <v>חיוב פיגורים חשבונית SI206000608</v>
      </c>
      <c r="L227">
        <v>0</v>
      </c>
      <c r="M227" t="str">
        <f>"PR19000400"</f>
        <v>PR19000400</v>
      </c>
      <c r="N227" t="str">
        <f>"פרויקט ראשי - BELL7"</f>
        <v>פרויקט ראשי - BELL7</v>
      </c>
      <c r="O227">
        <v>0</v>
      </c>
      <c r="P227" t="str">
        <f>"$"</f>
        <v>$</v>
      </c>
      <c r="Q227" t="str">
        <f>"000"</f>
        <v>000</v>
      </c>
      <c r="R227" t="str">
        <f>"כללית"</f>
        <v>כללית</v>
      </c>
      <c r="S227" t="str">
        <f>"034"</f>
        <v>034</v>
      </c>
      <c r="T227" t="str">
        <f>"גנם הודיה"</f>
        <v>גנם הודיה</v>
      </c>
      <c r="U227">
        <v>0</v>
      </c>
      <c r="V227">
        <v>0</v>
      </c>
      <c r="W227">
        <v>0</v>
      </c>
      <c r="X227">
        <v>0</v>
      </c>
      <c r="Z227" t="str">
        <f>"Y"</f>
        <v>Y</v>
      </c>
      <c r="AA227">
        <v>0</v>
      </c>
      <c r="AC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 t="str">
        <f>"$"</f>
        <v>$</v>
      </c>
    </row>
    <row r="228" spans="1:38" x14ac:dyDescent="0.3">
      <c r="A228" t="str">
        <f>"SO20000169"</f>
        <v>SO20000169</v>
      </c>
      <c r="B228" t="str">
        <f>"E000310450"</f>
        <v>E000310450</v>
      </c>
      <c r="C228" t="str">
        <f>"בוצעה"</f>
        <v>בוצעה</v>
      </c>
      <c r="E228" s="3">
        <v>43948</v>
      </c>
      <c r="F228" s="3">
        <v>44022</v>
      </c>
      <c r="G228" t="str">
        <f>"700065"</f>
        <v>700065</v>
      </c>
      <c r="H228" t="str">
        <f>"אלתא מערכות בע""מ"</f>
        <v>אלתא מערכות בע"מ</v>
      </c>
      <c r="I228" t="str">
        <f>"ערן שלו"</f>
        <v>ערן שלו</v>
      </c>
      <c r="J228" t="str">
        <f>"OP-AR01720"</f>
        <v>OP-AR01720</v>
      </c>
      <c r="K228" s="1" t="str">
        <f>"1038A179-001 WA179 CABLE ASSY"</f>
        <v>1038A179-001 WA179 CABLE ASSY</v>
      </c>
      <c r="L228">
        <v>2</v>
      </c>
      <c r="M228" t="str">
        <f>"PR20000271"</f>
        <v>PR20000271</v>
      </c>
      <c r="N228" t="str">
        <f>"WA179 CABLE ASSY"</f>
        <v>WA179 CABLE ASSY</v>
      </c>
      <c r="O228">
        <v>332.4</v>
      </c>
      <c r="P228" t="str">
        <f>"$"</f>
        <v>$</v>
      </c>
      <c r="Q228" t="str">
        <f>"000"</f>
        <v>000</v>
      </c>
      <c r="R228" t="str">
        <f>"כללית"</f>
        <v>כללית</v>
      </c>
      <c r="S228" t="str">
        <f>"034"</f>
        <v>034</v>
      </c>
      <c r="T228" t="str">
        <f>"גנם הודיה"</f>
        <v>גנם הודיה</v>
      </c>
      <c r="U228">
        <v>0</v>
      </c>
      <c r="V228">
        <v>0</v>
      </c>
      <c r="W228">
        <v>332.4</v>
      </c>
      <c r="X228">
        <v>664.8</v>
      </c>
      <c r="Z228" t="str">
        <f>"Y"</f>
        <v>Y</v>
      </c>
      <c r="AA228">
        <v>0</v>
      </c>
      <c r="AC228">
        <v>0</v>
      </c>
      <c r="AE228">
        <v>0</v>
      </c>
      <c r="AF228">
        <v>0</v>
      </c>
      <c r="AG228" s="2">
        <v>1168.3900000000001</v>
      </c>
      <c r="AH228">
        <v>0</v>
      </c>
      <c r="AI228" s="2">
        <v>2336.77</v>
      </c>
      <c r="AJ228">
        <v>664.8</v>
      </c>
      <c r="AK228">
        <v>664.8</v>
      </c>
      <c r="AL228" t="str">
        <f>"$"</f>
        <v>$</v>
      </c>
    </row>
    <row r="229" spans="1:38" x14ac:dyDescent="0.3">
      <c r="A229" t="str">
        <f>"SO20000169"</f>
        <v>SO20000169</v>
      </c>
      <c r="B229" t="str">
        <f>"E000310450"</f>
        <v>E000310450</v>
      </c>
      <c r="C229" t="str">
        <f>"בוצעה"</f>
        <v>בוצעה</v>
      </c>
      <c r="E229" s="3">
        <v>43948</v>
      </c>
      <c r="F229" s="3">
        <v>44022</v>
      </c>
      <c r="G229" t="str">
        <f>"700065"</f>
        <v>700065</v>
      </c>
      <c r="H229" t="str">
        <f>"אלתא מערכות בע""מ"</f>
        <v>אלתא מערכות בע"מ</v>
      </c>
      <c r="I229" t="str">
        <f>"ערן שלו"</f>
        <v>ערן שלו</v>
      </c>
      <c r="J229" t="str">
        <f>"OP-AR01721"</f>
        <v>OP-AR01721</v>
      </c>
      <c r="K229" s="1" t="str">
        <f>"1023B534-001 WV034 PWR - PDB2 TO CUG"</f>
        <v>1023B534-001 WV034 PWR - PDB2 TO CUG</v>
      </c>
      <c r="L229">
        <v>1</v>
      </c>
      <c r="M229" t="str">
        <f>"PR20000271"</f>
        <v>PR20000271</v>
      </c>
      <c r="N229" t="str">
        <f>"WA179 CABLE ASSY"</f>
        <v>WA179 CABLE ASSY</v>
      </c>
      <c r="O229">
        <v>409.79</v>
      </c>
      <c r="P229" t="str">
        <f>"$"</f>
        <v>$</v>
      </c>
      <c r="Q229" t="str">
        <f>"000"</f>
        <v>000</v>
      </c>
      <c r="R229" t="str">
        <f>"כללית"</f>
        <v>כללית</v>
      </c>
      <c r="S229" t="str">
        <f>"034"</f>
        <v>034</v>
      </c>
      <c r="T229" t="str">
        <f>"גנם הודיה"</f>
        <v>גנם הודיה</v>
      </c>
      <c r="U229">
        <v>0</v>
      </c>
      <c r="V229">
        <v>0</v>
      </c>
      <c r="W229">
        <v>409.79</v>
      </c>
      <c r="X229">
        <v>409.79</v>
      </c>
      <c r="Z229" t="str">
        <f>"Y"</f>
        <v>Y</v>
      </c>
      <c r="AA229">
        <v>0</v>
      </c>
      <c r="AC229">
        <v>0</v>
      </c>
      <c r="AE229">
        <v>0</v>
      </c>
      <c r="AF229">
        <v>0</v>
      </c>
      <c r="AG229" s="2">
        <v>1440.41</v>
      </c>
      <c r="AH229">
        <v>0</v>
      </c>
      <c r="AI229" s="2">
        <v>1440.41</v>
      </c>
      <c r="AJ229">
        <v>409.79</v>
      </c>
      <c r="AK229">
        <v>409.79</v>
      </c>
      <c r="AL229" t="str">
        <f>"$"</f>
        <v>$</v>
      </c>
    </row>
    <row r="230" spans="1:38" x14ac:dyDescent="0.3">
      <c r="A230" t="str">
        <f>"SO20000169"</f>
        <v>SO20000169</v>
      </c>
      <c r="B230" t="str">
        <f>"E000310450"</f>
        <v>E000310450</v>
      </c>
      <c r="C230" t="str">
        <f>"בוצעה"</f>
        <v>בוצעה</v>
      </c>
      <c r="E230" s="3">
        <v>43948</v>
      </c>
      <c r="F230" s="3">
        <v>44022</v>
      </c>
      <c r="G230" t="str">
        <f>"700065"</f>
        <v>700065</v>
      </c>
      <c r="H230" t="str">
        <f>"אלתא מערכות בע""מ"</f>
        <v>אלתא מערכות בע"מ</v>
      </c>
      <c r="I230" t="str">
        <f>"ערן שלו"</f>
        <v>ערן שלו</v>
      </c>
      <c r="J230" t="str">
        <f>"OP-AR01722"</f>
        <v>OP-AR01722</v>
      </c>
      <c r="K230" s="1" t="str">
        <f>"NRE להזמנה E000310450"</f>
        <v>NRE להזמנה E000310450</v>
      </c>
      <c r="L230">
        <v>1</v>
      </c>
      <c r="M230" t="str">
        <f>"PR20000271"</f>
        <v>PR20000271</v>
      </c>
      <c r="N230" t="str">
        <f>"WA179 CABLE ASSY"</f>
        <v>WA179 CABLE ASSY</v>
      </c>
      <c r="O230">
        <v>150</v>
      </c>
      <c r="P230" t="str">
        <f>"$"</f>
        <v>$</v>
      </c>
      <c r="Q230" t="str">
        <f>"000"</f>
        <v>000</v>
      </c>
      <c r="R230" t="str">
        <f>"כללית"</f>
        <v>כללית</v>
      </c>
      <c r="S230" t="str">
        <f>"034"</f>
        <v>034</v>
      </c>
      <c r="T230" t="str">
        <f>"גנם הודיה"</f>
        <v>גנם הודיה</v>
      </c>
      <c r="U230">
        <v>0</v>
      </c>
      <c r="V230">
        <v>0</v>
      </c>
      <c r="W230">
        <v>150</v>
      </c>
      <c r="X230">
        <v>150</v>
      </c>
      <c r="Z230" t="str">
        <f>"Y"</f>
        <v>Y</v>
      </c>
      <c r="AA230">
        <v>1</v>
      </c>
      <c r="AC230">
        <v>0</v>
      </c>
      <c r="AE230">
        <v>0</v>
      </c>
      <c r="AF230">
        <v>0</v>
      </c>
      <c r="AG230">
        <v>527.25</v>
      </c>
      <c r="AH230">
        <v>0</v>
      </c>
      <c r="AI230">
        <v>527.25</v>
      </c>
      <c r="AJ230">
        <v>150</v>
      </c>
      <c r="AK230">
        <v>150</v>
      </c>
      <c r="AL230" t="str">
        <f>"$"</f>
        <v>$</v>
      </c>
    </row>
    <row r="231" spans="1:38" x14ac:dyDescent="0.3">
      <c r="A231" t="str">
        <f>"SO20000174"</f>
        <v>SO20000174</v>
      </c>
      <c r="B231" t="str">
        <f>"E000309897"</f>
        <v>E000309897</v>
      </c>
      <c r="C231" t="str">
        <f>"בוצעה"</f>
        <v>בוצעה</v>
      </c>
      <c r="E231" s="3">
        <v>43954</v>
      </c>
      <c r="F231" s="3">
        <v>44012</v>
      </c>
      <c r="G231" t="str">
        <f>"700065"</f>
        <v>700065</v>
      </c>
      <c r="H231" t="str">
        <f>"אלתא מערכות בע""מ"</f>
        <v>אלתא מערכות בע"מ</v>
      </c>
      <c r="I231" t="str">
        <f>"ערן שלו"</f>
        <v>ערן שלו</v>
      </c>
      <c r="J231" t="str">
        <f>"OP-AR01723"</f>
        <v>OP-AR01723</v>
      </c>
      <c r="K231" s="1" t="str">
        <f>"4020F406-001 CABLE ASSY W6"</f>
        <v>4020F406-001 CABLE ASSY W6</v>
      </c>
      <c r="L231">
        <v>2</v>
      </c>
      <c r="M231" t="str">
        <f>"PR20000245"</f>
        <v>PR20000245</v>
      </c>
      <c r="N231" t="str">
        <f>"CABLE ASSY"</f>
        <v>CABLE ASSY</v>
      </c>
      <c r="O231">
        <v>39.24</v>
      </c>
      <c r="P231" t="str">
        <f>"$"</f>
        <v>$</v>
      </c>
      <c r="Q231" t="str">
        <f>"000"</f>
        <v>000</v>
      </c>
      <c r="R231" t="str">
        <f>"כללית"</f>
        <v>כללית</v>
      </c>
      <c r="S231" t="str">
        <f>"034"</f>
        <v>034</v>
      </c>
      <c r="T231" t="str">
        <f>"גנם הודיה"</f>
        <v>גנם הודיה</v>
      </c>
      <c r="U231">
        <v>0</v>
      </c>
      <c r="V231">
        <v>0</v>
      </c>
      <c r="W231">
        <v>39.24</v>
      </c>
      <c r="X231">
        <v>78.48</v>
      </c>
      <c r="Z231" t="str">
        <f>"Y"</f>
        <v>Y</v>
      </c>
      <c r="AA231">
        <v>0</v>
      </c>
      <c r="AC231">
        <v>0</v>
      </c>
      <c r="AE231">
        <v>0</v>
      </c>
      <c r="AF231">
        <v>0</v>
      </c>
      <c r="AG231">
        <v>136.99</v>
      </c>
      <c r="AH231">
        <v>0</v>
      </c>
      <c r="AI231">
        <v>273.97000000000003</v>
      </c>
      <c r="AJ231">
        <v>78.48</v>
      </c>
      <c r="AK231">
        <v>78.48</v>
      </c>
      <c r="AL231" t="str">
        <f>"$"</f>
        <v>$</v>
      </c>
    </row>
    <row r="232" spans="1:38" x14ac:dyDescent="0.3">
      <c r="A232" t="str">
        <f>"SO20000174"</f>
        <v>SO20000174</v>
      </c>
      <c r="B232" t="str">
        <f>"E000309897"</f>
        <v>E000309897</v>
      </c>
      <c r="C232" t="str">
        <f>"בוצעה"</f>
        <v>בוצעה</v>
      </c>
      <c r="E232" s="3">
        <v>43954</v>
      </c>
      <c r="F232" s="3">
        <v>44012</v>
      </c>
      <c r="G232" t="str">
        <f>"700065"</f>
        <v>700065</v>
      </c>
      <c r="H232" t="str">
        <f>"אלתא מערכות בע""מ"</f>
        <v>אלתא מערכות בע"מ</v>
      </c>
      <c r="I232" t="str">
        <f>"ערן שלו"</f>
        <v>ערן שלו</v>
      </c>
      <c r="J232" t="str">
        <f>"OP-AR01724"</f>
        <v>OP-AR01724</v>
      </c>
      <c r="K232" s="1" t="str">
        <f>"4020F404-001 CABLE ASSY W4"</f>
        <v>4020F404-001 CABLE ASSY W4</v>
      </c>
      <c r="L232">
        <v>8</v>
      </c>
      <c r="M232" t="str">
        <f>"PR20000245"</f>
        <v>PR20000245</v>
      </c>
      <c r="N232" t="str">
        <f>"CABLE ASSY"</f>
        <v>CABLE ASSY</v>
      </c>
      <c r="O232">
        <v>253.18</v>
      </c>
      <c r="P232" t="str">
        <f>"$"</f>
        <v>$</v>
      </c>
      <c r="Q232" t="str">
        <f>"000"</f>
        <v>000</v>
      </c>
      <c r="R232" t="str">
        <f>"כללית"</f>
        <v>כללית</v>
      </c>
      <c r="S232" t="str">
        <f>"034"</f>
        <v>034</v>
      </c>
      <c r="T232" t="str">
        <f>"גנם הודיה"</f>
        <v>גנם הודיה</v>
      </c>
      <c r="U232">
        <v>0</v>
      </c>
      <c r="V232">
        <v>0</v>
      </c>
      <c r="W232">
        <v>253.18</v>
      </c>
      <c r="X232" s="2">
        <v>2025.44</v>
      </c>
      <c r="Z232" t="str">
        <f>"Y"</f>
        <v>Y</v>
      </c>
      <c r="AA232">
        <v>0</v>
      </c>
      <c r="AC232">
        <v>0</v>
      </c>
      <c r="AE232">
        <v>0</v>
      </c>
      <c r="AF232">
        <v>0</v>
      </c>
      <c r="AG232">
        <v>883.85</v>
      </c>
      <c r="AH232">
        <v>0</v>
      </c>
      <c r="AI232" s="2">
        <v>7070.81</v>
      </c>
      <c r="AJ232" s="2">
        <v>2025.44</v>
      </c>
      <c r="AK232" s="2">
        <v>2025.44</v>
      </c>
      <c r="AL232" t="str">
        <f>"$"</f>
        <v>$</v>
      </c>
    </row>
    <row r="233" spans="1:38" x14ac:dyDescent="0.3">
      <c r="A233" t="str">
        <f>"SO20000174"</f>
        <v>SO20000174</v>
      </c>
      <c r="B233" t="str">
        <f>"E000309897"</f>
        <v>E000309897</v>
      </c>
      <c r="C233" t="str">
        <f>"בוצעה"</f>
        <v>בוצעה</v>
      </c>
      <c r="E233" s="3">
        <v>43954</v>
      </c>
      <c r="F233" s="3">
        <v>44012</v>
      </c>
      <c r="G233" t="str">
        <f>"700065"</f>
        <v>700065</v>
      </c>
      <c r="H233" t="str">
        <f>"אלתא מערכות בע""מ"</f>
        <v>אלתא מערכות בע"מ</v>
      </c>
      <c r="I233" t="str">
        <f>"ערן שלו"</f>
        <v>ערן שלו</v>
      </c>
      <c r="J233" t="str">
        <f>"OP-AR01725"</f>
        <v>OP-AR01725</v>
      </c>
      <c r="K233" s="1" t="str">
        <f>"4020F413-001 CABLE ASSY W13"</f>
        <v>4020F413-001 CABLE ASSY W13</v>
      </c>
      <c r="L233">
        <v>8</v>
      </c>
      <c r="M233" t="str">
        <f>"PR20000245"</f>
        <v>PR20000245</v>
      </c>
      <c r="N233" t="str">
        <f>"CABLE ASSY"</f>
        <v>CABLE ASSY</v>
      </c>
      <c r="O233">
        <v>213.7</v>
      </c>
      <c r="P233" t="str">
        <f>"$"</f>
        <v>$</v>
      </c>
      <c r="Q233" t="str">
        <f>"000"</f>
        <v>000</v>
      </c>
      <c r="R233" t="str">
        <f>"כללית"</f>
        <v>כללית</v>
      </c>
      <c r="S233" t="str">
        <f>"034"</f>
        <v>034</v>
      </c>
      <c r="T233" t="str">
        <f>"גנם הודיה"</f>
        <v>גנם הודיה</v>
      </c>
      <c r="U233">
        <v>0</v>
      </c>
      <c r="V233">
        <v>0</v>
      </c>
      <c r="W233">
        <v>213.7</v>
      </c>
      <c r="X233" s="2">
        <v>1709.6</v>
      </c>
      <c r="Z233" t="str">
        <f>"Y"</f>
        <v>Y</v>
      </c>
      <c r="AA233">
        <v>0</v>
      </c>
      <c r="AC233">
        <v>0</v>
      </c>
      <c r="AE233">
        <v>0</v>
      </c>
      <c r="AF233">
        <v>0</v>
      </c>
      <c r="AG233">
        <v>746.03</v>
      </c>
      <c r="AH233">
        <v>0</v>
      </c>
      <c r="AI233" s="2">
        <v>5968.21</v>
      </c>
      <c r="AJ233" s="2">
        <v>1709.6</v>
      </c>
      <c r="AK233" s="2">
        <v>1709.6</v>
      </c>
      <c r="AL233" t="str">
        <f>"$"</f>
        <v>$</v>
      </c>
    </row>
    <row r="234" spans="1:38" x14ac:dyDescent="0.3">
      <c r="A234" t="str">
        <f>"SO20000174"</f>
        <v>SO20000174</v>
      </c>
      <c r="B234" t="str">
        <f>"E000309897"</f>
        <v>E000309897</v>
      </c>
      <c r="C234" t="str">
        <f>"בוצעה"</f>
        <v>בוצעה</v>
      </c>
      <c r="E234" s="3">
        <v>43954</v>
      </c>
      <c r="F234" s="3">
        <v>44012</v>
      </c>
      <c r="G234" t="str">
        <f>"700065"</f>
        <v>700065</v>
      </c>
      <c r="H234" t="str">
        <f>"אלתא מערכות בע""מ"</f>
        <v>אלתא מערכות בע"מ</v>
      </c>
      <c r="I234" t="str">
        <f>"ערן שלו"</f>
        <v>ערן שלו</v>
      </c>
      <c r="J234" t="str">
        <f>"OP-AR01726"</f>
        <v>OP-AR01726</v>
      </c>
      <c r="K234" s="1" t="str">
        <f>"4020F405-001 CABLE ASSY W5"</f>
        <v>4020F405-001 CABLE ASSY W5</v>
      </c>
      <c r="L234">
        <v>8</v>
      </c>
      <c r="M234" t="str">
        <f>"PR20000245"</f>
        <v>PR20000245</v>
      </c>
      <c r="N234" t="str">
        <f>"CABLE ASSY"</f>
        <v>CABLE ASSY</v>
      </c>
      <c r="O234">
        <v>529.1</v>
      </c>
      <c r="P234" t="str">
        <f>"$"</f>
        <v>$</v>
      </c>
      <c r="Q234" t="str">
        <f>"000"</f>
        <v>000</v>
      </c>
      <c r="R234" t="str">
        <f>"כללית"</f>
        <v>כללית</v>
      </c>
      <c r="S234" t="str">
        <f>"034"</f>
        <v>034</v>
      </c>
      <c r="T234" t="str">
        <f>"גנם הודיה"</f>
        <v>גנם הודיה</v>
      </c>
      <c r="U234">
        <v>0</v>
      </c>
      <c r="V234">
        <v>0</v>
      </c>
      <c r="W234">
        <v>529.1</v>
      </c>
      <c r="X234" s="2">
        <v>4232.8</v>
      </c>
      <c r="Z234" t="str">
        <f>"Y"</f>
        <v>Y</v>
      </c>
      <c r="AA234">
        <v>0</v>
      </c>
      <c r="AC234">
        <v>0</v>
      </c>
      <c r="AE234">
        <v>0</v>
      </c>
      <c r="AF234">
        <v>0</v>
      </c>
      <c r="AG234" s="2">
        <v>1847.09</v>
      </c>
      <c r="AH234">
        <v>0</v>
      </c>
      <c r="AI234" s="2">
        <v>14776.7</v>
      </c>
      <c r="AJ234" s="2">
        <v>4232.8</v>
      </c>
      <c r="AK234" s="2">
        <v>4232.8</v>
      </c>
      <c r="AL234" t="str">
        <f>"$"</f>
        <v>$</v>
      </c>
    </row>
    <row r="235" spans="1:38" x14ac:dyDescent="0.3">
      <c r="A235" t="str">
        <f>"SO20000174"</f>
        <v>SO20000174</v>
      </c>
      <c r="B235" t="str">
        <f>"E000309897"</f>
        <v>E000309897</v>
      </c>
      <c r="C235" t="str">
        <f>"בוצעה"</f>
        <v>בוצעה</v>
      </c>
      <c r="E235" s="3">
        <v>43954</v>
      </c>
      <c r="F235" s="3">
        <v>44012</v>
      </c>
      <c r="G235" t="str">
        <f>"700065"</f>
        <v>700065</v>
      </c>
      <c r="H235" t="str">
        <f>"אלתא מערכות בע""מ"</f>
        <v>אלתא מערכות בע"מ</v>
      </c>
      <c r="I235" t="str">
        <f>"ערן שלו"</f>
        <v>ערן שלו</v>
      </c>
      <c r="J235" t="str">
        <f>"OP-AR01727"</f>
        <v>OP-AR01727</v>
      </c>
      <c r="K235" s="1" t="str">
        <f>"4020F416-001 CABLE ASSY W16"</f>
        <v>4020F416-001 CABLE ASSY W16</v>
      </c>
      <c r="L235">
        <v>8</v>
      </c>
      <c r="M235" t="str">
        <f>"PR20000245"</f>
        <v>PR20000245</v>
      </c>
      <c r="N235" t="str">
        <f>"CABLE ASSY"</f>
        <v>CABLE ASSY</v>
      </c>
      <c r="O235">
        <v>194.72</v>
      </c>
      <c r="P235" t="str">
        <f>"$"</f>
        <v>$</v>
      </c>
      <c r="Q235" t="str">
        <f>"000"</f>
        <v>000</v>
      </c>
      <c r="R235" t="str">
        <f>"כללית"</f>
        <v>כללית</v>
      </c>
      <c r="S235" t="str">
        <f>"034"</f>
        <v>034</v>
      </c>
      <c r="T235" t="str">
        <f>"גנם הודיה"</f>
        <v>גנם הודיה</v>
      </c>
      <c r="U235">
        <v>0</v>
      </c>
      <c r="V235">
        <v>0</v>
      </c>
      <c r="W235">
        <v>194.72</v>
      </c>
      <c r="X235" s="2">
        <v>1557.76</v>
      </c>
      <c r="Z235" t="str">
        <f>"Y"</f>
        <v>Y</v>
      </c>
      <c r="AA235">
        <v>0</v>
      </c>
      <c r="AC235">
        <v>0</v>
      </c>
      <c r="AE235">
        <v>0</v>
      </c>
      <c r="AF235">
        <v>0</v>
      </c>
      <c r="AG235">
        <v>679.77</v>
      </c>
      <c r="AH235">
        <v>0</v>
      </c>
      <c r="AI235" s="2">
        <v>5438.14</v>
      </c>
      <c r="AJ235" s="2">
        <v>1557.76</v>
      </c>
      <c r="AK235" s="2">
        <v>1557.76</v>
      </c>
      <c r="AL235" t="str">
        <f>"$"</f>
        <v>$</v>
      </c>
    </row>
    <row r="236" spans="1:38" x14ac:dyDescent="0.3">
      <c r="A236" t="str">
        <f>"SO20000174"</f>
        <v>SO20000174</v>
      </c>
      <c r="B236" t="str">
        <f>"E000309897"</f>
        <v>E000309897</v>
      </c>
      <c r="C236" t="str">
        <f>"בוצעה"</f>
        <v>בוצעה</v>
      </c>
      <c r="E236" s="3">
        <v>43954</v>
      </c>
      <c r="F236" s="3">
        <v>44012</v>
      </c>
      <c r="G236" t="str">
        <f>"700065"</f>
        <v>700065</v>
      </c>
      <c r="H236" t="str">
        <f>"אלתא מערכות בע""מ"</f>
        <v>אלתא מערכות בע"מ</v>
      </c>
      <c r="I236" t="str">
        <f>"ערן שלו"</f>
        <v>ערן שלו</v>
      </c>
      <c r="J236" t="str">
        <f>"OP-AR01728"</f>
        <v>OP-AR01728</v>
      </c>
      <c r="K236" s="1" t="str">
        <f>"4020F408-001 CABLE ASSY W8"</f>
        <v>4020F408-001 CABLE ASSY W8</v>
      </c>
      <c r="L236">
        <v>2</v>
      </c>
      <c r="M236" t="str">
        <f>"PR20000245"</f>
        <v>PR20000245</v>
      </c>
      <c r="N236" t="str">
        <f>"CABLE ASSY"</f>
        <v>CABLE ASSY</v>
      </c>
      <c r="O236">
        <v>131.69</v>
      </c>
      <c r="P236" t="str">
        <f>"$"</f>
        <v>$</v>
      </c>
      <c r="Q236" t="str">
        <f>"000"</f>
        <v>000</v>
      </c>
      <c r="R236" t="str">
        <f>"כללית"</f>
        <v>כללית</v>
      </c>
      <c r="S236" t="str">
        <f>"034"</f>
        <v>034</v>
      </c>
      <c r="T236" t="str">
        <f>"גנם הודיה"</f>
        <v>גנם הודיה</v>
      </c>
      <c r="U236">
        <v>0</v>
      </c>
      <c r="V236">
        <v>0</v>
      </c>
      <c r="W236">
        <v>131.69</v>
      </c>
      <c r="X236">
        <v>263.38</v>
      </c>
      <c r="Z236" t="str">
        <f>"Y"</f>
        <v>Y</v>
      </c>
      <c r="AA236">
        <v>0</v>
      </c>
      <c r="AC236">
        <v>0</v>
      </c>
      <c r="AE236">
        <v>0</v>
      </c>
      <c r="AF236">
        <v>0</v>
      </c>
      <c r="AG236">
        <v>459.73</v>
      </c>
      <c r="AH236">
        <v>0</v>
      </c>
      <c r="AI236">
        <v>919.46</v>
      </c>
      <c r="AJ236">
        <v>263.38</v>
      </c>
      <c r="AK236">
        <v>263.38</v>
      </c>
      <c r="AL236" t="str">
        <f>"$"</f>
        <v>$</v>
      </c>
    </row>
    <row r="237" spans="1:38" x14ac:dyDescent="0.3">
      <c r="A237" t="str">
        <f>"SO20000180"</f>
        <v>SO20000180</v>
      </c>
      <c r="B237" t="str">
        <f>"E000311739"</f>
        <v>E000311739</v>
      </c>
      <c r="C237" t="str">
        <f>"בוצעה"</f>
        <v>בוצעה</v>
      </c>
      <c r="E237" s="3">
        <v>43956</v>
      </c>
      <c r="F237" s="3">
        <v>43956</v>
      </c>
      <c r="G237" t="str">
        <f>"700065"</f>
        <v>700065</v>
      </c>
      <c r="H237" t="str">
        <f>"אלתא מערכות בע""מ"</f>
        <v>אלתא מערכות בע"מ</v>
      </c>
      <c r="I237" t="str">
        <f>"ערן שלו"</f>
        <v>ערן שלו</v>
      </c>
      <c r="J237" t="str">
        <f>"PA11TA2024"</f>
        <v>PA11TA2024</v>
      </c>
      <c r="K237" s="1" t="str">
        <f>"פלג תעופתי CIRG06SB40A-5P-GM-F80T12"</f>
        <v>פלג תעופתי CIRG06SB40A-5P-GM-F80T12</v>
      </c>
      <c r="L237">
        <v>1</v>
      </c>
      <c r="O237">
        <v>373</v>
      </c>
      <c r="P237" t="str">
        <f>"$"</f>
        <v>$</v>
      </c>
      <c r="Q237" t="str">
        <f>"000"</f>
        <v>000</v>
      </c>
      <c r="R237" t="str">
        <f>"כללית"</f>
        <v>כללית</v>
      </c>
      <c r="S237" t="str">
        <f>"034"</f>
        <v>034</v>
      </c>
      <c r="T237" t="str">
        <f>"גנם הודיה"</f>
        <v>גנם הודיה</v>
      </c>
      <c r="U237">
        <v>0</v>
      </c>
      <c r="V237">
        <v>0</v>
      </c>
      <c r="W237">
        <v>373</v>
      </c>
      <c r="X237">
        <v>373</v>
      </c>
      <c r="Z237" t="str">
        <f>"Y"</f>
        <v>Y</v>
      </c>
      <c r="AA237">
        <v>0</v>
      </c>
      <c r="AC237">
        <v>0</v>
      </c>
      <c r="AE237">
        <v>0</v>
      </c>
      <c r="AF237">
        <v>0</v>
      </c>
      <c r="AG237" s="2">
        <v>1314.45</v>
      </c>
      <c r="AH237">
        <v>0</v>
      </c>
      <c r="AI237" s="2">
        <v>1314.45</v>
      </c>
      <c r="AJ237">
        <v>373</v>
      </c>
      <c r="AK237">
        <v>373</v>
      </c>
      <c r="AL237" t="str">
        <f>"$"</f>
        <v>$</v>
      </c>
    </row>
    <row r="238" spans="1:38" x14ac:dyDescent="0.3">
      <c r="A238" t="str">
        <f>"SO20000182"</f>
        <v>SO20000182</v>
      </c>
      <c r="B238" t="str">
        <f>"E000311263"</f>
        <v>E000311263</v>
      </c>
      <c r="C238" t="str">
        <f>"בוצעה"</f>
        <v>בוצעה</v>
      </c>
      <c r="E238" s="3">
        <v>43956</v>
      </c>
      <c r="F238" s="3">
        <v>44038</v>
      </c>
      <c r="G238" t="str">
        <f>"700065"</f>
        <v>700065</v>
      </c>
      <c r="H238" t="str">
        <f>"אלתא מערכות בע""מ"</f>
        <v>אלתא מערכות בע"מ</v>
      </c>
      <c r="I238" t="str">
        <f>"ערן שלו"</f>
        <v>ערן שלו</v>
      </c>
      <c r="J238" t="str">
        <f>"OP-AR01729"</f>
        <v>OP-AR01729</v>
      </c>
      <c r="K238" s="1" t="str">
        <f>"TEST CONTROL STATION"</f>
        <v>TEST CONTROL STATION</v>
      </c>
      <c r="L238">
        <v>1</v>
      </c>
      <c r="M238" t="str">
        <f>"PR20000288"</f>
        <v>PR20000288</v>
      </c>
      <c r="N238" t="str">
        <f>"מזוודה עבור מכשירי צב""ד"</f>
        <v>מזוודה עבור מכשירי צב"ד</v>
      </c>
      <c r="O238" s="2">
        <v>4979.8</v>
      </c>
      <c r="P238" t="str">
        <f>"$"</f>
        <v>$</v>
      </c>
      <c r="Q238" t="str">
        <f>"000"</f>
        <v>000</v>
      </c>
      <c r="R238" t="str">
        <f>"כללית"</f>
        <v>כללית</v>
      </c>
      <c r="S238" t="str">
        <f>"034"</f>
        <v>034</v>
      </c>
      <c r="T238" t="str">
        <f>"גנם הודיה"</f>
        <v>גנם הודיה</v>
      </c>
      <c r="U238">
        <v>0</v>
      </c>
      <c r="V238">
        <v>0</v>
      </c>
      <c r="W238" s="2">
        <v>4979.8</v>
      </c>
      <c r="X238" s="2">
        <v>4979.8</v>
      </c>
      <c r="Z238" t="str">
        <f>"Y"</f>
        <v>Y</v>
      </c>
      <c r="AA238">
        <v>0</v>
      </c>
      <c r="AC238">
        <v>0</v>
      </c>
      <c r="AE238">
        <v>0</v>
      </c>
      <c r="AF238">
        <v>0</v>
      </c>
      <c r="AG238" s="2">
        <v>17548.82</v>
      </c>
      <c r="AH238">
        <v>0</v>
      </c>
      <c r="AI238" s="2">
        <v>17548.82</v>
      </c>
      <c r="AJ238" s="2">
        <v>4979.8</v>
      </c>
      <c r="AK238" s="2">
        <v>4979.8</v>
      </c>
      <c r="AL238" t="str">
        <f>"$"</f>
        <v>$</v>
      </c>
    </row>
    <row r="239" spans="1:38" x14ac:dyDescent="0.3">
      <c r="A239" t="str">
        <f>"SO20000182"</f>
        <v>SO20000182</v>
      </c>
      <c r="B239" t="str">
        <f>"E000311263"</f>
        <v>E000311263</v>
      </c>
      <c r="C239" t="str">
        <f>"בוצעה"</f>
        <v>בוצעה</v>
      </c>
      <c r="E239" s="3">
        <v>43956</v>
      </c>
      <c r="F239" s="3">
        <v>44189</v>
      </c>
      <c r="G239" t="str">
        <f>"700065"</f>
        <v>700065</v>
      </c>
      <c r="H239" t="str">
        <f>"אלתא מערכות בע""מ"</f>
        <v>אלתא מערכות בע"מ</v>
      </c>
      <c r="I239" t="str">
        <f>"ערן שלו"</f>
        <v>ערן שלו</v>
      </c>
      <c r="J239" t="str">
        <f>"000"</f>
        <v>000</v>
      </c>
      <c r="K239" s="1" t="str">
        <f>"מזוודה עבור מכשירי צבד"</f>
        <v>מזוודה עבור מכשירי צבד</v>
      </c>
      <c r="L239">
        <v>1</v>
      </c>
      <c r="M239" t="str">
        <f>"PR20000288"</f>
        <v>PR20000288</v>
      </c>
      <c r="N239" t="str">
        <f>"מזוודה עבור מכשירי צב""ד"</f>
        <v>מזוודה עבור מכשירי צב"ד</v>
      </c>
      <c r="O239">
        <v>0</v>
      </c>
      <c r="P239" t="str">
        <f>"$"</f>
        <v>$</v>
      </c>
      <c r="Q239" t="str">
        <f>"000"</f>
        <v>000</v>
      </c>
      <c r="R239" t="str">
        <f>"כללית"</f>
        <v>כללית</v>
      </c>
      <c r="S239" t="str">
        <f>"034"</f>
        <v>034</v>
      </c>
      <c r="T239" t="str">
        <f>"גנם הודיה"</f>
        <v>גנם הודיה</v>
      </c>
      <c r="U239">
        <v>0</v>
      </c>
      <c r="V239">
        <v>0</v>
      </c>
      <c r="W239">
        <v>0</v>
      </c>
      <c r="X239">
        <v>0</v>
      </c>
      <c r="Z239" t="str">
        <f>"Y"</f>
        <v>Y</v>
      </c>
      <c r="AA239">
        <v>0</v>
      </c>
      <c r="AC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 t="str">
        <f>"$"</f>
        <v>$</v>
      </c>
    </row>
    <row r="240" spans="1:38" x14ac:dyDescent="0.3">
      <c r="A240" t="str">
        <f>"SO20000182"</f>
        <v>SO20000182</v>
      </c>
      <c r="B240" t="str">
        <f>"E000311263"</f>
        <v>E000311263</v>
      </c>
      <c r="C240" t="str">
        <f>"בוצעה"</f>
        <v>בוצעה</v>
      </c>
      <c r="E240" s="3">
        <v>43956</v>
      </c>
      <c r="F240" s="3">
        <v>44195</v>
      </c>
      <c r="G240" t="str">
        <f>"700065"</f>
        <v>700065</v>
      </c>
      <c r="H240" t="str">
        <f>"אלתא מערכות בע""מ"</f>
        <v>אלתא מערכות בע"מ</v>
      </c>
      <c r="I240" t="str">
        <f>"ערן שלו"</f>
        <v>ערן שלו</v>
      </c>
      <c r="J240" t="str">
        <f>"OP-AR01729"</f>
        <v>OP-AR01729</v>
      </c>
      <c r="K240" s="1" t="str">
        <f>"TEST CONTROL STATION"</f>
        <v>TEST CONTROL STATION</v>
      </c>
      <c r="L240">
        <v>1</v>
      </c>
      <c r="M240" t="str">
        <f>"PR20000288"</f>
        <v>PR20000288</v>
      </c>
      <c r="N240" t="str">
        <f>"מזוודה עבור מכשירי צב""ד"</f>
        <v>מזוודה עבור מכשירי צב"ד</v>
      </c>
      <c r="O240">
        <v>0</v>
      </c>
      <c r="P240" t="str">
        <f>"$"</f>
        <v>$</v>
      </c>
      <c r="Q240" t="str">
        <f>"000"</f>
        <v>000</v>
      </c>
      <c r="R240" t="str">
        <f>"כללית"</f>
        <v>כללית</v>
      </c>
      <c r="S240" t="str">
        <f>"034"</f>
        <v>034</v>
      </c>
      <c r="T240" t="str">
        <f>"גנם הודיה"</f>
        <v>גנם הודיה</v>
      </c>
      <c r="U240">
        <v>0</v>
      </c>
      <c r="V240">
        <v>0</v>
      </c>
      <c r="W240">
        <v>0</v>
      </c>
      <c r="X240">
        <v>0</v>
      </c>
      <c r="Z240" t="str">
        <f>"Y"</f>
        <v>Y</v>
      </c>
      <c r="AA240">
        <v>1</v>
      </c>
      <c r="AC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 t="str">
        <f>"$"</f>
        <v>$</v>
      </c>
    </row>
    <row r="241" spans="1:38" x14ac:dyDescent="0.3">
      <c r="A241" t="str">
        <f>"SO20000185"</f>
        <v>SO20000185</v>
      </c>
      <c r="B241" t="str">
        <f>"E000311074"</f>
        <v>E000311074</v>
      </c>
      <c r="C241" t="str">
        <f>"בוצעה"</f>
        <v>בוצעה</v>
      </c>
      <c r="E241" s="3">
        <v>43957</v>
      </c>
      <c r="F241" s="3">
        <v>44109</v>
      </c>
      <c r="G241" t="str">
        <f>"700065"</f>
        <v>700065</v>
      </c>
      <c r="H241" t="str">
        <f>"אלתא מערכות בע""מ"</f>
        <v>אלתא מערכות בע"מ</v>
      </c>
      <c r="I241" t="str">
        <f>"ערן שלו"</f>
        <v>ערן שלו</v>
      </c>
      <c r="J241" t="str">
        <f>"OP-AR00467"</f>
        <v>OP-AR00467</v>
      </c>
      <c r="K241" s="1" t="str">
        <f>"AC PCU CONTROL BOX"</f>
        <v>AC PCU CONTROL BOX</v>
      </c>
      <c r="L241">
        <v>2</v>
      </c>
      <c r="M241" t="str">
        <f>"PR20000300"</f>
        <v>PR20000300</v>
      </c>
      <c r="N241" t="str">
        <f>"AC PCU CONTROL BOX"</f>
        <v>AC PCU CONTROL BOX</v>
      </c>
      <c r="O241" s="2">
        <v>4250</v>
      </c>
      <c r="P241" t="str">
        <f>"$"</f>
        <v>$</v>
      </c>
      <c r="Q241" t="str">
        <f>"115"</f>
        <v>115</v>
      </c>
      <c r="R241" t="str">
        <f>"קנסות"</f>
        <v>קנסות</v>
      </c>
      <c r="S241" t="str">
        <f>"034"</f>
        <v>034</v>
      </c>
      <c r="T241" t="str">
        <f>"גנם הודיה"</f>
        <v>גנם הודיה</v>
      </c>
      <c r="U241">
        <v>0</v>
      </c>
      <c r="V241">
        <v>0</v>
      </c>
      <c r="W241" s="2">
        <v>4250</v>
      </c>
      <c r="X241" s="2">
        <v>8500</v>
      </c>
      <c r="Z241" t="str">
        <f>"Y"</f>
        <v>Y</v>
      </c>
      <c r="AA241">
        <v>0</v>
      </c>
      <c r="AC241">
        <v>0</v>
      </c>
      <c r="AE241">
        <v>0</v>
      </c>
      <c r="AF241">
        <v>0</v>
      </c>
      <c r="AG241" s="2">
        <v>14921.75</v>
      </c>
      <c r="AH241">
        <v>0</v>
      </c>
      <c r="AI241" s="2">
        <v>29843.5</v>
      </c>
      <c r="AJ241" s="2">
        <v>8500</v>
      </c>
      <c r="AK241" s="2">
        <v>8500</v>
      </c>
      <c r="AL241" t="str">
        <f>"$"</f>
        <v>$</v>
      </c>
    </row>
    <row r="242" spans="1:38" x14ac:dyDescent="0.3">
      <c r="A242" t="str">
        <f>"SO20000193"</f>
        <v>SO20000193</v>
      </c>
      <c r="B242" t="str">
        <f>"E000311749"</f>
        <v>E000311749</v>
      </c>
      <c r="C242" t="str">
        <f>"בוצעה"</f>
        <v>בוצעה</v>
      </c>
      <c r="E242" s="3">
        <v>43964</v>
      </c>
      <c r="F242" s="3">
        <v>44084</v>
      </c>
      <c r="G242" t="str">
        <f>"700065"</f>
        <v>700065</v>
      </c>
      <c r="H242" t="str">
        <f>"אלתא מערכות בע""מ"</f>
        <v>אלתא מערכות בע"מ</v>
      </c>
      <c r="I242" t="str">
        <f>"ערן שלו"</f>
        <v>ערן שלו</v>
      </c>
      <c r="J242" t="str">
        <f>"OP-AR01730"</f>
        <v>OP-AR01730</v>
      </c>
      <c r="K242" s="1" t="str">
        <f>"1013N973-001 CABLE ASSY W2 DC DELHI"</f>
        <v>1013N973-001 CABLE ASSY W2 DC DELHI</v>
      </c>
      <c r="L242">
        <v>2</v>
      </c>
      <c r="M242" t="str">
        <f>"PR20000316"</f>
        <v>PR20000316</v>
      </c>
      <c r="N242" t="str">
        <f>"CABLE ASSY W"</f>
        <v>CABLE ASSY W</v>
      </c>
      <c r="O242">
        <v>195.8</v>
      </c>
      <c r="P242" t="str">
        <f>"$"</f>
        <v>$</v>
      </c>
      <c r="Q242" t="str">
        <f>"000"</f>
        <v>000</v>
      </c>
      <c r="R242" t="str">
        <f>"כללית"</f>
        <v>כללית</v>
      </c>
      <c r="S242" t="str">
        <f>"034"</f>
        <v>034</v>
      </c>
      <c r="T242" t="str">
        <f>"גנם הודיה"</f>
        <v>גנם הודיה</v>
      </c>
      <c r="U242">
        <v>0</v>
      </c>
      <c r="V242">
        <v>0</v>
      </c>
      <c r="W242">
        <v>195.8</v>
      </c>
      <c r="X242">
        <v>391.6</v>
      </c>
      <c r="Z242" t="str">
        <f>"Y"</f>
        <v>Y</v>
      </c>
      <c r="AA242">
        <v>0</v>
      </c>
      <c r="AC242">
        <v>0</v>
      </c>
      <c r="AE242">
        <v>0</v>
      </c>
      <c r="AF242">
        <v>0</v>
      </c>
      <c r="AG242">
        <v>687.45</v>
      </c>
      <c r="AH242">
        <v>0</v>
      </c>
      <c r="AI242" s="2">
        <v>1374.91</v>
      </c>
      <c r="AJ242">
        <v>391.6</v>
      </c>
      <c r="AK242">
        <v>391.6</v>
      </c>
      <c r="AL242" t="str">
        <f>"$"</f>
        <v>$</v>
      </c>
    </row>
    <row r="243" spans="1:38" x14ac:dyDescent="0.3">
      <c r="A243" t="str">
        <f>"SO20000193"</f>
        <v>SO20000193</v>
      </c>
      <c r="B243" t="str">
        <f>"E000311749"</f>
        <v>E000311749</v>
      </c>
      <c r="C243" t="str">
        <f>"בוצעה"</f>
        <v>בוצעה</v>
      </c>
      <c r="E243" s="3">
        <v>43964</v>
      </c>
      <c r="F243" s="3">
        <v>44084</v>
      </c>
      <c r="G243" t="str">
        <f>"700065"</f>
        <v>700065</v>
      </c>
      <c r="H243" t="str">
        <f>"אלתא מערכות בע""מ"</f>
        <v>אלתא מערכות בע"מ</v>
      </c>
      <c r="I243" t="str">
        <f>"ערן שלו"</f>
        <v>ערן שלו</v>
      </c>
      <c r="J243" t="str">
        <f>"OP-AR01731"</f>
        <v>OP-AR01731</v>
      </c>
      <c r="K243" s="1" t="str">
        <f>"1013N978-001 CABLE ASSY W3 FP DELHI"</f>
        <v>1013N978-001 CABLE ASSY W3 FP DELHI</v>
      </c>
      <c r="L243">
        <v>2</v>
      </c>
      <c r="M243" t="str">
        <f>"PR20000316"</f>
        <v>PR20000316</v>
      </c>
      <c r="N243" t="str">
        <f>"CABLE ASSY W"</f>
        <v>CABLE ASSY W</v>
      </c>
      <c r="O243">
        <v>547.39</v>
      </c>
      <c r="P243" t="str">
        <f>"$"</f>
        <v>$</v>
      </c>
      <c r="Q243" t="str">
        <f>"000"</f>
        <v>000</v>
      </c>
      <c r="R243" t="str">
        <f>"כללית"</f>
        <v>כללית</v>
      </c>
      <c r="S243" t="str">
        <f>"034"</f>
        <v>034</v>
      </c>
      <c r="T243" t="str">
        <f>"גנם הודיה"</f>
        <v>גנם הודיה</v>
      </c>
      <c r="U243">
        <v>0</v>
      </c>
      <c r="V243">
        <v>0</v>
      </c>
      <c r="W243">
        <v>547.39</v>
      </c>
      <c r="X243" s="2">
        <v>1094.78</v>
      </c>
      <c r="Z243" t="str">
        <f>"Y"</f>
        <v>Y</v>
      </c>
      <c r="AA243">
        <v>0</v>
      </c>
      <c r="AC243">
        <v>0</v>
      </c>
      <c r="AE243">
        <v>0</v>
      </c>
      <c r="AF243">
        <v>0</v>
      </c>
      <c r="AG243" s="2">
        <v>1921.89</v>
      </c>
      <c r="AH243">
        <v>0</v>
      </c>
      <c r="AI243" s="2">
        <v>3843.77</v>
      </c>
      <c r="AJ243" s="2">
        <v>1094.78</v>
      </c>
      <c r="AK243" s="2">
        <v>1094.78</v>
      </c>
      <c r="AL243" t="str">
        <f>"$"</f>
        <v>$</v>
      </c>
    </row>
    <row r="244" spans="1:38" x14ac:dyDescent="0.3">
      <c r="A244" t="str">
        <f>"SO20000193"</f>
        <v>SO20000193</v>
      </c>
      <c r="B244" t="str">
        <f>"E000311749"</f>
        <v>E000311749</v>
      </c>
      <c r="C244" t="str">
        <f>"בוצעה"</f>
        <v>בוצעה</v>
      </c>
      <c r="E244" s="3">
        <v>43964</v>
      </c>
      <c r="F244" s="3">
        <v>44038</v>
      </c>
      <c r="G244" t="str">
        <f>"700065"</f>
        <v>700065</v>
      </c>
      <c r="H244" t="str">
        <f>"אלתא מערכות בע""מ"</f>
        <v>אלתא מערכות בע"מ</v>
      </c>
      <c r="I244" t="str">
        <f>"ערן שלו"</f>
        <v>ערן שלו</v>
      </c>
      <c r="J244" t="str">
        <f>"OP-AR01732"</f>
        <v>OP-AR01732</v>
      </c>
      <c r="K244" s="1" t="str">
        <f>"NRE FOR E000311749"</f>
        <v>NRE FOR E000311749</v>
      </c>
      <c r="L244">
        <v>1</v>
      </c>
      <c r="M244" t="str">
        <f>"PR20000316"</f>
        <v>PR20000316</v>
      </c>
      <c r="N244" t="str">
        <f>"CABLE ASSY W"</f>
        <v>CABLE ASSY W</v>
      </c>
      <c r="O244">
        <v>150</v>
      </c>
      <c r="P244" t="str">
        <f>"$"</f>
        <v>$</v>
      </c>
      <c r="Q244" t="str">
        <f>"000"</f>
        <v>000</v>
      </c>
      <c r="R244" t="str">
        <f>"כללית"</f>
        <v>כללית</v>
      </c>
      <c r="S244" t="str">
        <f>"034"</f>
        <v>034</v>
      </c>
      <c r="T244" t="str">
        <f>"גנם הודיה"</f>
        <v>גנם הודיה</v>
      </c>
      <c r="U244">
        <v>0</v>
      </c>
      <c r="V244">
        <v>0</v>
      </c>
      <c r="W244">
        <v>150</v>
      </c>
      <c r="X244">
        <v>150</v>
      </c>
      <c r="Z244" t="str">
        <f>"Y"</f>
        <v>Y</v>
      </c>
      <c r="AA244">
        <v>1</v>
      </c>
      <c r="AC244">
        <v>0</v>
      </c>
      <c r="AE244">
        <v>0</v>
      </c>
      <c r="AF244">
        <v>0</v>
      </c>
      <c r="AG244">
        <v>526.65</v>
      </c>
      <c r="AH244">
        <v>0</v>
      </c>
      <c r="AI244">
        <v>526.65</v>
      </c>
      <c r="AJ244">
        <v>150</v>
      </c>
      <c r="AK244">
        <v>150</v>
      </c>
      <c r="AL244" t="str">
        <f>"$"</f>
        <v>$</v>
      </c>
    </row>
    <row r="245" spans="1:38" x14ac:dyDescent="0.3">
      <c r="A245" t="str">
        <f>"SO20000197"</f>
        <v>SO20000197</v>
      </c>
      <c r="B245" t="str">
        <f>"E000299609"</f>
        <v>E000299609</v>
      </c>
      <c r="C245" t="str">
        <f>"בוצעה"</f>
        <v>בוצעה</v>
      </c>
      <c r="E245" s="3">
        <v>43969</v>
      </c>
      <c r="F245" s="3">
        <v>43969</v>
      </c>
      <c r="G245" t="str">
        <f>"700065"</f>
        <v>700065</v>
      </c>
      <c r="H245" t="str">
        <f>"אלתא מערכות בע""מ"</f>
        <v>אלתא מערכות בע"מ</v>
      </c>
      <c r="I245" t="str">
        <f>"ערן שלו"</f>
        <v>ערן שלו</v>
      </c>
      <c r="J245" t="str">
        <f>"PS9900047"</f>
        <v>PS9900047</v>
      </c>
      <c r="K245" s="1" t="str">
        <f>"Flatpack 2 380/3000 HE"</f>
        <v>Flatpack 2 380/3000 HE</v>
      </c>
      <c r="L245">
        <v>1</v>
      </c>
      <c r="M245" t="str">
        <f>"PR16000776"</f>
        <v>PR16000776</v>
      </c>
      <c r="N245" t="str">
        <f>"ייצור HARIBON RPS 1039R900-001"</f>
        <v>ייצור HARIBON RPS 1039R900-001</v>
      </c>
      <c r="O245">
        <v>0</v>
      </c>
      <c r="P245" t="str">
        <f>"$"</f>
        <v>$</v>
      </c>
      <c r="Q245" t="str">
        <f>"000"</f>
        <v>000</v>
      </c>
      <c r="R245" t="str">
        <f>"כללית"</f>
        <v>כללית</v>
      </c>
      <c r="S245" t="str">
        <f>"034"</f>
        <v>034</v>
      </c>
      <c r="T245" t="str">
        <f>"גנם הודיה"</f>
        <v>גנם הודיה</v>
      </c>
      <c r="U245">
        <v>0</v>
      </c>
      <c r="V245">
        <v>0</v>
      </c>
      <c r="W245">
        <v>0</v>
      </c>
      <c r="X245">
        <v>0</v>
      </c>
      <c r="Z245" t="str">
        <f>"Y"</f>
        <v>Y</v>
      </c>
      <c r="AA245">
        <v>0</v>
      </c>
      <c r="AC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 t="str">
        <f>"$"</f>
        <v>$</v>
      </c>
    </row>
    <row r="246" spans="1:38" x14ac:dyDescent="0.3">
      <c r="A246" t="str">
        <f>"SO20000201"</f>
        <v>SO20000201</v>
      </c>
      <c r="B246" t="str">
        <f>"E000311250"</f>
        <v>E000311250</v>
      </c>
      <c r="C246" t="str">
        <f>"בוצעה"</f>
        <v>בוצעה</v>
      </c>
      <c r="E246" s="3">
        <v>43970</v>
      </c>
      <c r="F246" s="3">
        <v>44108</v>
      </c>
      <c r="G246" t="str">
        <f>"700065"</f>
        <v>700065</v>
      </c>
      <c r="H246" t="str">
        <f>"אלתא מערכות בע""מ"</f>
        <v>אלתא מערכות בע"מ</v>
      </c>
      <c r="I246" t="str">
        <f>"ערן שלו"</f>
        <v>ערן שלו</v>
      </c>
      <c r="J246" t="str">
        <f>"OP-AR01733"</f>
        <v>OP-AR01733</v>
      </c>
      <c r="K246" s="1" t="str">
        <f>"1039V330-001 WP330 - CONTROL AND DATA PED TO AFT"</f>
        <v>1039V330-001 WP330 - CONTROL AND DATA PED TO AFT</v>
      </c>
      <c r="L246">
        <v>2</v>
      </c>
      <c r="M246" t="str">
        <f>"PR20000348"</f>
        <v>PR20000348</v>
      </c>
      <c r="N246" t="str">
        <f>"CONTROL AND DATA PED TO AFT. COM"</f>
        <v>CONTROL AND DATA PED TO AFT. COM</v>
      </c>
      <c r="O246" s="2">
        <v>1352.46</v>
      </c>
      <c r="P246" t="str">
        <f>"$"</f>
        <v>$</v>
      </c>
      <c r="Q246" t="str">
        <f>"117"</f>
        <v>117</v>
      </c>
      <c r="R246" t="str">
        <f>"רתמות"</f>
        <v>רתמות</v>
      </c>
      <c r="S246" t="str">
        <f>"034"</f>
        <v>034</v>
      </c>
      <c r="T246" t="str">
        <f>"גנם הודיה"</f>
        <v>גנם הודיה</v>
      </c>
      <c r="U246">
        <v>0</v>
      </c>
      <c r="V246">
        <v>0</v>
      </c>
      <c r="W246" s="2">
        <v>1352.46</v>
      </c>
      <c r="X246" s="2">
        <v>2704.92</v>
      </c>
      <c r="Z246" t="str">
        <f>"Y"</f>
        <v>Y</v>
      </c>
      <c r="AA246">
        <v>0</v>
      </c>
      <c r="AC246">
        <v>0</v>
      </c>
      <c r="AE246">
        <v>0</v>
      </c>
      <c r="AF246">
        <v>0</v>
      </c>
      <c r="AG246" s="2">
        <v>4767.42</v>
      </c>
      <c r="AH246">
        <v>0</v>
      </c>
      <c r="AI246" s="2">
        <v>9534.84</v>
      </c>
      <c r="AJ246" s="2">
        <v>2704.92</v>
      </c>
      <c r="AK246" s="2">
        <v>2704.92</v>
      </c>
      <c r="AL246" t="str">
        <f>"$"</f>
        <v>$</v>
      </c>
    </row>
    <row r="247" spans="1:38" x14ac:dyDescent="0.3">
      <c r="A247" t="str">
        <f>"SO20000201"</f>
        <v>SO20000201</v>
      </c>
      <c r="B247" t="str">
        <f>"E000311250"</f>
        <v>E000311250</v>
      </c>
      <c r="C247" t="str">
        <f>"בוצעה"</f>
        <v>בוצעה</v>
      </c>
      <c r="E247" s="3">
        <v>43970</v>
      </c>
      <c r="F247" s="3">
        <v>44108</v>
      </c>
      <c r="G247" t="str">
        <f>"700065"</f>
        <v>700065</v>
      </c>
      <c r="H247" t="str">
        <f>"אלתא מערכות בע""מ"</f>
        <v>אלתא מערכות בע"מ</v>
      </c>
      <c r="I247" t="str">
        <f>"ערן שלו"</f>
        <v>ערן שלו</v>
      </c>
      <c r="J247" t="str">
        <f>"OP-AR01734"</f>
        <v>OP-AR01734</v>
      </c>
      <c r="K247" s="1" t="str">
        <f>"1039V325-001 WP325 - POWER 320VDC PDB TO ROTARY"</f>
        <v>1039V325-001 WP325 - POWER 320VDC PDB TO ROTARY</v>
      </c>
      <c r="L247">
        <v>2</v>
      </c>
      <c r="M247" t="str">
        <f>"PR20000348"</f>
        <v>PR20000348</v>
      </c>
      <c r="N247" t="str">
        <f>"CONTROL AND DATA PED TO AFT. COM"</f>
        <v>CONTROL AND DATA PED TO AFT. COM</v>
      </c>
      <c r="O247" s="2">
        <v>1288.29</v>
      </c>
      <c r="P247" t="str">
        <f>"$"</f>
        <v>$</v>
      </c>
      <c r="Q247" t="str">
        <f>"117"</f>
        <v>117</v>
      </c>
      <c r="R247" t="str">
        <f>"רתמות"</f>
        <v>רתמות</v>
      </c>
      <c r="S247" t="str">
        <f>"034"</f>
        <v>034</v>
      </c>
      <c r="T247" t="str">
        <f>"גנם הודיה"</f>
        <v>גנם הודיה</v>
      </c>
      <c r="U247">
        <v>0</v>
      </c>
      <c r="V247">
        <v>0</v>
      </c>
      <c r="W247" s="2">
        <v>1288.29</v>
      </c>
      <c r="X247" s="2">
        <v>2576.58</v>
      </c>
      <c r="Z247" t="str">
        <f>"Y"</f>
        <v>Y</v>
      </c>
      <c r="AA247">
        <v>0</v>
      </c>
      <c r="AC247">
        <v>0</v>
      </c>
      <c r="AE247">
        <v>0</v>
      </c>
      <c r="AF247">
        <v>0</v>
      </c>
      <c r="AG247" s="2">
        <v>4541.22</v>
      </c>
      <c r="AH247">
        <v>0</v>
      </c>
      <c r="AI247" s="2">
        <v>9082.44</v>
      </c>
      <c r="AJ247" s="2">
        <v>2576.58</v>
      </c>
      <c r="AK247" s="2">
        <v>2576.58</v>
      </c>
      <c r="AL247" t="str">
        <f>"$"</f>
        <v>$</v>
      </c>
    </row>
    <row r="248" spans="1:38" x14ac:dyDescent="0.3">
      <c r="A248" t="str">
        <f>"SO20000201"</f>
        <v>SO20000201</v>
      </c>
      <c r="B248" t="str">
        <f>"E000311250"</f>
        <v>E000311250</v>
      </c>
      <c r="C248" t="str">
        <f>"בוצעה"</f>
        <v>בוצעה</v>
      </c>
      <c r="E248" s="3">
        <v>43970</v>
      </c>
      <c r="F248" s="3">
        <v>44108</v>
      </c>
      <c r="G248" t="str">
        <f>"700065"</f>
        <v>700065</v>
      </c>
      <c r="H248" t="str">
        <f>"אלתא מערכות בע""מ"</f>
        <v>אלתא מערכות בע"מ</v>
      </c>
      <c r="I248" t="str">
        <f>"ערן שלו"</f>
        <v>ערן שלו</v>
      </c>
      <c r="J248" t="str">
        <f>"OP-AR01735"</f>
        <v>OP-AR01735</v>
      </c>
      <c r="K248" s="1" t="str">
        <f>"1039V324-001 WP324 - POWER 320VDC PDB TO ROTARY"</f>
        <v>1039V324-001 WP324 - POWER 320VDC PDB TO ROTARY</v>
      </c>
      <c r="L248">
        <v>2</v>
      </c>
      <c r="M248" t="str">
        <f>"PR20000348"</f>
        <v>PR20000348</v>
      </c>
      <c r="N248" t="str">
        <f>"CONTROL AND DATA PED TO AFT. COM"</f>
        <v>CONTROL AND DATA PED TO AFT. COM</v>
      </c>
      <c r="O248" s="2">
        <v>1282.33</v>
      </c>
      <c r="P248" t="str">
        <f>"$"</f>
        <v>$</v>
      </c>
      <c r="Q248" t="str">
        <f>"117"</f>
        <v>117</v>
      </c>
      <c r="R248" t="str">
        <f>"רתמות"</f>
        <v>רתמות</v>
      </c>
      <c r="S248" t="str">
        <f>"034"</f>
        <v>034</v>
      </c>
      <c r="T248" t="str">
        <f>"גנם הודיה"</f>
        <v>גנם הודיה</v>
      </c>
      <c r="U248">
        <v>0</v>
      </c>
      <c r="V248">
        <v>0</v>
      </c>
      <c r="W248" s="2">
        <v>1282.33</v>
      </c>
      <c r="X248" s="2">
        <v>2564.66</v>
      </c>
      <c r="Z248" t="str">
        <f>"Y"</f>
        <v>Y</v>
      </c>
      <c r="AA248">
        <v>0</v>
      </c>
      <c r="AC248">
        <v>0</v>
      </c>
      <c r="AE248">
        <v>0</v>
      </c>
      <c r="AF248">
        <v>0</v>
      </c>
      <c r="AG248" s="2">
        <v>4520.21</v>
      </c>
      <c r="AH248">
        <v>0</v>
      </c>
      <c r="AI248" s="2">
        <v>9040.43</v>
      </c>
      <c r="AJ248" s="2">
        <v>2564.66</v>
      </c>
      <c r="AK248" s="2">
        <v>2564.66</v>
      </c>
      <c r="AL248" t="str">
        <f>"$"</f>
        <v>$</v>
      </c>
    </row>
    <row r="249" spans="1:38" x14ac:dyDescent="0.3">
      <c r="A249" t="str">
        <f>"SO20000201"</f>
        <v>SO20000201</v>
      </c>
      <c r="B249" t="str">
        <f>"E000311250"</f>
        <v>E000311250</v>
      </c>
      <c r="C249" t="str">
        <f>"בוצעה"</f>
        <v>בוצעה</v>
      </c>
      <c r="E249" s="3">
        <v>43970</v>
      </c>
      <c r="F249" s="3">
        <v>44108</v>
      </c>
      <c r="G249" t="str">
        <f>"700065"</f>
        <v>700065</v>
      </c>
      <c r="H249" t="str">
        <f>"אלתא מערכות בע""מ"</f>
        <v>אלתא מערכות בע"מ</v>
      </c>
      <c r="I249" t="str">
        <f>"ערן שלו"</f>
        <v>ערן שלו</v>
      </c>
      <c r="J249" t="str">
        <f>"OP-AR01736"</f>
        <v>OP-AR01736</v>
      </c>
      <c r="K249" s="1" t="str">
        <f>"1039V358-001 WP358 - DATA AFT COMMAND TO LDE AND"</f>
        <v>1039V358-001 WP358 - DATA AFT COMMAND TO LDE AND</v>
      </c>
      <c r="L249">
        <v>2</v>
      </c>
      <c r="M249" t="str">
        <f>"PR20000348"</f>
        <v>PR20000348</v>
      </c>
      <c r="N249" t="str">
        <f>"CONTROL AND DATA PED TO AFT. COM"</f>
        <v>CONTROL AND DATA PED TO AFT. COM</v>
      </c>
      <c r="O249">
        <v>412.51</v>
      </c>
      <c r="P249" t="str">
        <f>"$"</f>
        <v>$</v>
      </c>
      <c r="Q249" t="str">
        <f>"117"</f>
        <v>117</v>
      </c>
      <c r="R249" t="str">
        <f>"רתמות"</f>
        <v>רתמות</v>
      </c>
      <c r="S249" t="str">
        <f>"034"</f>
        <v>034</v>
      </c>
      <c r="T249" t="str">
        <f>"גנם הודיה"</f>
        <v>גנם הודיה</v>
      </c>
      <c r="U249">
        <v>0</v>
      </c>
      <c r="V249">
        <v>0</v>
      </c>
      <c r="W249">
        <v>412.51</v>
      </c>
      <c r="X249">
        <v>825.02</v>
      </c>
      <c r="Z249" t="str">
        <f>"Y"</f>
        <v>Y</v>
      </c>
      <c r="AA249">
        <v>0</v>
      </c>
      <c r="AC249">
        <v>0</v>
      </c>
      <c r="AE249">
        <v>0</v>
      </c>
      <c r="AF249">
        <v>0</v>
      </c>
      <c r="AG249" s="2">
        <v>1454.1</v>
      </c>
      <c r="AH249">
        <v>0</v>
      </c>
      <c r="AI249" s="2">
        <v>2908.2</v>
      </c>
      <c r="AJ249">
        <v>825.02</v>
      </c>
      <c r="AK249">
        <v>825.02</v>
      </c>
      <c r="AL249" t="str">
        <f>"$"</f>
        <v>$</v>
      </c>
    </row>
    <row r="250" spans="1:38" x14ac:dyDescent="0.3">
      <c r="A250" t="str">
        <f>"SO20000201"</f>
        <v>SO20000201</v>
      </c>
      <c r="B250" t="str">
        <f>"E000311250"</f>
        <v>E000311250</v>
      </c>
      <c r="C250" t="str">
        <f>"בוצעה"</f>
        <v>בוצעה</v>
      </c>
      <c r="E250" s="3">
        <v>43970</v>
      </c>
      <c r="F250" s="3">
        <v>44108</v>
      </c>
      <c r="G250" t="str">
        <f>"700065"</f>
        <v>700065</v>
      </c>
      <c r="H250" t="str">
        <f>"אלתא מערכות בע""מ"</f>
        <v>אלתא מערכות בע"מ</v>
      </c>
      <c r="I250" t="str">
        <f>"ערן שלו"</f>
        <v>ערן שלו</v>
      </c>
      <c r="J250" t="str">
        <f>"OP-AR01737"</f>
        <v>OP-AR01737</v>
      </c>
      <c r="K250" s="1" t="str">
        <f>"1039V326-001 WP326 - POWER 320VDC PDB TO ROTARY"</f>
        <v>1039V326-001 WP326 - POWER 320VDC PDB TO ROTARY</v>
      </c>
      <c r="L250">
        <v>2</v>
      </c>
      <c r="M250" t="str">
        <f>"PR20000348"</f>
        <v>PR20000348</v>
      </c>
      <c r="N250" t="str">
        <f>"CONTROL AND DATA PED TO AFT. COM"</f>
        <v>CONTROL AND DATA PED TO AFT. COM</v>
      </c>
      <c r="O250" s="2">
        <v>1269.07</v>
      </c>
      <c r="P250" t="str">
        <f>"$"</f>
        <v>$</v>
      </c>
      <c r="Q250" t="str">
        <f>"117"</f>
        <v>117</v>
      </c>
      <c r="R250" t="str">
        <f>"רתמות"</f>
        <v>רתמות</v>
      </c>
      <c r="S250" t="str">
        <f>"034"</f>
        <v>034</v>
      </c>
      <c r="T250" t="str">
        <f>"גנם הודיה"</f>
        <v>גנם הודיה</v>
      </c>
      <c r="U250">
        <v>0</v>
      </c>
      <c r="V250">
        <v>0</v>
      </c>
      <c r="W250" s="2">
        <v>1269.07</v>
      </c>
      <c r="X250" s="2">
        <v>2538.14</v>
      </c>
      <c r="Z250" t="str">
        <f>"Y"</f>
        <v>Y</v>
      </c>
      <c r="AA250">
        <v>0</v>
      </c>
      <c r="AC250">
        <v>0</v>
      </c>
      <c r="AE250">
        <v>0</v>
      </c>
      <c r="AF250">
        <v>0</v>
      </c>
      <c r="AG250" s="2">
        <v>4473.47</v>
      </c>
      <c r="AH250">
        <v>0</v>
      </c>
      <c r="AI250" s="2">
        <v>8946.94</v>
      </c>
      <c r="AJ250" s="2">
        <v>2538.14</v>
      </c>
      <c r="AK250" s="2">
        <v>2538.14</v>
      </c>
      <c r="AL250" t="str">
        <f>"$"</f>
        <v>$</v>
      </c>
    </row>
    <row r="251" spans="1:38" x14ac:dyDescent="0.3">
      <c r="A251" t="str">
        <f>"SO20000201"</f>
        <v>SO20000201</v>
      </c>
      <c r="B251" t="str">
        <f>"E000311250"</f>
        <v>E000311250</v>
      </c>
      <c r="C251" t="str">
        <f>"בוצעה"</f>
        <v>בוצעה</v>
      </c>
      <c r="E251" s="3">
        <v>43970</v>
      </c>
      <c r="F251" s="3">
        <v>44108</v>
      </c>
      <c r="G251" t="str">
        <f>"700065"</f>
        <v>700065</v>
      </c>
      <c r="H251" t="str">
        <f>"אלתא מערכות בע""מ"</f>
        <v>אלתא מערכות בע"מ</v>
      </c>
      <c r="I251" t="str">
        <f>"ערן שלו"</f>
        <v>ערן שלו</v>
      </c>
      <c r="J251" t="str">
        <f>"OP-AR01738"</f>
        <v>OP-AR01738</v>
      </c>
      <c r="K251" s="1" t="str">
        <f>"1029P331-003 WP031 - PWR 230VAC FANS AUX-BOX TO"</f>
        <v>1029P331-003 WP031 - PWR 230VAC FANS AUX-BOX TO</v>
      </c>
      <c r="L251">
        <v>2</v>
      </c>
      <c r="M251" t="str">
        <f>"PR20000348"</f>
        <v>PR20000348</v>
      </c>
      <c r="N251" t="str">
        <f>"CONTROL AND DATA PED TO AFT. COM"</f>
        <v>CONTROL AND DATA PED TO AFT. COM</v>
      </c>
      <c r="O251" s="2">
        <v>1273.44</v>
      </c>
      <c r="P251" t="str">
        <f>"$"</f>
        <v>$</v>
      </c>
      <c r="Q251" t="str">
        <f>"117"</f>
        <v>117</v>
      </c>
      <c r="R251" t="str">
        <f>"רתמות"</f>
        <v>רתמות</v>
      </c>
      <c r="S251" t="str">
        <f>"034"</f>
        <v>034</v>
      </c>
      <c r="T251" t="str">
        <f>"גנם הודיה"</f>
        <v>גנם הודיה</v>
      </c>
      <c r="U251">
        <v>0</v>
      </c>
      <c r="V251">
        <v>0</v>
      </c>
      <c r="W251" s="2">
        <v>1273.44</v>
      </c>
      <c r="X251" s="2">
        <v>2546.88</v>
      </c>
      <c r="Z251" t="str">
        <f>"Y"</f>
        <v>Y</v>
      </c>
      <c r="AA251">
        <v>0</v>
      </c>
      <c r="AC251">
        <v>0</v>
      </c>
      <c r="AE251">
        <v>0</v>
      </c>
      <c r="AF251">
        <v>0</v>
      </c>
      <c r="AG251" s="2">
        <v>4488.88</v>
      </c>
      <c r="AH251">
        <v>0</v>
      </c>
      <c r="AI251" s="2">
        <v>8977.75</v>
      </c>
      <c r="AJ251" s="2">
        <v>2546.88</v>
      </c>
      <c r="AK251" s="2">
        <v>2546.88</v>
      </c>
      <c r="AL251" t="str">
        <f>"$"</f>
        <v>$</v>
      </c>
    </row>
    <row r="252" spans="1:38" x14ac:dyDescent="0.3">
      <c r="A252" t="str">
        <f>"SO20000201"</f>
        <v>SO20000201</v>
      </c>
      <c r="B252" t="str">
        <f>"E000311250"</f>
        <v>E000311250</v>
      </c>
      <c r="C252" t="str">
        <f>"בוצעה"</f>
        <v>בוצעה</v>
      </c>
      <c r="E252" s="3">
        <v>43970</v>
      </c>
      <c r="F252" s="3">
        <v>44108</v>
      </c>
      <c r="G252" t="str">
        <f>"700065"</f>
        <v>700065</v>
      </c>
      <c r="H252" t="str">
        <f>"אלתא מערכות בע""מ"</f>
        <v>אלתא מערכות בע"מ</v>
      </c>
      <c r="I252" t="str">
        <f>"ערן שלו"</f>
        <v>ערן שלו</v>
      </c>
      <c r="J252" t="str">
        <f>"OP-AR01739"</f>
        <v>OP-AR01739</v>
      </c>
      <c r="K252" s="1" t="str">
        <f>"1039V323-001 WP323 - POWER 320VDC PDB TO ROTARY"</f>
        <v>1039V323-001 WP323 - POWER 320VDC PDB TO ROTARY</v>
      </c>
      <c r="L252">
        <v>2</v>
      </c>
      <c r="M252" t="str">
        <f>"PR20000348"</f>
        <v>PR20000348</v>
      </c>
      <c r="N252" t="str">
        <f>"CONTROL AND DATA PED TO AFT. COM"</f>
        <v>CONTROL AND DATA PED TO AFT. COM</v>
      </c>
      <c r="O252" s="2">
        <v>1057.75</v>
      </c>
      <c r="P252" t="str">
        <f>"$"</f>
        <v>$</v>
      </c>
      <c r="Q252" t="str">
        <f>"117"</f>
        <v>117</v>
      </c>
      <c r="R252" t="str">
        <f>"רתמות"</f>
        <v>רתמות</v>
      </c>
      <c r="S252" t="str">
        <f>"034"</f>
        <v>034</v>
      </c>
      <c r="T252" t="str">
        <f>"גנם הודיה"</f>
        <v>גנם הודיה</v>
      </c>
      <c r="U252">
        <v>0</v>
      </c>
      <c r="V252">
        <v>0</v>
      </c>
      <c r="W252" s="2">
        <v>1057.75</v>
      </c>
      <c r="X252" s="2">
        <v>2115.5</v>
      </c>
      <c r="Z252" t="str">
        <f>"Y"</f>
        <v>Y</v>
      </c>
      <c r="AA252">
        <v>0</v>
      </c>
      <c r="AC252">
        <v>0</v>
      </c>
      <c r="AE252">
        <v>0</v>
      </c>
      <c r="AF252">
        <v>0</v>
      </c>
      <c r="AG252" s="2">
        <v>3728.57</v>
      </c>
      <c r="AH252">
        <v>0</v>
      </c>
      <c r="AI252" s="2">
        <v>7457.14</v>
      </c>
      <c r="AJ252" s="2">
        <v>2115.5</v>
      </c>
      <c r="AK252" s="2">
        <v>2115.5</v>
      </c>
      <c r="AL252" t="str">
        <f>"$"</f>
        <v>$</v>
      </c>
    </row>
    <row r="253" spans="1:38" x14ac:dyDescent="0.3">
      <c r="A253" t="str">
        <f>"SO20000201"</f>
        <v>SO20000201</v>
      </c>
      <c r="B253" t="str">
        <f>"E000311250"</f>
        <v>E000311250</v>
      </c>
      <c r="C253" t="str">
        <f>"בוצעה"</f>
        <v>בוצעה</v>
      </c>
      <c r="E253" s="3">
        <v>43970</v>
      </c>
      <c r="F253" s="3">
        <v>44108</v>
      </c>
      <c r="G253" t="str">
        <f>"700065"</f>
        <v>700065</v>
      </c>
      <c r="H253" t="str">
        <f>"אלתא מערכות בע""מ"</f>
        <v>אלתא מערכות בע"מ</v>
      </c>
      <c r="I253" t="str">
        <f>"ערן שלו"</f>
        <v>ערן שלו</v>
      </c>
      <c r="J253" t="str">
        <f>"OP-AR01740"</f>
        <v>OP-AR01740</v>
      </c>
      <c r="K253" s="1" t="str">
        <f>"1039V322-001 WP322 - PWR. AND CON. PDB TO PEDES"</f>
        <v>1039V322-001 WP322 - PWR. AND CON. PDB TO PEDES</v>
      </c>
      <c r="L253">
        <v>2</v>
      </c>
      <c r="M253" t="str">
        <f>"PR20000348"</f>
        <v>PR20000348</v>
      </c>
      <c r="N253" t="str">
        <f>"CONTROL AND DATA PED TO AFT. COM"</f>
        <v>CONTROL AND DATA PED TO AFT. COM</v>
      </c>
      <c r="O253">
        <v>559.29</v>
      </c>
      <c r="P253" t="str">
        <f>"$"</f>
        <v>$</v>
      </c>
      <c r="Q253" t="str">
        <f>"117"</f>
        <v>117</v>
      </c>
      <c r="R253" t="str">
        <f>"רתמות"</f>
        <v>רתמות</v>
      </c>
      <c r="S253" t="str">
        <f>"034"</f>
        <v>034</v>
      </c>
      <c r="T253" t="str">
        <f>"גנם הודיה"</f>
        <v>גנם הודיה</v>
      </c>
      <c r="U253">
        <v>0</v>
      </c>
      <c r="V253">
        <v>0</v>
      </c>
      <c r="W253">
        <v>559.29</v>
      </c>
      <c r="X253" s="2">
        <v>1118.58</v>
      </c>
      <c r="Z253" t="str">
        <f>"Y"</f>
        <v>Y</v>
      </c>
      <c r="AA253">
        <v>0</v>
      </c>
      <c r="AC253">
        <v>0</v>
      </c>
      <c r="AE253">
        <v>0</v>
      </c>
      <c r="AF253">
        <v>0</v>
      </c>
      <c r="AG253" s="2">
        <v>1971.5</v>
      </c>
      <c r="AH253">
        <v>0</v>
      </c>
      <c r="AI253" s="2">
        <v>3942.99</v>
      </c>
      <c r="AJ253" s="2">
        <v>1118.58</v>
      </c>
      <c r="AK253" s="2">
        <v>1118.58</v>
      </c>
      <c r="AL253" t="str">
        <f>"$"</f>
        <v>$</v>
      </c>
    </row>
    <row r="254" spans="1:38" x14ac:dyDescent="0.3">
      <c r="A254" t="str">
        <f>"SO20000201"</f>
        <v>SO20000201</v>
      </c>
      <c r="B254" t="str">
        <f>"E000311250"</f>
        <v>E000311250</v>
      </c>
      <c r="C254" t="str">
        <f>"בוצעה"</f>
        <v>בוצעה</v>
      </c>
      <c r="E254" s="3">
        <v>43970</v>
      </c>
      <c r="F254" s="3">
        <v>44108</v>
      </c>
      <c r="G254" t="str">
        <f>"700065"</f>
        <v>700065</v>
      </c>
      <c r="H254" t="str">
        <f>"אלתא מערכות בע""מ"</f>
        <v>אלתא מערכות בע"מ</v>
      </c>
      <c r="I254" t="str">
        <f>"ערן שלו"</f>
        <v>ערן שלו</v>
      </c>
      <c r="J254" t="str">
        <f>"OP-AR01741"</f>
        <v>OP-AR01741</v>
      </c>
      <c r="K254" s="1" t="str">
        <f>"1039V321-001 WP321 - POWER 400VAC PDB TO ROTARY"</f>
        <v>1039V321-001 WP321 - POWER 400VAC PDB TO ROTARY</v>
      </c>
      <c r="L254">
        <v>2</v>
      </c>
      <c r="M254" t="str">
        <f>"PR20000348"</f>
        <v>PR20000348</v>
      </c>
      <c r="N254" t="str">
        <f>"CONTROL AND DATA PED TO AFT. COM"</f>
        <v>CONTROL AND DATA PED TO AFT. COM</v>
      </c>
      <c r="O254">
        <v>929.5</v>
      </c>
      <c r="P254" t="str">
        <f>"$"</f>
        <v>$</v>
      </c>
      <c r="Q254" t="str">
        <f>"117"</f>
        <v>117</v>
      </c>
      <c r="R254" t="str">
        <f>"רתמות"</f>
        <v>רתמות</v>
      </c>
      <c r="S254" t="str">
        <f>"034"</f>
        <v>034</v>
      </c>
      <c r="T254" t="str">
        <f>"גנם הודיה"</f>
        <v>גנם הודיה</v>
      </c>
      <c r="U254">
        <v>0</v>
      </c>
      <c r="V254">
        <v>0</v>
      </c>
      <c r="W254">
        <v>929.5</v>
      </c>
      <c r="X254" s="2">
        <v>1859</v>
      </c>
      <c r="Z254" t="str">
        <f>"Y"</f>
        <v>Y</v>
      </c>
      <c r="AA254">
        <v>0</v>
      </c>
      <c r="AC254">
        <v>0</v>
      </c>
      <c r="AE254">
        <v>0</v>
      </c>
      <c r="AF254">
        <v>0</v>
      </c>
      <c r="AG254" s="2">
        <v>3276.49</v>
      </c>
      <c r="AH254">
        <v>0</v>
      </c>
      <c r="AI254" s="2">
        <v>6552.98</v>
      </c>
      <c r="AJ254" s="2">
        <v>1859</v>
      </c>
      <c r="AK254" s="2">
        <v>1859</v>
      </c>
      <c r="AL254" t="str">
        <f>"$"</f>
        <v>$</v>
      </c>
    </row>
    <row r="255" spans="1:38" x14ac:dyDescent="0.3">
      <c r="A255" t="str">
        <f>"SO20000201"</f>
        <v>SO20000201</v>
      </c>
      <c r="B255" t="str">
        <f>"E000311250"</f>
        <v>E000311250</v>
      </c>
      <c r="C255" t="str">
        <f>"בוצעה"</f>
        <v>בוצעה</v>
      </c>
      <c r="E255" s="3">
        <v>43970</v>
      </c>
      <c r="F255" s="3">
        <v>44108</v>
      </c>
      <c r="G255" t="str">
        <f>"700065"</f>
        <v>700065</v>
      </c>
      <c r="H255" t="str">
        <f>"אלתא מערכות בע""מ"</f>
        <v>אלתא מערכות בע"מ</v>
      </c>
      <c r="I255" t="str">
        <f>"ערן שלו"</f>
        <v>ערן שלו</v>
      </c>
      <c r="J255" t="str">
        <f>"OP-AR01742"</f>
        <v>OP-AR01742</v>
      </c>
      <c r="K255" s="1" t="str">
        <f>"1039V318-001 WP318 - CONTROL DATA MICRO SWITCH S"</f>
        <v>1039V318-001 WP318 - CONTROL DATA MICRO SWITCH S</v>
      </c>
      <c r="L255">
        <v>2</v>
      </c>
      <c r="M255" t="str">
        <f>"PR20000348"</f>
        <v>PR20000348</v>
      </c>
      <c r="N255" t="str">
        <f>"CONTROL AND DATA PED TO AFT. COM"</f>
        <v>CONTROL AND DATA PED TO AFT. COM</v>
      </c>
      <c r="O255">
        <v>691.5</v>
      </c>
      <c r="P255" t="str">
        <f>"$"</f>
        <v>$</v>
      </c>
      <c r="Q255" t="str">
        <f>"117"</f>
        <v>117</v>
      </c>
      <c r="R255" t="str">
        <f>"רתמות"</f>
        <v>רתמות</v>
      </c>
      <c r="S255" t="str">
        <f>"034"</f>
        <v>034</v>
      </c>
      <c r="T255" t="str">
        <f>"גנם הודיה"</f>
        <v>גנם הודיה</v>
      </c>
      <c r="U255">
        <v>0</v>
      </c>
      <c r="V255">
        <v>0</v>
      </c>
      <c r="W255">
        <v>691.5</v>
      </c>
      <c r="X255" s="2">
        <v>1383</v>
      </c>
      <c r="Z255" t="str">
        <f>"Y"</f>
        <v>Y</v>
      </c>
      <c r="AA255">
        <v>0</v>
      </c>
      <c r="AC255">
        <v>0</v>
      </c>
      <c r="AE255">
        <v>0</v>
      </c>
      <c r="AF255">
        <v>0</v>
      </c>
      <c r="AG255" s="2">
        <v>2437.54</v>
      </c>
      <c r="AH255">
        <v>0</v>
      </c>
      <c r="AI255" s="2">
        <v>4875.08</v>
      </c>
      <c r="AJ255" s="2">
        <v>1383</v>
      </c>
      <c r="AK255" s="2">
        <v>1383</v>
      </c>
      <c r="AL255" t="str">
        <f>"$"</f>
        <v>$</v>
      </c>
    </row>
    <row r="256" spans="1:38" x14ac:dyDescent="0.3">
      <c r="A256" t="str">
        <f>"SO20000201"</f>
        <v>SO20000201</v>
      </c>
      <c r="B256" t="str">
        <f>"E000311250"</f>
        <v>E000311250</v>
      </c>
      <c r="C256" t="str">
        <f>"בוצעה"</f>
        <v>בוצעה</v>
      </c>
      <c r="E256" s="3">
        <v>43970</v>
      </c>
      <c r="F256" s="3">
        <v>44108</v>
      </c>
      <c r="G256" t="str">
        <f>"700065"</f>
        <v>700065</v>
      </c>
      <c r="H256" t="str">
        <f>"אלתא מערכות בע""מ"</f>
        <v>אלתא מערכות בע"מ</v>
      </c>
      <c r="I256" t="str">
        <f>"ערן שלו"</f>
        <v>ערן שלו</v>
      </c>
      <c r="J256" t="str">
        <f>"OP-AR01743"</f>
        <v>OP-AR01743</v>
      </c>
      <c r="K256" s="1" t="str">
        <f>"1039V311-001 WP311- POWER 400VAC PEDESTAL TO PED"</f>
        <v>1039V311-001 WP311- POWER 400VAC PEDESTAL TO PED</v>
      </c>
      <c r="L256">
        <v>2</v>
      </c>
      <c r="M256" t="str">
        <f>"PR20000348"</f>
        <v>PR20000348</v>
      </c>
      <c r="N256" t="str">
        <f>"CONTROL AND DATA PED TO AFT. COM"</f>
        <v>CONTROL AND DATA PED TO AFT. COM</v>
      </c>
      <c r="O256">
        <v>688.57</v>
      </c>
      <c r="P256" t="str">
        <f>"$"</f>
        <v>$</v>
      </c>
      <c r="Q256" t="str">
        <f>"117"</f>
        <v>117</v>
      </c>
      <c r="R256" t="str">
        <f>"רתמות"</f>
        <v>רתמות</v>
      </c>
      <c r="S256" t="str">
        <f>"034"</f>
        <v>034</v>
      </c>
      <c r="T256" t="str">
        <f>"גנם הודיה"</f>
        <v>גנם הודיה</v>
      </c>
      <c r="U256">
        <v>0</v>
      </c>
      <c r="V256">
        <v>0</v>
      </c>
      <c r="W256">
        <v>688.57</v>
      </c>
      <c r="X256" s="2">
        <v>1377.14</v>
      </c>
      <c r="Z256" t="str">
        <f>"Y"</f>
        <v>Y</v>
      </c>
      <c r="AA256">
        <v>0</v>
      </c>
      <c r="AC256">
        <v>0</v>
      </c>
      <c r="AE256">
        <v>0</v>
      </c>
      <c r="AF256">
        <v>0</v>
      </c>
      <c r="AG256" s="2">
        <v>2427.21</v>
      </c>
      <c r="AH256">
        <v>0</v>
      </c>
      <c r="AI256" s="2">
        <v>4854.42</v>
      </c>
      <c r="AJ256" s="2">
        <v>1377.14</v>
      </c>
      <c r="AK256" s="2">
        <v>1377.14</v>
      </c>
      <c r="AL256" t="str">
        <f>"$"</f>
        <v>$</v>
      </c>
    </row>
    <row r="257" spans="1:38" x14ac:dyDescent="0.3">
      <c r="A257" t="str">
        <f>"SO20000201"</f>
        <v>SO20000201</v>
      </c>
      <c r="B257" t="str">
        <f>"E000311250"</f>
        <v>E000311250</v>
      </c>
      <c r="C257" t="str">
        <f>"בוצעה"</f>
        <v>בוצעה</v>
      </c>
      <c r="E257" s="3">
        <v>43970</v>
      </c>
      <c r="F257" s="3">
        <v>44108</v>
      </c>
      <c r="G257" t="str">
        <f>"700065"</f>
        <v>700065</v>
      </c>
      <c r="H257" t="str">
        <f>"אלתא מערכות בע""מ"</f>
        <v>אלתא מערכות בע"מ</v>
      </c>
      <c r="I257" t="str">
        <f>"ערן שלו"</f>
        <v>ערן שלו</v>
      </c>
      <c r="J257" t="str">
        <f>"OP-AR01744"</f>
        <v>OP-AR01744</v>
      </c>
      <c r="K257" s="1" t="str">
        <f>"1039V316-001 WP316 - POWER PEDESTAL TO PEDPNL (H"</f>
        <v>1039V316-001 WP316 - POWER PEDESTAL TO PEDPNL (H</v>
      </c>
      <c r="L257">
        <v>2</v>
      </c>
      <c r="M257" t="str">
        <f>"PR20000348"</f>
        <v>PR20000348</v>
      </c>
      <c r="N257" t="str">
        <f>"CONTROL AND DATA PED TO AFT. COM"</f>
        <v>CONTROL AND DATA PED TO AFT. COM</v>
      </c>
      <c r="O257">
        <v>922.71</v>
      </c>
      <c r="P257" t="str">
        <f>"$"</f>
        <v>$</v>
      </c>
      <c r="Q257" t="str">
        <f>"117"</f>
        <v>117</v>
      </c>
      <c r="R257" t="str">
        <f>"רתמות"</f>
        <v>רתמות</v>
      </c>
      <c r="S257" t="str">
        <f>"034"</f>
        <v>034</v>
      </c>
      <c r="T257" t="str">
        <f>"גנם הודיה"</f>
        <v>גנם הודיה</v>
      </c>
      <c r="U257">
        <v>0</v>
      </c>
      <c r="V257">
        <v>0</v>
      </c>
      <c r="W257">
        <v>922.71</v>
      </c>
      <c r="X257" s="2">
        <v>1845.42</v>
      </c>
      <c r="Z257" t="str">
        <f>"Y"</f>
        <v>Y</v>
      </c>
      <c r="AA257">
        <v>0</v>
      </c>
      <c r="AC257">
        <v>0</v>
      </c>
      <c r="AE257">
        <v>0</v>
      </c>
      <c r="AF257">
        <v>0</v>
      </c>
      <c r="AG257" s="2">
        <v>3252.55</v>
      </c>
      <c r="AH257">
        <v>0</v>
      </c>
      <c r="AI257" s="2">
        <v>6505.11</v>
      </c>
      <c r="AJ257" s="2">
        <v>1845.42</v>
      </c>
      <c r="AK257" s="2">
        <v>1845.42</v>
      </c>
      <c r="AL257" t="str">
        <f>"$"</f>
        <v>$</v>
      </c>
    </row>
    <row r="258" spans="1:38" x14ac:dyDescent="0.3">
      <c r="A258" t="str">
        <f>"SO20000201"</f>
        <v>SO20000201</v>
      </c>
      <c r="B258" t="str">
        <f>"E000311250"</f>
        <v>E000311250</v>
      </c>
      <c r="C258" t="str">
        <f>"בוצעה"</f>
        <v>בוצעה</v>
      </c>
      <c r="E258" s="3">
        <v>43970</v>
      </c>
      <c r="F258" s="3">
        <v>44108</v>
      </c>
      <c r="G258" t="str">
        <f>"700065"</f>
        <v>700065</v>
      </c>
      <c r="H258" t="str">
        <f>"אלתא מערכות בע""מ"</f>
        <v>אלתא מערכות בע"מ</v>
      </c>
      <c r="I258" t="str">
        <f>"ערן שלו"</f>
        <v>ערן שלו</v>
      </c>
      <c r="J258" t="str">
        <f>"OP-AR01745"</f>
        <v>OP-AR01745</v>
      </c>
      <c r="K258" s="1" t="str">
        <f>"1039V343-001 WP343 - POWER 230VAC PDB TO CHARGER"</f>
        <v>1039V343-001 WP343 - POWER 230VAC PDB TO CHARGER</v>
      </c>
      <c r="L258">
        <v>2</v>
      </c>
      <c r="M258" t="str">
        <f>"PR20000348"</f>
        <v>PR20000348</v>
      </c>
      <c r="N258" t="str">
        <f>"CONTROL AND DATA PED TO AFT. COM"</f>
        <v>CONTROL AND DATA PED TO AFT. COM</v>
      </c>
      <c r="O258">
        <v>334.51</v>
      </c>
      <c r="P258" t="str">
        <f>"$"</f>
        <v>$</v>
      </c>
      <c r="Q258" t="str">
        <f>"117"</f>
        <v>117</v>
      </c>
      <c r="R258" t="str">
        <f>"רתמות"</f>
        <v>רתמות</v>
      </c>
      <c r="S258" t="str">
        <f>"034"</f>
        <v>034</v>
      </c>
      <c r="T258" t="str">
        <f>"גנם הודיה"</f>
        <v>גנם הודיה</v>
      </c>
      <c r="U258">
        <v>0</v>
      </c>
      <c r="V258">
        <v>0</v>
      </c>
      <c r="W258">
        <v>334.51</v>
      </c>
      <c r="X258">
        <v>669.02</v>
      </c>
      <c r="Z258" t="str">
        <f>"Y"</f>
        <v>Y</v>
      </c>
      <c r="AA258">
        <v>0</v>
      </c>
      <c r="AC258">
        <v>0</v>
      </c>
      <c r="AE258">
        <v>0</v>
      </c>
      <c r="AF258">
        <v>0</v>
      </c>
      <c r="AG258" s="2">
        <v>1179.1500000000001</v>
      </c>
      <c r="AH258">
        <v>0</v>
      </c>
      <c r="AI258" s="2">
        <v>2358.3000000000002</v>
      </c>
      <c r="AJ258">
        <v>669.02</v>
      </c>
      <c r="AK258">
        <v>669.02</v>
      </c>
      <c r="AL258" t="str">
        <f>"$"</f>
        <v>$</v>
      </c>
    </row>
    <row r="259" spans="1:38" x14ac:dyDescent="0.3">
      <c r="A259" t="str">
        <f>"SO20000201"</f>
        <v>SO20000201</v>
      </c>
      <c r="B259" t="str">
        <f>"E000311250"</f>
        <v>E000311250</v>
      </c>
      <c r="C259" t="str">
        <f>"בוצעה"</f>
        <v>בוצעה</v>
      </c>
      <c r="E259" s="3">
        <v>43970</v>
      </c>
      <c r="F259" s="3">
        <v>44108</v>
      </c>
      <c r="G259" t="str">
        <f>"700065"</f>
        <v>700065</v>
      </c>
      <c r="H259" t="str">
        <f>"אלתא מערכות בע""מ"</f>
        <v>אלתא מערכות בע"מ</v>
      </c>
      <c r="I259" t="str">
        <f>"ערן שלו"</f>
        <v>ערן שלו</v>
      </c>
      <c r="J259" t="str">
        <f>"OP-AR01746"</f>
        <v>OP-AR01746</v>
      </c>
      <c r="K259" s="1" t="str">
        <f>"1037V770-001 WPG110-BONDING STRAP R.U. UPPER to"</f>
        <v>1037V770-001 WPG110-BONDING STRAP R.U. UPPER to</v>
      </c>
      <c r="L259">
        <v>2</v>
      </c>
      <c r="M259" t="str">
        <f>"PR20000348"</f>
        <v>PR20000348</v>
      </c>
      <c r="N259" t="str">
        <f>"CONTROL AND DATA PED TO AFT. COM"</f>
        <v>CONTROL AND DATA PED TO AFT. COM</v>
      </c>
      <c r="O259">
        <v>117.32</v>
      </c>
      <c r="P259" t="str">
        <f>"$"</f>
        <v>$</v>
      </c>
      <c r="Q259" t="str">
        <f>"117"</f>
        <v>117</v>
      </c>
      <c r="R259" t="str">
        <f>"רתמות"</f>
        <v>רתמות</v>
      </c>
      <c r="S259" t="str">
        <f>"034"</f>
        <v>034</v>
      </c>
      <c r="T259" t="str">
        <f>"גנם הודיה"</f>
        <v>גנם הודיה</v>
      </c>
      <c r="U259">
        <v>0</v>
      </c>
      <c r="V259">
        <v>0</v>
      </c>
      <c r="W259">
        <v>117.32</v>
      </c>
      <c r="X259">
        <v>234.64</v>
      </c>
      <c r="Z259" t="str">
        <f>"Y"</f>
        <v>Y</v>
      </c>
      <c r="AA259">
        <v>0</v>
      </c>
      <c r="AC259">
        <v>0</v>
      </c>
      <c r="AE259">
        <v>0</v>
      </c>
      <c r="AF259">
        <v>0</v>
      </c>
      <c r="AG259">
        <v>413.55</v>
      </c>
      <c r="AH259">
        <v>0</v>
      </c>
      <c r="AI259">
        <v>827.11</v>
      </c>
      <c r="AJ259">
        <v>234.64</v>
      </c>
      <c r="AK259">
        <v>234.64</v>
      </c>
      <c r="AL259" t="str">
        <f>"$"</f>
        <v>$</v>
      </c>
    </row>
    <row r="260" spans="1:38" x14ac:dyDescent="0.3">
      <c r="A260" t="str">
        <f>"SO20000201"</f>
        <v>SO20000201</v>
      </c>
      <c r="B260" t="str">
        <f>"E000311250"</f>
        <v>E000311250</v>
      </c>
      <c r="C260" t="str">
        <f>"בוצעה"</f>
        <v>בוצעה</v>
      </c>
      <c r="E260" s="3">
        <v>43970</v>
      </c>
      <c r="F260" s="3">
        <v>44108</v>
      </c>
      <c r="G260" t="str">
        <f>"700065"</f>
        <v>700065</v>
      </c>
      <c r="H260" t="str">
        <f>"אלתא מערכות בע""מ"</f>
        <v>אלתא מערכות בע"מ</v>
      </c>
      <c r="I260" t="str">
        <f>"ערן שלו"</f>
        <v>ערן שלו</v>
      </c>
      <c r="J260" t="str">
        <f>"OP-AR01747"</f>
        <v>OP-AR01747</v>
      </c>
      <c r="K260" s="1" t="str">
        <f>"1029P310-002 WP010 - CONTROL AND DATA MEB TO PED"</f>
        <v>1029P310-002 WP010 - CONTROL AND DATA MEB TO PED</v>
      </c>
      <c r="L260">
        <v>2</v>
      </c>
      <c r="M260" t="str">
        <f>"PR20000348"</f>
        <v>PR20000348</v>
      </c>
      <c r="N260" t="str">
        <f>"CONTROL AND DATA PED TO AFT. COM"</f>
        <v>CONTROL AND DATA PED TO AFT. COM</v>
      </c>
      <c r="O260" s="2">
        <v>1045.54</v>
      </c>
      <c r="P260" t="str">
        <f>"$"</f>
        <v>$</v>
      </c>
      <c r="Q260" t="str">
        <f>"117"</f>
        <v>117</v>
      </c>
      <c r="R260" t="str">
        <f>"רתמות"</f>
        <v>רתמות</v>
      </c>
      <c r="S260" t="str">
        <f>"034"</f>
        <v>034</v>
      </c>
      <c r="T260" t="str">
        <f>"גנם הודיה"</f>
        <v>גנם הודיה</v>
      </c>
      <c r="U260">
        <v>0</v>
      </c>
      <c r="V260">
        <v>0</v>
      </c>
      <c r="W260" s="2">
        <v>1045.54</v>
      </c>
      <c r="X260" s="2">
        <v>2091.08</v>
      </c>
      <c r="Z260" t="str">
        <f>"Y"</f>
        <v>Y</v>
      </c>
      <c r="AA260">
        <v>0</v>
      </c>
      <c r="AC260">
        <v>0</v>
      </c>
      <c r="AE260">
        <v>0</v>
      </c>
      <c r="AF260">
        <v>0</v>
      </c>
      <c r="AG260" s="2">
        <v>3685.53</v>
      </c>
      <c r="AH260">
        <v>0</v>
      </c>
      <c r="AI260" s="2">
        <v>7371.06</v>
      </c>
      <c r="AJ260" s="2">
        <v>2091.08</v>
      </c>
      <c r="AK260" s="2">
        <v>2091.08</v>
      </c>
      <c r="AL260" t="str">
        <f>"$"</f>
        <v>$</v>
      </c>
    </row>
    <row r="261" spans="1:38" x14ac:dyDescent="0.3">
      <c r="A261" t="str">
        <f>"SO20000201"</f>
        <v>SO20000201</v>
      </c>
      <c r="B261" t="str">
        <f>"E000311250"</f>
        <v>E000311250</v>
      </c>
      <c r="C261" t="str">
        <f>"בוצעה"</f>
        <v>בוצעה</v>
      </c>
      <c r="E261" s="3">
        <v>43970</v>
      </c>
      <c r="F261" s="3">
        <v>44108</v>
      </c>
      <c r="G261" t="str">
        <f>"700065"</f>
        <v>700065</v>
      </c>
      <c r="H261" t="str">
        <f>"אלתא מערכות בע""מ"</f>
        <v>אלתא מערכות בע"מ</v>
      </c>
      <c r="I261" t="str">
        <f>"ערן שלו"</f>
        <v>ערן שלו</v>
      </c>
      <c r="J261" t="str">
        <f>"OP-AR01748"</f>
        <v>OP-AR01748</v>
      </c>
      <c r="K261" s="1" t="str">
        <f>"1037V769-001 WPG109 - BONDUNG STRAP R.U. BOTTOM"</f>
        <v>1037V769-001 WPG109 - BONDUNG STRAP R.U. BOTTOM</v>
      </c>
      <c r="L261">
        <v>2</v>
      </c>
      <c r="M261" t="str">
        <f>"PR20000348"</f>
        <v>PR20000348</v>
      </c>
      <c r="N261" t="str">
        <f>"CONTROL AND DATA PED TO AFT. COM"</f>
        <v>CONTROL AND DATA PED TO AFT. COM</v>
      </c>
      <c r="O261">
        <v>132.4</v>
      </c>
      <c r="P261" t="str">
        <f>"$"</f>
        <v>$</v>
      </c>
      <c r="Q261" t="str">
        <f>"117"</f>
        <v>117</v>
      </c>
      <c r="R261" t="str">
        <f>"רתמות"</f>
        <v>רתמות</v>
      </c>
      <c r="S261" t="str">
        <f>"034"</f>
        <v>034</v>
      </c>
      <c r="T261" t="str">
        <f>"גנם הודיה"</f>
        <v>גנם הודיה</v>
      </c>
      <c r="U261">
        <v>0</v>
      </c>
      <c r="V261">
        <v>0</v>
      </c>
      <c r="W261">
        <v>132.4</v>
      </c>
      <c r="X261">
        <v>264.8</v>
      </c>
      <c r="Z261" t="str">
        <f>"Y"</f>
        <v>Y</v>
      </c>
      <c r="AA261">
        <v>0</v>
      </c>
      <c r="AC261">
        <v>0</v>
      </c>
      <c r="AE261">
        <v>0</v>
      </c>
      <c r="AF261">
        <v>0</v>
      </c>
      <c r="AG261">
        <v>466.71</v>
      </c>
      <c r="AH261">
        <v>0</v>
      </c>
      <c r="AI261">
        <v>933.42</v>
      </c>
      <c r="AJ261">
        <v>264.8</v>
      </c>
      <c r="AK261">
        <v>264.8</v>
      </c>
      <c r="AL261" t="str">
        <f>"$"</f>
        <v>$</v>
      </c>
    </row>
    <row r="262" spans="1:38" x14ac:dyDescent="0.3">
      <c r="A262" t="str">
        <f>"SO20000201"</f>
        <v>SO20000201</v>
      </c>
      <c r="B262" t="str">
        <f>"E000311250"</f>
        <v>E000311250</v>
      </c>
      <c r="C262" t="str">
        <f>"בוצעה"</f>
        <v>בוצעה</v>
      </c>
      <c r="E262" s="3">
        <v>43970</v>
      </c>
      <c r="F262" s="3">
        <v>44108</v>
      </c>
      <c r="G262" t="str">
        <f>"700065"</f>
        <v>700065</v>
      </c>
      <c r="H262" t="str">
        <f>"אלתא מערכות בע""מ"</f>
        <v>אלתא מערכות בע"מ</v>
      </c>
      <c r="I262" t="str">
        <f>"ערן שלו"</f>
        <v>ערן שלו</v>
      </c>
      <c r="J262" t="str">
        <f>"OP-AR01749"</f>
        <v>OP-AR01749</v>
      </c>
      <c r="K262" s="1" t="str">
        <f>"1037V763-001 WPG103-BONDING STRAP BATTERIES BOX"</f>
        <v>1037V763-001 WPG103-BONDING STRAP BATTERIES BOX</v>
      </c>
      <c r="L262">
        <v>2</v>
      </c>
      <c r="M262" t="str">
        <f>"PR20000348"</f>
        <v>PR20000348</v>
      </c>
      <c r="N262" t="str">
        <f>"CONTROL AND DATA PED TO AFT. COM"</f>
        <v>CONTROL AND DATA PED TO AFT. COM</v>
      </c>
      <c r="O262">
        <v>69.41</v>
      </c>
      <c r="P262" t="str">
        <f>"$"</f>
        <v>$</v>
      </c>
      <c r="Q262" t="str">
        <f>"117"</f>
        <v>117</v>
      </c>
      <c r="R262" t="str">
        <f>"רתמות"</f>
        <v>רתמות</v>
      </c>
      <c r="S262" t="str">
        <f>"034"</f>
        <v>034</v>
      </c>
      <c r="T262" t="str">
        <f>"גנם הודיה"</f>
        <v>גנם הודיה</v>
      </c>
      <c r="U262">
        <v>0</v>
      </c>
      <c r="V262">
        <v>0</v>
      </c>
      <c r="W262">
        <v>69.41</v>
      </c>
      <c r="X262">
        <v>138.82</v>
      </c>
      <c r="Z262" t="str">
        <f>"Y"</f>
        <v>Y</v>
      </c>
      <c r="AA262">
        <v>0</v>
      </c>
      <c r="AC262">
        <v>0</v>
      </c>
      <c r="AE262">
        <v>0</v>
      </c>
      <c r="AF262">
        <v>0</v>
      </c>
      <c r="AG262">
        <v>244.67</v>
      </c>
      <c r="AH262">
        <v>0</v>
      </c>
      <c r="AI262">
        <v>489.34</v>
      </c>
      <c r="AJ262">
        <v>138.82</v>
      </c>
      <c r="AK262">
        <v>138.82</v>
      </c>
      <c r="AL262" t="str">
        <f>"$"</f>
        <v>$</v>
      </c>
    </row>
    <row r="263" spans="1:38" x14ac:dyDescent="0.3">
      <c r="A263" t="str">
        <f>"SO20000201"</f>
        <v>SO20000201</v>
      </c>
      <c r="B263" t="str">
        <f>"E000311250"</f>
        <v>E000311250</v>
      </c>
      <c r="C263" t="str">
        <f>"בוצעה"</f>
        <v>בוצעה</v>
      </c>
      <c r="E263" s="3">
        <v>43970</v>
      </c>
      <c r="F263" s="3">
        <v>44108</v>
      </c>
      <c r="G263" t="str">
        <f>"700065"</f>
        <v>700065</v>
      </c>
      <c r="H263" t="str">
        <f>"אלתא מערכות בע""מ"</f>
        <v>אלתא מערכות בע"מ</v>
      </c>
      <c r="I263" t="str">
        <f>"ערן שלו"</f>
        <v>ערן שלו</v>
      </c>
      <c r="J263" t="str">
        <f>"OP-AR01750"</f>
        <v>OP-AR01750</v>
      </c>
      <c r="K263" s="1" t="str">
        <f>"1037V782-001 WPG115-BONDING STRAP AFT COMD BOX t"</f>
        <v>1037V782-001 WPG115-BONDING STRAP AFT COMD BOX t</v>
      </c>
      <c r="L263">
        <v>2</v>
      </c>
      <c r="M263" t="str">
        <f>"PR20000348"</f>
        <v>PR20000348</v>
      </c>
      <c r="N263" t="str">
        <f>"CONTROL AND DATA PED TO AFT. COM"</f>
        <v>CONTROL AND DATA PED TO AFT. COM</v>
      </c>
      <c r="O263">
        <v>74.95</v>
      </c>
      <c r="P263" t="str">
        <f>"$"</f>
        <v>$</v>
      </c>
      <c r="Q263" t="str">
        <f>"117"</f>
        <v>117</v>
      </c>
      <c r="R263" t="str">
        <f>"רתמות"</f>
        <v>רתמות</v>
      </c>
      <c r="S263" t="str">
        <f>"034"</f>
        <v>034</v>
      </c>
      <c r="T263" t="str">
        <f>"גנם הודיה"</f>
        <v>גנם הודיה</v>
      </c>
      <c r="U263">
        <v>0</v>
      </c>
      <c r="V263">
        <v>0</v>
      </c>
      <c r="W263">
        <v>74.95</v>
      </c>
      <c r="X263">
        <v>149.9</v>
      </c>
      <c r="Z263" t="str">
        <f>"Y"</f>
        <v>Y</v>
      </c>
      <c r="AA263">
        <v>0</v>
      </c>
      <c r="AC263">
        <v>0</v>
      </c>
      <c r="AE263">
        <v>0</v>
      </c>
      <c r="AF263">
        <v>0</v>
      </c>
      <c r="AG263">
        <v>264.2</v>
      </c>
      <c r="AH263">
        <v>0</v>
      </c>
      <c r="AI263">
        <v>528.4</v>
      </c>
      <c r="AJ263">
        <v>149.9</v>
      </c>
      <c r="AK263">
        <v>149.9</v>
      </c>
      <c r="AL263" t="str">
        <f>"$"</f>
        <v>$</v>
      </c>
    </row>
    <row r="264" spans="1:38" x14ac:dyDescent="0.3">
      <c r="A264" t="str">
        <f>"SO20000201"</f>
        <v>SO20000201</v>
      </c>
      <c r="B264" t="str">
        <f>"E000311250"</f>
        <v>E000311250</v>
      </c>
      <c r="C264" t="str">
        <f>"בוצעה"</f>
        <v>בוצעה</v>
      </c>
      <c r="E264" s="3">
        <v>43970</v>
      </c>
      <c r="F264" s="3">
        <v>44108</v>
      </c>
      <c r="G264" t="str">
        <f>"700065"</f>
        <v>700065</v>
      </c>
      <c r="H264" t="str">
        <f>"אלתא מערכות בע""מ"</f>
        <v>אלתא מערכות בע"מ</v>
      </c>
      <c r="I264" t="str">
        <f>"ערן שלו"</f>
        <v>ערן שלו</v>
      </c>
      <c r="J264" t="str">
        <f>"OP-AR01751"</f>
        <v>OP-AR01751</v>
      </c>
      <c r="K264" s="1" t="str">
        <f>"1036U407-001 WP437 - POWER AUX-BOX TO MEB"</f>
        <v>1036U407-001 WP437 - POWER AUX-BOX TO MEB</v>
      </c>
      <c r="L264">
        <v>2</v>
      </c>
      <c r="M264" t="str">
        <f>"PR20000348"</f>
        <v>PR20000348</v>
      </c>
      <c r="N264" t="str">
        <f>"CONTROL AND DATA PED TO AFT. COM"</f>
        <v>CONTROL AND DATA PED TO AFT. COM</v>
      </c>
      <c r="O264">
        <v>430.31</v>
      </c>
      <c r="P264" t="str">
        <f>"$"</f>
        <v>$</v>
      </c>
      <c r="Q264" t="str">
        <f>"117"</f>
        <v>117</v>
      </c>
      <c r="R264" t="str">
        <f>"רתמות"</f>
        <v>רתמות</v>
      </c>
      <c r="S264" t="str">
        <f>"034"</f>
        <v>034</v>
      </c>
      <c r="T264" t="str">
        <f>"גנם הודיה"</f>
        <v>גנם הודיה</v>
      </c>
      <c r="U264">
        <v>0</v>
      </c>
      <c r="V264">
        <v>0</v>
      </c>
      <c r="W264">
        <v>430.31</v>
      </c>
      <c r="X264">
        <v>860.62</v>
      </c>
      <c r="Z264" t="str">
        <f>"Y"</f>
        <v>Y</v>
      </c>
      <c r="AA264">
        <v>0</v>
      </c>
      <c r="AC264">
        <v>0</v>
      </c>
      <c r="AE264">
        <v>0</v>
      </c>
      <c r="AF264">
        <v>0</v>
      </c>
      <c r="AG264" s="2">
        <v>1516.84</v>
      </c>
      <c r="AH264">
        <v>0</v>
      </c>
      <c r="AI264" s="2">
        <v>3033.69</v>
      </c>
      <c r="AJ264">
        <v>860.62</v>
      </c>
      <c r="AK264">
        <v>860.62</v>
      </c>
      <c r="AL264" t="str">
        <f>"$"</f>
        <v>$</v>
      </c>
    </row>
    <row r="265" spans="1:38" x14ac:dyDescent="0.3">
      <c r="A265" t="str">
        <f>"SO20000201"</f>
        <v>SO20000201</v>
      </c>
      <c r="B265" t="str">
        <f>"E000311250"</f>
        <v>E000311250</v>
      </c>
      <c r="C265" t="str">
        <f>"בוצעה"</f>
        <v>בוצעה</v>
      </c>
      <c r="E265" s="3">
        <v>43970</v>
      </c>
      <c r="F265" s="3">
        <v>44108</v>
      </c>
      <c r="G265" t="str">
        <f>"700065"</f>
        <v>700065</v>
      </c>
      <c r="H265" t="str">
        <f>"אלתא מערכות בע""מ"</f>
        <v>אלתא מערכות בע"מ</v>
      </c>
      <c r="I265" t="str">
        <f>"ערן שלו"</f>
        <v>ערן שלו</v>
      </c>
      <c r="J265" t="str">
        <f>"OP-AR01752"</f>
        <v>OP-AR01752</v>
      </c>
      <c r="K265" s="1" t="str">
        <f>"1039V385-001 WP385 - POWER PEDESTAL TO PEDPNL (H"</f>
        <v>1039V385-001 WP385 - POWER PEDESTAL TO PEDPNL (H</v>
      </c>
      <c r="L265">
        <v>2</v>
      </c>
      <c r="M265" t="str">
        <f>"PR20000348"</f>
        <v>PR20000348</v>
      </c>
      <c r="N265" t="str">
        <f>"CONTROL AND DATA PED TO AFT. COM"</f>
        <v>CONTROL AND DATA PED TO AFT. COM</v>
      </c>
      <c r="O265">
        <v>922.71</v>
      </c>
      <c r="P265" t="str">
        <f>"$"</f>
        <v>$</v>
      </c>
      <c r="Q265" t="str">
        <f>"117"</f>
        <v>117</v>
      </c>
      <c r="R265" t="str">
        <f>"רתמות"</f>
        <v>רתמות</v>
      </c>
      <c r="S265" t="str">
        <f>"034"</f>
        <v>034</v>
      </c>
      <c r="T265" t="str">
        <f>"גנם הודיה"</f>
        <v>גנם הודיה</v>
      </c>
      <c r="U265">
        <v>0</v>
      </c>
      <c r="V265">
        <v>0</v>
      </c>
      <c r="W265">
        <v>922.71</v>
      </c>
      <c r="X265" s="2">
        <v>1845.42</v>
      </c>
      <c r="Z265" t="str">
        <f>"Y"</f>
        <v>Y</v>
      </c>
      <c r="AA265">
        <v>0</v>
      </c>
      <c r="AC265">
        <v>0</v>
      </c>
      <c r="AE265">
        <v>0</v>
      </c>
      <c r="AF265">
        <v>0</v>
      </c>
      <c r="AG265" s="2">
        <v>3252.55</v>
      </c>
      <c r="AH265">
        <v>0</v>
      </c>
      <c r="AI265" s="2">
        <v>6505.11</v>
      </c>
      <c r="AJ265" s="2">
        <v>1845.42</v>
      </c>
      <c r="AK265" s="2">
        <v>1845.42</v>
      </c>
      <c r="AL265" t="str">
        <f>"$"</f>
        <v>$</v>
      </c>
    </row>
    <row r="266" spans="1:38" x14ac:dyDescent="0.3">
      <c r="A266" t="str">
        <f>"SO20000201"</f>
        <v>SO20000201</v>
      </c>
      <c r="B266" t="str">
        <f>"E000311250"</f>
        <v>E000311250</v>
      </c>
      <c r="C266" t="str">
        <f>"בוצעה"</f>
        <v>בוצעה</v>
      </c>
      <c r="E266" s="3">
        <v>43970</v>
      </c>
      <c r="F266" s="3">
        <v>44108</v>
      </c>
      <c r="G266" t="str">
        <f>"700065"</f>
        <v>700065</v>
      </c>
      <c r="H266" t="str">
        <f>"אלתא מערכות בע""מ"</f>
        <v>אלתא מערכות בע"מ</v>
      </c>
      <c r="I266" t="str">
        <f>"ערן שלו"</f>
        <v>ערן שלו</v>
      </c>
      <c r="J266" t="str">
        <f>"OP-AR01753"</f>
        <v>OP-AR01753</v>
      </c>
      <c r="K266" s="1" t="str">
        <f>"1039V355-001 WP355 - POWER PDB to LTSU and LOAD"</f>
        <v>1039V355-001 WP355 - POWER PDB to LTSU and LOAD</v>
      </c>
      <c r="L266">
        <v>2</v>
      </c>
      <c r="M266" t="str">
        <f>"PR20000348"</f>
        <v>PR20000348</v>
      </c>
      <c r="N266" t="str">
        <f>"CONTROL AND DATA PED TO AFT. COM"</f>
        <v>CONTROL AND DATA PED TO AFT. COM</v>
      </c>
      <c r="O266">
        <v>781.79</v>
      </c>
      <c r="P266" t="str">
        <f>"$"</f>
        <v>$</v>
      </c>
      <c r="Q266" t="str">
        <f>"117"</f>
        <v>117</v>
      </c>
      <c r="R266" t="str">
        <f>"רתמות"</f>
        <v>רתמות</v>
      </c>
      <c r="S266" t="str">
        <f>"034"</f>
        <v>034</v>
      </c>
      <c r="T266" t="str">
        <f>"גנם הודיה"</f>
        <v>גנם הודיה</v>
      </c>
      <c r="U266">
        <v>0</v>
      </c>
      <c r="V266">
        <v>0</v>
      </c>
      <c r="W266">
        <v>781.79</v>
      </c>
      <c r="X266" s="2">
        <v>1563.58</v>
      </c>
      <c r="Z266" t="str">
        <f>"Y"</f>
        <v>Y</v>
      </c>
      <c r="AA266">
        <v>0</v>
      </c>
      <c r="AC266">
        <v>0</v>
      </c>
      <c r="AE266">
        <v>0</v>
      </c>
      <c r="AF266">
        <v>0</v>
      </c>
      <c r="AG266" s="2">
        <v>2755.81</v>
      </c>
      <c r="AH266">
        <v>0</v>
      </c>
      <c r="AI266" s="2">
        <v>5511.62</v>
      </c>
      <c r="AJ266" s="2">
        <v>1563.58</v>
      </c>
      <c r="AK266" s="2">
        <v>1563.58</v>
      </c>
      <c r="AL266" t="str">
        <f>"$"</f>
        <v>$</v>
      </c>
    </row>
    <row r="267" spans="1:38" x14ac:dyDescent="0.3">
      <c r="A267" t="str">
        <f>"SO20000201"</f>
        <v>SO20000201</v>
      </c>
      <c r="B267" t="str">
        <f>"E000311250"</f>
        <v>E000311250</v>
      </c>
      <c r="C267" t="str">
        <f>"בוצעה"</f>
        <v>בוצעה</v>
      </c>
      <c r="E267" s="3">
        <v>43970</v>
      </c>
      <c r="F267" s="3">
        <v>44108</v>
      </c>
      <c r="G267" t="str">
        <f>"700065"</f>
        <v>700065</v>
      </c>
      <c r="H267" t="str">
        <f>"אלתא מערכות בע""מ"</f>
        <v>אלתא מערכות בע"מ</v>
      </c>
      <c r="I267" t="str">
        <f>"ערן שלו"</f>
        <v>ערן שלו</v>
      </c>
      <c r="J267" t="str">
        <f>"OP-AR01754"</f>
        <v>OP-AR01754</v>
      </c>
      <c r="K267" s="1" t="str">
        <f>"1036U446-001 WP446 - POWER 48VDC CHARGER TO PDB"</f>
        <v>1036U446-001 WP446 - POWER 48VDC CHARGER TO PDB</v>
      </c>
      <c r="L267">
        <v>2</v>
      </c>
      <c r="M267" t="str">
        <f>"PR20000348"</f>
        <v>PR20000348</v>
      </c>
      <c r="N267" t="str">
        <f>"CONTROL AND DATA PED TO AFT. COM"</f>
        <v>CONTROL AND DATA PED TO AFT. COM</v>
      </c>
      <c r="O267">
        <v>489.53</v>
      </c>
      <c r="P267" t="str">
        <f>"$"</f>
        <v>$</v>
      </c>
      <c r="Q267" t="str">
        <f>"117"</f>
        <v>117</v>
      </c>
      <c r="R267" t="str">
        <f>"רתמות"</f>
        <v>רתמות</v>
      </c>
      <c r="S267" t="str">
        <f>"034"</f>
        <v>034</v>
      </c>
      <c r="T267" t="str">
        <f>"גנם הודיה"</f>
        <v>גנם הודיה</v>
      </c>
      <c r="U267">
        <v>0</v>
      </c>
      <c r="V267">
        <v>0</v>
      </c>
      <c r="W267">
        <v>489.53</v>
      </c>
      <c r="X267">
        <v>979.06</v>
      </c>
      <c r="Z267" t="str">
        <f>"Y"</f>
        <v>Y</v>
      </c>
      <c r="AA267">
        <v>0</v>
      </c>
      <c r="AC267">
        <v>0</v>
      </c>
      <c r="AE267">
        <v>0</v>
      </c>
      <c r="AF267">
        <v>0</v>
      </c>
      <c r="AG267" s="2">
        <v>1725.59</v>
      </c>
      <c r="AH267">
        <v>0</v>
      </c>
      <c r="AI267" s="2">
        <v>3451.19</v>
      </c>
      <c r="AJ267">
        <v>979.06</v>
      </c>
      <c r="AK267">
        <v>979.06</v>
      </c>
      <c r="AL267" t="str">
        <f>"$"</f>
        <v>$</v>
      </c>
    </row>
    <row r="268" spans="1:38" x14ac:dyDescent="0.3">
      <c r="A268" t="str">
        <f>"SO20000201"</f>
        <v>SO20000201</v>
      </c>
      <c r="B268" t="str">
        <f>"E000311250"</f>
        <v>E000311250</v>
      </c>
      <c r="C268" t="str">
        <f>"בוצעה"</f>
        <v>בוצעה</v>
      </c>
      <c r="E268" s="3">
        <v>43970</v>
      </c>
      <c r="F268" s="3">
        <v>44108</v>
      </c>
      <c r="G268" t="str">
        <f>"700065"</f>
        <v>700065</v>
      </c>
      <c r="H268" t="str">
        <f>"אלתא מערכות בע""מ"</f>
        <v>אלתא מערכות בע"מ</v>
      </c>
      <c r="I268" t="str">
        <f>"ערן שלו"</f>
        <v>ערן שלו</v>
      </c>
      <c r="J268" t="str">
        <f>"OP-AR01755"</f>
        <v>OP-AR01755</v>
      </c>
      <c r="K268" s="1" t="str">
        <f>"1036U445-001 WP445 - CONTROL 48VDC BATTERY TO CH"</f>
        <v>1036U445-001 WP445 - CONTROL 48VDC BATTERY TO CH</v>
      </c>
      <c r="L268">
        <v>2</v>
      </c>
      <c r="M268" t="str">
        <f>"PR20000348"</f>
        <v>PR20000348</v>
      </c>
      <c r="N268" t="str">
        <f>"CONTROL AND DATA PED TO AFT. COM"</f>
        <v>CONTROL AND DATA PED TO AFT. COM</v>
      </c>
      <c r="O268">
        <v>532.86</v>
      </c>
      <c r="P268" t="str">
        <f>"$"</f>
        <v>$</v>
      </c>
      <c r="Q268" t="str">
        <f>"117"</f>
        <v>117</v>
      </c>
      <c r="R268" t="str">
        <f>"רתמות"</f>
        <v>רתמות</v>
      </c>
      <c r="S268" t="str">
        <f>"034"</f>
        <v>034</v>
      </c>
      <c r="T268" t="str">
        <f>"גנם הודיה"</f>
        <v>גנם הודיה</v>
      </c>
      <c r="U268">
        <v>0</v>
      </c>
      <c r="V268">
        <v>0</v>
      </c>
      <c r="W268">
        <v>532.86</v>
      </c>
      <c r="X268" s="2">
        <v>1065.72</v>
      </c>
      <c r="Z268" t="str">
        <f>"Y"</f>
        <v>Y</v>
      </c>
      <c r="AA268">
        <v>0</v>
      </c>
      <c r="AC268">
        <v>0</v>
      </c>
      <c r="AE268">
        <v>0</v>
      </c>
      <c r="AF268">
        <v>0</v>
      </c>
      <c r="AG268" s="2">
        <v>1878.33</v>
      </c>
      <c r="AH268">
        <v>0</v>
      </c>
      <c r="AI268" s="2">
        <v>3756.66</v>
      </c>
      <c r="AJ268" s="2">
        <v>1065.72</v>
      </c>
      <c r="AK268" s="2">
        <v>1065.72</v>
      </c>
      <c r="AL268" t="str">
        <f>"$"</f>
        <v>$</v>
      </c>
    </row>
    <row r="269" spans="1:38" x14ac:dyDescent="0.3">
      <c r="A269" t="str">
        <f>"SO20000201"</f>
        <v>SO20000201</v>
      </c>
      <c r="B269" t="str">
        <f>"E000311250"</f>
        <v>E000311250</v>
      </c>
      <c r="C269" t="str">
        <f>"בוצעה"</f>
        <v>בוצעה</v>
      </c>
      <c r="E269" s="3">
        <v>43970</v>
      </c>
      <c r="F269" s="3">
        <v>44108</v>
      </c>
      <c r="G269" t="str">
        <f>"700065"</f>
        <v>700065</v>
      </c>
      <c r="H269" t="str">
        <f>"אלתא מערכות בע""מ"</f>
        <v>אלתא מערכות בע"מ</v>
      </c>
      <c r="I269" t="str">
        <f>"ערן שלו"</f>
        <v>ערן שלו</v>
      </c>
      <c r="J269" t="str">
        <f>"OP-AR01756"</f>
        <v>OP-AR01756</v>
      </c>
      <c r="K269" s="1" t="str">
        <f>"1036U457-001 WP457 - PWR PDB TO JACK BOX"</f>
        <v>1036U457-001 WP457 - PWR PDB TO JACK BOX</v>
      </c>
      <c r="L269">
        <v>2</v>
      </c>
      <c r="M269" t="str">
        <f>"PR20000348"</f>
        <v>PR20000348</v>
      </c>
      <c r="N269" t="str">
        <f>"CONTROL AND DATA PED TO AFT. COM"</f>
        <v>CONTROL AND DATA PED TO AFT. COM</v>
      </c>
      <c r="O269">
        <v>655.78</v>
      </c>
      <c r="P269" t="str">
        <f>"$"</f>
        <v>$</v>
      </c>
      <c r="Q269" t="str">
        <f>"117"</f>
        <v>117</v>
      </c>
      <c r="R269" t="str">
        <f>"רתמות"</f>
        <v>רתמות</v>
      </c>
      <c r="S269" t="str">
        <f>"034"</f>
        <v>034</v>
      </c>
      <c r="T269" t="str">
        <f>"גנם הודיה"</f>
        <v>גנם הודיה</v>
      </c>
      <c r="U269">
        <v>0</v>
      </c>
      <c r="V269">
        <v>0</v>
      </c>
      <c r="W269">
        <v>655.78</v>
      </c>
      <c r="X269" s="2">
        <v>1311.56</v>
      </c>
      <c r="Z269" t="str">
        <f>"Y"</f>
        <v>Y</v>
      </c>
      <c r="AA269">
        <v>0</v>
      </c>
      <c r="AC269">
        <v>0</v>
      </c>
      <c r="AE269">
        <v>0</v>
      </c>
      <c r="AF269">
        <v>0</v>
      </c>
      <c r="AG269" s="2">
        <v>2311.62</v>
      </c>
      <c r="AH269">
        <v>0</v>
      </c>
      <c r="AI269" s="2">
        <v>4623.25</v>
      </c>
      <c r="AJ269" s="2">
        <v>1311.56</v>
      </c>
      <c r="AK269" s="2">
        <v>1311.56</v>
      </c>
      <c r="AL269" t="str">
        <f>"$"</f>
        <v>$</v>
      </c>
    </row>
    <row r="270" spans="1:38" x14ac:dyDescent="0.3">
      <c r="A270" t="str">
        <f>"SO20000201"</f>
        <v>SO20000201</v>
      </c>
      <c r="B270" t="str">
        <f>"E000311250"</f>
        <v>E000311250</v>
      </c>
      <c r="C270" t="str">
        <f>"בוצעה"</f>
        <v>בוצעה</v>
      </c>
      <c r="E270" s="3">
        <v>43970</v>
      </c>
      <c r="F270" s="3">
        <v>44108</v>
      </c>
      <c r="G270" t="str">
        <f>"700065"</f>
        <v>700065</v>
      </c>
      <c r="H270" t="str">
        <f>"אלתא מערכות בע""מ"</f>
        <v>אלתא מערכות בע"מ</v>
      </c>
      <c r="I270" t="str">
        <f>"ערן שלו"</f>
        <v>ערן שלו</v>
      </c>
      <c r="J270" t="str">
        <f>"OP-AR01757"</f>
        <v>OP-AR01757</v>
      </c>
      <c r="K270" s="1" t="str">
        <f>"1036U461-001 WP461 - RIGHT REAR POWER JACK-EXTEN"</f>
        <v>1036U461-001 WP461 - RIGHT REAR POWER JACK-EXTEN</v>
      </c>
      <c r="L270">
        <v>2</v>
      </c>
      <c r="M270" t="str">
        <f>"PR20000348"</f>
        <v>PR20000348</v>
      </c>
      <c r="N270" t="str">
        <f>"CONTROL AND DATA PED TO AFT. COM"</f>
        <v>CONTROL AND DATA PED TO AFT. COM</v>
      </c>
      <c r="O270">
        <v>499.33</v>
      </c>
      <c r="P270" t="str">
        <f>"$"</f>
        <v>$</v>
      </c>
      <c r="Q270" t="str">
        <f>"117"</f>
        <v>117</v>
      </c>
      <c r="R270" t="str">
        <f>"רתמות"</f>
        <v>רתמות</v>
      </c>
      <c r="S270" t="str">
        <f>"034"</f>
        <v>034</v>
      </c>
      <c r="T270" t="str">
        <f>"גנם הודיה"</f>
        <v>גנם הודיה</v>
      </c>
      <c r="U270">
        <v>0</v>
      </c>
      <c r="V270">
        <v>0</v>
      </c>
      <c r="W270">
        <v>499.33</v>
      </c>
      <c r="X270">
        <v>998.66</v>
      </c>
      <c r="Z270" t="str">
        <f>"Y"</f>
        <v>Y</v>
      </c>
      <c r="AA270">
        <v>0</v>
      </c>
      <c r="AC270">
        <v>0</v>
      </c>
      <c r="AE270">
        <v>0</v>
      </c>
      <c r="AF270">
        <v>0</v>
      </c>
      <c r="AG270" s="2">
        <v>1760.14</v>
      </c>
      <c r="AH270">
        <v>0</v>
      </c>
      <c r="AI270" s="2">
        <v>3520.28</v>
      </c>
      <c r="AJ270">
        <v>998.66</v>
      </c>
      <c r="AK270">
        <v>998.66</v>
      </c>
      <c r="AL270" t="str">
        <f>"$"</f>
        <v>$</v>
      </c>
    </row>
    <row r="271" spans="1:38" x14ac:dyDescent="0.3">
      <c r="A271" t="str">
        <f>"SO20000201"</f>
        <v>SO20000201</v>
      </c>
      <c r="B271" t="str">
        <f>"E000311250"</f>
        <v>E000311250</v>
      </c>
      <c r="C271" t="str">
        <f>"בוצעה"</f>
        <v>בוצעה</v>
      </c>
      <c r="E271" s="3">
        <v>43970</v>
      </c>
      <c r="F271" s="3">
        <v>44108</v>
      </c>
      <c r="G271" t="str">
        <f>"700065"</f>
        <v>700065</v>
      </c>
      <c r="H271" t="str">
        <f>"אלתא מערכות בע""מ"</f>
        <v>אלתא מערכות בע"מ</v>
      </c>
      <c r="I271" t="str">
        <f>"ערן שלו"</f>
        <v>ערן שלו</v>
      </c>
      <c r="J271" t="str">
        <f>"OP-AR01758"</f>
        <v>OP-AR01758</v>
      </c>
      <c r="K271" s="1" t="str">
        <f>"1039V368-001 WP368 - CONTROL LDE TO LEFT FRONT J"</f>
        <v>1039V368-001 WP368 - CONTROL LDE TO LEFT FRONT J</v>
      </c>
      <c r="L271">
        <v>2</v>
      </c>
      <c r="M271" t="str">
        <f>"PR20000348"</f>
        <v>PR20000348</v>
      </c>
      <c r="N271" t="str">
        <f>"CONTROL AND DATA PED TO AFT. COM"</f>
        <v>CONTROL AND DATA PED TO AFT. COM</v>
      </c>
      <c r="O271">
        <v>752.69</v>
      </c>
      <c r="P271" t="str">
        <f>"$"</f>
        <v>$</v>
      </c>
      <c r="Q271" t="str">
        <f>"117"</f>
        <v>117</v>
      </c>
      <c r="R271" t="str">
        <f>"רתמות"</f>
        <v>רתמות</v>
      </c>
      <c r="S271" t="str">
        <f>"034"</f>
        <v>034</v>
      </c>
      <c r="T271" t="str">
        <f>"גנם הודיה"</f>
        <v>גנם הודיה</v>
      </c>
      <c r="U271">
        <v>0</v>
      </c>
      <c r="V271">
        <v>0</v>
      </c>
      <c r="W271">
        <v>752.69</v>
      </c>
      <c r="X271" s="2">
        <v>1505.38</v>
      </c>
      <c r="Z271" t="str">
        <f>"Y"</f>
        <v>Y</v>
      </c>
      <c r="AA271">
        <v>0</v>
      </c>
      <c r="AC271">
        <v>0</v>
      </c>
      <c r="AE271">
        <v>0</v>
      </c>
      <c r="AF271">
        <v>0</v>
      </c>
      <c r="AG271" s="2">
        <v>2653.23</v>
      </c>
      <c r="AH271">
        <v>0</v>
      </c>
      <c r="AI271" s="2">
        <v>5306.46</v>
      </c>
      <c r="AJ271" s="2">
        <v>1505.38</v>
      </c>
      <c r="AK271" s="2">
        <v>1505.38</v>
      </c>
      <c r="AL271" t="str">
        <f>"$"</f>
        <v>$</v>
      </c>
    </row>
    <row r="272" spans="1:38" x14ac:dyDescent="0.3">
      <c r="A272" t="str">
        <f>"SO20000201"</f>
        <v>SO20000201</v>
      </c>
      <c r="B272" t="str">
        <f>"E000311250"</f>
        <v>E000311250</v>
      </c>
      <c r="C272" t="str">
        <f>"בוצעה"</f>
        <v>בוצעה</v>
      </c>
      <c r="E272" s="3">
        <v>43970</v>
      </c>
      <c r="F272" s="3">
        <v>44108</v>
      </c>
      <c r="G272" t="str">
        <f>"700065"</f>
        <v>700065</v>
      </c>
      <c r="H272" t="str">
        <f>"אלתא מערכות בע""מ"</f>
        <v>אלתא מערכות בע"מ</v>
      </c>
      <c r="I272" t="str">
        <f>"ערן שלו"</f>
        <v>ערן שלו</v>
      </c>
      <c r="J272" t="str">
        <f>"OP-AR01759"</f>
        <v>OP-AR01759</v>
      </c>
      <c r="K272" s="1" t="str">
        <f>"1039V367-001 WP367 - CONTROL LDE TO RIGHT FRONT"</f>
        <v>1039V367-001 WP367 - CONTROL LDE TO RIGHT FRONT</v>
      </c>
      <c r="L272">
        <v>2</v>
      </c>
      <c r="M272" t="str">
        <f>"PR20000348"</f>
        <v>PR20000348</v>
      </c>
      <c r="N272" t="str">
        <f>"CONTROL AND DATA PED TO AFT. COM"</f>
        <v>CONTROL AND DATA PED TO AFT. COM</v>
      </c>
      <c r="O272">
        <v>653.37</v>
      </c>
      <c r="P272" t="str">
        <f>"$"</f>
        <v>$</v>
      </c>
      <c r="Q272" t="str">
        <f>"117"</f>
        <v>117</v>
      </c>
      <c r="R272" t="str">
        <f>"רתמות"</f>
        <v>רתמות</v>
      </c>
      <c r="S272" t="str">
        <f>"034"</f>
        <v>034</v>
      </c>
      <c r="T272" t="str">
        <f>"גנם הודיה"</f>
        <v>גנם הודיה</v>
      </c>
      <c r="U272">
        <v>0</v>
      </c>
      <c r="V272">
        <v>0</v>
      </c>
      <c r="W272">
        <v>653.37</v>
      </c>
      <c r="X272" s="2">
        <v>1306.74</v>
      </c>
      <c r="Z272" t="str">
        <f>"Y"</f>
        <v>Y</v>
      </c>
      <c r="AA272">
        <v>0</v>
      </c>
      <c r="AC272">
        <v>0</v>
      </c>
      <c r="AE272">
        <v>0</v>
      </c>
      <c r="AF272">
        <v>0</v>
      </c>
      <c r="AG272" s="2">
        <v>2303.13</v>
      </c>
      <c r="AH272">
        <v>0</v>
      </c>
      <c r="AI272" s="2">
        <v>4606.26</v>
      </c>
      <c r="AJ272" s="2">
        <v>1306.74</v>
      </c>
      <c r="AK272" s="2">
        <v>1306.74</v>
      </c>
      <c r="AL272" t="str">
        <f>"$"</f>
        <v>$</v>
      </c>
    </row>
    <row r="273" spans="1:38" x14ac:dyDescent="0.3">
      <c r="A273" t="str">
        <f>"SO20000201"</f>
        <v>SO20000201</v>
      </c>
      <c r="B273" t="str">
        <f>"E000311250"</f>
        <v>E000311250</v>
      </c>
      <c r="C273" t="str">
        <f>"בוצעה"</f>
        <v>בוצעה</v>
      </c>
      <c r="E273" s="3">
        <v>43970</v>
      </c>
      <c r="F273" s="3">
        <v>44108</v>
      </c>
      <c r="G273" t="str">
        <f>"700065"</f>
        <v>700065</v>
      </c>
      <c r="H273" t="str">
        <f>"אלתא מערכות בע""מ"</f>
        <v>אלתא מערכות בע"מ</v>
      </c>
      <c r="I273" t="str">
        <f>"ערן שלו"</f>
        <v>ערן שלו</v>
      </c>
      <c r="J273" t="str">
        <f>"OP-AR01760"</f>
        <v>OP-AR01760</v>
      </c>
      <c r="K273" s="1" t="str">
        <f>"1039V384-001 WP384 - POWER PEDESTAL TO PEDPNL (H"</f>
        <v>1039V384-001 WP384 - POWER PEDESTAL TO PEDPNL (H</v>
      </c>
      <c r="L273">
        <v>2</v>
      </c>
      <c r="M273" t="str">
        <f>"PR20000348"</f>
        <v>PR20000348</v>
      </c>
      <c r="N273" t="str">
        <f>"CONTROL AND DATA PED TO AFT. COM"</f>
        <v>CONTROL AND DATA PED TO AFT. COM</v>
      </c>
      <c r="O273">
        <v>915.53</v>
      </c>
      <c r="P273" t="str">
        <f>"$"</f>
        <v>$</v>
      </c>
      <c r="Q273" t="str">
        <f>"117"</f>
        <v>117</v>
      </c>
      <c r="R273" t="str">
        <f>"רתמות"</f>
        <v>רתמות</v>
      </c>
      <c r="S273" t="str">
        <f>"034"</f>
        <v>034</v>
      </c>
      <c r="T273" t="str">
        <f>"גנם הודיה"</f>
        <v>גנם הודיה</v>
      </c>
      <c r="U273">
        <v>0</v>
      </c>
      <c r="V273">
        <v>0</v>
      </c>
      <c r="W273">
        <v>915.53</v>
      </c>
      <c r="X273" s="2">
        <v>1831.06</v>
      </c>
      <c r="Z273" t="str">
        <f>"Y"</f>
        <v>Y</v>
      </c>
      <c r="AA273">
        <v>0</v>
      </c>
      <c r="AC273">
        <v>0</v>
      </c>
      <c r="AE273">
        <v>0</v>
      </c>
      <c r="AF273">
        <v>0</v>
      </c>
      <c r="AG273" s="2">
        <v>3227.24</v>
      </c>
      <c r="AH273">
        <v>0</v>
      </c>
      <c r="AI273" s="2">
        <v>6454.49</v>
      </c>
      <c r="AJ273" s="2">
        <v>1831.06</v>
      </c>
      <c r="AK273" s="2">
        <v>1831.06</v>
      </c>
      <c r="AL273" t="str">
        <f>"$"</f>
        <v>$</v>
      </c>
    </row>
    <row r="274" spans="1:38" x14ac:dyDescent="0.3">
      <c r="A274" t="str">
        <f>"SO20000201"</f>
        <v>SO20000201</v>
      </c>
      <c r="B274" t="str">
        <f>"E000311250"</f>
        <v>E000311250</v>
      </c>
      <c r="C274" t="str">
        <f>"בוצעה"</f>
        <v>בוצעה</v>
      </c>
      <c r="E274" s="3">
        <v>43970</v>
      </c>
      <c r="F274" s="3">
        <v>44108</v>
      </c>
      <c r="G274" t="str">
        <f>"700065"</f>
        <v>700065</v>
      </c>
      <c r="H274" t="str">
        <f>"אלתא מערכות בע""מ"</f>
        <v>אלתא מערכות בע"מ</v>
      </c>
      <c r="I274" t="str">
        <f>"ערן שלו"</f>
        <v>ערן שלו</v>
      </c>
      <c r="J274" t="str">
        <f>"OP-AR01761"</f>
        <v>OP-AR01761</v>
      </c>
      <c r="K274" s="1" t="str">
        <f>"1036U406-001 WP436 - POWER 400VAC AUX-BOX TO MEB"</f>
        <v>1036U406-001 WP436 - POWER 400VAC AUX-BOX TO MEB</v>
      </c>
      <c r="L274">
        <v>2</v>
      </c>
      <c r="M274" t="str">
        <f>"PR20000348"</f>
        <v>PR20000348</v>
      </c>
      <c r="N274" t="str">
        <f>"CONTROL AND DATA PED TO AFT. COM"</f>
        <v>CONTROL AND DATA PED TO AFT. COM</v>
      </c>
      <c r="O274">
        <v>780.43</v>
      </c>
      <c r="P274" t="str">
        <f>"$"</f>
        <v>$</v>
      </c>
      <c r="Q274" t="str">
        <f>"117"</f>
        <v>117</v>
      </c>
      <c r="R274" t="str">
        <f>"רתמות"</f>
        <v>רתמות</v>
      </c>
      <c r="S274" t="str">
        <f>"034"</f>
        <v>034</v>
      </c>
      <c r="T274" t="str">
        <f>"גנם הודיה"</f>
        <v>גנם הודיה</v>
      </c>
      <c r="U274">
        <v>0</v>
      </c>
      <c r="V274">
        <v>0</v>
      </c>
      <c r="W274">
        <v>780.43</v>
      </c>
      <c r="X274" s="2">
        <v>1560.86</v>
      </c>
      <c r="Z274" t="str">
        <f>"Y"</f>
        <v>Y</v>
      </c>
      <c r="AA274">
        <v>0</v>
      </c>
      <c r="AC274">
        <v>0</v>
      </c>
      <c r="AE274">
        <v>0</v>
      </c>
      <c r="AF274">
        <v>0</v>
      </c>
      <c r="AG274" s="2">
        <v>2751.02</v>
      </c>
      <c r="AH274">
        <v>0</v>
      </c>
      <c r="AI274" s="2">
        <v>5502.03</v>
      </c>
      <c r="AJ274" s="2">
        <v>1560.86</v>
      </c>
      <c r="AK274" s="2">
        <v>1560.86</v>
      </c>
      <c r="AL274" t="str">
        <f>"$"</f>
        <v>$</v>
      </c>
    </row>
    <row r="275" spans="1:38" x14ac:dyDescent="0.3">
      <c r="A275" t="str">
        <f>"SO20000201"</f>
        <v>SO20000201</v>
      </c>
      <c r="B275" t="str">
        <f>"E000311250"</f>
        <v>E000311250</v>
      </c>
      <c r="C275" t="str">
        <f>"בוצעה"</f>
        <v>בוצעה</v>
      </c>
      <c r="E275" s="3">
        <v>43970</v>
      </c>
      <c r="F275" s="3">
        <v>44108</v>
      </c>
      <c r="G275" t="str">
        <f>"700065"</f>
        <v>700065</v>
      </c>
      <c r="H275" t="str">
        <f>"אלתא מערכות בע""מ"</f>
        <v>אלתא מערכות בע"מ</v>
      </c>
      <c r="I275" t="str">
        <f>"ערן שלו"</f>
        <v>ערן שלו</v>
      </c>
      <c r="J275" t="str">
        <f>"OP-AR01762"</f>
        <v>OP-AR01762</v>
      </c>
      <c r="K275" s="1" t="str">
        <f>"1036U402-001 WP432 - MEB AZ/EL MOTORS"</f>
        <v>1036U402-001 WP432 - MEB AZ/EL MOTORS</v>
      </c>
      <c r="L275">
        <v>2</v>
      </c>
      <c r="M275" t="str">
        <f>"PR20000348"</f>
        <v>PR20000348</v>
      </c>
      <c r="N275" t="str">
        <f>"CONTROL AND DATA PED TO AFT. COM"</f>
        <v>CONTROL AND DATA PED TO AFT. COM</v>
      </c>
      <c r="O275">
        <v>930.63</v>
      </c>
      <c r="P275" t="str">
        <f>"$"</f>
        <v>$</v>
      </c>
      <c r="Q275" t="str">
        <f>"117"</f>
        <v>117</v>
      </c>
      <c r="R275" t="str">
        <f>"רתמות"</f>
        <v>רתמות</v>
      </c>
      <c r="S275" t="str">
        <f>"034"</f>
        <v>034</v>
      </c>
      <c r="T275" t="str">
        <f>"גנם הודיה"</f>
        <v>גנם הודיה</v>
      </c>
      <c r="U275">
        <v>0</v>
      </c>
      <c r="V275">
        <v>0</v>
      </c>
      <c r="W275">
        <v>930.63</v>
      </c>
      <c r="X275" s="2">
        <v>1861.26</v>
      </c>
      <c r="Z275" t="str">
        <f>"Y"</f>
        <v>Y</v>
      </c>
      <c r="AA275">
        <v>0</v>
      </c>
      <c r="AC275">
        <v>0</v>
      </c>
      <c r="AE275">
        <v>0</v>
      </c>
      <c r="AF275">
        <v>0</v>
      </c>
      <c r="AG275" s="2">
        <v>3280.47</v>
      </c>
      <c r="AH275">
        <v>0</v>
      </c>
      <c r="AI275" s="2">
        <v>6560.94</v>
      </c>
      <c r="AJ275" s="2">
        <v>1861.26</v>
      </c>
      <c r="AK275" s="2">
        <v>1861.26</v>
      </c>
      <c r="AL275" t="str">
        <f>"$"</f>
        <v>$</v>
      </c>
    </row>
    <row r="276" spans="1:38" x14ac:dyDescent="0.3">
      <c r="A276" t="str">
        <f>"SO20000201"</f>
        <v>SO20000201</v>
      </c>
      <c r="B276" t="str">
        <f>"E000311250"</f>
        <v>E000311250</v>
      </c>
      <c r="C276" t="str">
        <f>"בוצעה"</f>
        <v>בוצעה</v>
      </c>
      <c r="E276" s="3">
        <v>43970</v>
      </c>
      <c r="F276" s="3">
        <v>44108</v>
      </c>
      <c r="G276" t="str">
        <f>"700065"</f>
        <v>700065</v>
      </c>
      <c r="H276" t="str">
        <f>"אלתא מערכות בע""מ"</f>
        <v>אלתא מערכות בע"מ</v>
      </c>
      <c r="I276" t="str">
        <f>"ערן שלו"</f>
        <v>ערן שלו</v>
      </c>
      <c r="J276" t="str">
        <f>"OP-AR01764"</f>
        <v>OP-AR01764</v>
      </c>
      <c r="K276" s="1" t="str">
        <f>"1036U404-001 WP434 - POWER 230VAC AUX-BOX TO MEB"</f>
        <v>1036U404-001 WP434 - POWER 230VAC AUX-BOX TO MEB</v>
      </c>
      <c r="L276">
        <v>2</v>
      </c>
      <c r="M276" t="str">
        <f>"PR20000348"</f>
        <v>PR20000348</v>
      </c>
      <c r="N276" t="str">
        <f>"CONTROL AND DATA PED TO AFT. COM"</f>
        <v>CONTROL AND DATA PED TO AFT. COM</v>
      </c>
      <c r="O276">
        <v>642.42999999999995</v>
      </c>
      <c r="P276" t="str">
        <f>"$"</f>
        <v>$</v>
      </c>
      <c r="Q276" t="str">
        <f>"117"</f>
        <v>117</v>
      </c>
      <c r="R276" t="str">
        <f>"רתמות"</f>
        <v>רתמות</v>
      </c>
      <c r="S276" t="str">
        <f>"034"</f>
        <v>034</v>
      </c>
      <c r="T276" t="str">
        <f>"גנם הודיה"</f>
        <v>גנם הודיה</v>
      </c>
      <c r="U276">
        <v>0</v>
      </c>
      <c r="V276">
        <v>0</v>
      </c>
      <c r="W276">
        <v>642.42999999999995</v>
      </c>
      <c r="X276" s="2">
        <v>1284.8599999999999</v>
      </c>
      <c r="Z276" t="str">
        <f>"Y"</f>
        <v>Y</v>
      </c>
      <c r="AA276">
        <v>0</v>
      </c>
      <c r="AC276">
        <v>0</v>
      </c>
      <c r="AE276">
        <v>0</v>
      </c>
      <c r="AF276">
        <v>0</v>
      </c>
      <c r="AG276" s="2">
        <v>2264.5700000000002</v>
      </c>
      <c r="AH276">
        <v>0</v>
      </c>
      <c r="AI276" s="2">
        <v>4529.13</v>
      </c>
      <c r="AJ276" s="2">
        <v>1284.8599999999999</v>
      </c>
      <c r="AK276" s="2">
        <v>1284.8599999999999</v>
      </c>
      <c r="AL276" t="str">
        <f>"$"</f>
        <v>$</v>
      </c>
    </row>
    <row r="277" spans="1:38" x14ac:dyDescent="0.3">
      <c r="A277" t="str">
        <f>"SO20000201"</f>
        <v>SO20000201</v>
      </c>
      <c r="B277" t="str">
        <f>"E000311250"</f>
        <v>E000311250</v>
      </c>
      <c r="C277" t="str">
        <f>"בוצעה"</f>
        <v>בוצעה</v>
      </c>
      <c r="E277" s="3">
        <v>43970</v>
      </c>
      <c r="F277" s="3">
        <v>44108</v>
      </c>
      <c r="G277" t="str">
        <f>"700065"</f>
        <v>700065</v>
      </c>
      <c r="H277" t="str">
        <f>"אלתא מערכות בע""מ"</f>
        <v>אלתא מערכות בע"מ</v>
      </c>
      <c r="I277" t="str">
        <f>"ערן שלו"</f>
        <v>ערן שלו</v>
      </c>
      <c r="J277" t="str">
        <f>"OP-AR01766"</f>
        <v>OP-AR01766</v>
      </c>
      <c r="K277" s="1" t="str">
        <f>"1036U408-001 WP438 - AUX-BOX TO MEB - EMERGENCY"</f>
        <v>1036U408-001 WP438 - AUX-BOX TO MEB - EMERGENCY</v>
      </c>
      <c r="L277">
        <v>2</v>
      </c>
      <c r="M277" t="str">
        <f>"PR20000348"</f>
        <v>PR20000348</v>
      </c>
      <c r="N277" t="str">
        <f>"CONTROL AND DATA PED TO AFT. COM"</f>
        <v>CONTROL AND DATA PED TO AFT. COM</v>
      </c>
      <c r="O277">
        <v>609.95000000000005</v>
      </c>
      <c r="P277" t="str">
        <f>"$"</f>
        <v>$</v>
      </c>
      <c r="Q277" t="str">
        <f>"117"</f>
        <v>117</v>
      </c>
      <c r="R277" t="str">
        <f>"רתמות"</f>
        <v>רתמות</v>
      </c>
      <c r="S277" t="str">
        <f>"034"</f>
        <v>034</v>
      </c>
      <c r="T277" t="str">
        <f>"גנם הודיה"</f>
        <v>גנם הודיה</v>
      </c>
      <c r="U277">
        <v>0</v>
      </c>
      <c r="V277">
        <v>0</v>
      </c>
      <c r="W277">
        <v>609.95000000000005</v>
      </c>
      <c r="X277" s="2">
        <v>1219.9000000000001</v>
      </c>
      <c r="Z277" t="str">
        <f>"Y"</f>
        <v>Y</v>
      </c>
      <c r="AA277">
        <v>0</v>
      </c>
      <c r="AC277">
        <v>0</v>
      </c>
      <c r="AE277">
        <v>0</v>
      </c>
      <c r="AF277">
        <v>0</v>
      </c>
      <c r="AG277" s="2">
        <v>2150.0700000000002</v>
      </c>
      <c r="AH277">
        <v>0</v>
      </c>
      <c r="AI277" s="2">
        <v>4300.1499999999996</v>
      </c>
      <c r="AJ277" s="2">
        <v>1219.9000000000001</v>
      </c>
      <c r="AK277" s="2">
        <v>1219.9000000000001</v>
      </c>
      <c r="AL277" t="str">
        <f>"$"</f>
        <v>$</v>
      </c>
    </row>
    <row r="278" spans="1:38" x14ac:dyDescent="0.3">
      <c r="A278" t="str">
        <f>"SO20000201"</f>
        <v>SO20000201</v>
      </c>
      <c r="B278" t="str">
        <f>"E000311250"</f>
        <v>E000311250</v>
      </c>
      <c r="C278" t="str">
        <f>"בוצעה"</f>
        <v>בוצעה</v>
      </c>
      <c r="E278" s="3">
        <v>43970</v>
      </c>
      <c r="F278" s="3">
        <v>44108</v>
      </c>
      <c r="G278" t="str">
        <f>"700065"</f>
        <v>700065</v>
      </c>
      <c r="H278" t="str">
        <f>"אלתא מערכות בע""מ"</f>
        <v>אלתא מערכות בע"מ</v>
      </c>
      <c r="I278" t="str">
        <f>"ערן שלו"</f>
        <v>ערן שלו</v>
      </c>
      <c r="J278" t="str">
        <f>"OP-AR01767"</f>
        <v>OP-AR01767</v>
      </c>
      <c r="K278" s="1" t="str">
        <f>"1036U405-001 WP435 - MEB AZ/EL - ABS - ENCODER"</f>
        <v>1036U405-001 WP435 - MEB AZ/EL - ABS - ENCODER</v>
      </c>
      <c r="L278">
        <v>2</v>
      </c>
      <c r="M278" t="str">
        <f>"PR20000348"</f>
        <v>PR20000348</v>
      </c>
      <c r="N278" t="str">
        <f>"CONTROL AND DATA PED TO AFT. COM"</f>
        <v>CONTROL AND DATA PED TO AFT. COM</v>
      </c>
      <c r="O278">
        <v>526.25</v>
      </c>
      <c r="P278" t="str">
        <f>"$"</f>
        <v>$</v>
      </c>
      <c r="Q278" t="str">
        <f>"117"</f>
        <v>117</v>
      </c>
      <c r="R278" t="str">
        <f>"רתמות"</f>
        <v>רתמות</v>
      </c>
      <c r="S278" t="str">
        <f>"034"</f>
        <v>034</v>
      </c>
      <c r="T278" t="str">
        <f>"גנם הודיה"</f>
        <v>גנם הודיה</v>
      </c>
      <c r="U278">
        <v>0</v>
      </c>
      <c r="V278">
        <v>0</v>
      </c>
      <c r="W278">
        <v>526.25</v>
      </c>
      <c r="X278" s="2">
        <v>1052.5</v>
      </c>
      <c r="Z278" t="str">
        <f>"Y"</f>
        <v>Y</v>
      </c>
      <c r="AA278">
        <v>0</v>
      </c>
      <c r="AC278">
        <v>0</v>
      </c>
      <c r="AE278">
        <v>0</v>
      </c>
      <c r="AF278">
        <v>0</v>
      </c>
      <c r="AG278" s="2">
        <v>1855.03</v>
      </c>
      <c r="AH278">
        <v>0</v>
      </c>
      <c r="AI278" s="2">
        <v>3710.06</v>
      </c>
      <c r="AJ278" s="2">
        <v>1052.5</v>
      </c>
      <c r="AK278" s="2">
        <v>1052.5</v>
      </c>
      <c r="AL278" t="str">
        <f>"$"</f>
        <v>$</v>
      </c>
    </row>
    <row r="279" spans="1:38" x14ac:dyDescent="0.3">
      <c r="A279" t="str">
        <f>"SO20000201"</f>
        <v>SO20000201</v>
      </c>
      <c r="B279" t="str">
        <f>"E000311250"</f>
        <v>E000311250</v>
      </c>
      <c r="C279" t="str">
        <f>"בוצעה"</f>
        <v>בוצעה</v>
      </c>
      <c r="E279" s="3">
        <v>43970</v>
      </c>
      <c r="F279" s="3">
        <v>44108</v>
      </c>
      <c r="G279" t="str">
        <f>"700065"</f>
        <v>700065</v>
      </c>
      <c r="H279" t="str">
        <f>"אלתא מערכות בע""מ"</f>
        <v>אלתא מערכות בע"מ</v>
      </c>
      <c r="I279" t="str">
        <f>"ערן שלו"</f>
        <v>ערן שלו</v>
      </c>
      <c r="J279" t="str">
        <f>"OP-AR01768"</f>
        <v>OP-AR01768</v>
      </c>
      <c r="K279" s="1" t="str">
        <f>"1036U410-001 WP440 - CONTROL MEB TO PEDPNL AND S"</f>
        <v>1036U410-001 WP440 - CONTROL MEB TO PEDPNL AND S</v>
      </c>
      <c r="L279">
        <v>2</v>
      </c>
      <c r="M279" t="str">
        <f>"PR20000348"</f>
        <v>PR20000348</v>
      </c>
      <c r="N279" t="str">
        <f>"CONTROL AND DATA PED TO AFT. COM"</f>
        <v>CONTROL AND DATA PED TO AFT. COM</v>
      </c>
      <c r="O279">
        <v>981.84</v>
      </c>
      <c r="P279" t="str">
        <f>"$"</f>
        <v>$</v>
      </c>
      <c r="Q279" t="str">
        <f>"117"</f>
        <v>117</v>
      </c>
      <c r="R279" t="str">
        <f>"רתמות"</f>
        <v>רתמות</v>
      </c>
      <c r="S279" t="str">
        <f>"034"</f>
        <v>034</v>
      </c>
      <c r="T279" t="str">
        <f>"גנם הודיה"</f>
        <v>גנם הודיה</v>
      </c>
      <c r="U279">
        <v>0</v>
      </c>
      <c r="V279">
        <v>0</v>
      </c>
      <c r="W279">
        <v>981.84</v>
      </c>
      <c r="X279" s="2">
        <v>1963.68</v>
      </c>
      <c r="Z279" t="str">
        <f>"Y"</f>
        <v>Y</v>
      </c>
      <c r="AA279">
        <v>0</v>
      </c>
      <c r="AC279">
        <v>0</v>
      </c>
      <c r="AE279">
        <v>0</v>
      </c>
      <c r="AF279">
        <v>0</v>
      </c>
      <c r="AG279" s="2">
        <v>3460.99</v>
      </c>
      <c r="AH279">
        <v>0</v>
      </c>
      <c r="AI279" s="2">
        <v>6921.97</v>
      </c>
      <c r="AJ279" s="2">
        <v>1963.68</v>
      </c>
      <c r="AK279" s="2">
        <v>1963.68</v>
      </c>
      <c r="AL279" t="str">
        <f>"$"</f>
        <v>$</v>
      </c>
    </row>
    <row r="280" spans="1:38" x14ac:dyDescent="0.3">
      <c r="A280" t="str">
        <f>"SO20000201"</f>
        <v>SO20000201</v>
      </c>
      <c r="B280" t="str">
        <f>"E000311250"</f>
        <v>E000311250</v>
      </c>
      <c r="C280" t="str">
        <f>"בוצעה"</f>
        <v>בוצעה</v>
      </c>
      <c r="E280" s="3">
        <v>43970</v>
      </c>
      <c r="F280" s="3">
        <v>44108</v>
      </c>
      <c r="G280" t="str">
        <f>"700065"</f>
        <v>700065</v>
      </c>
      <c r="H280" t="str">
        <f>"אלתא מערכות בע""מ"</f>
        <v>אלתא מערכות בע"מ</v>
      </c>
      <c r="I280" t="str">
        <f>"ערן שלו"</f>
        <v>ערן שלו</v>
      </c>
      <c r="J280" t="str">
        <f>"OP-AR01769"</f>
        <v>OP-AR01769</v>
      </c>
      <c r="K280" s="1" t="str">
        <f>"1036U403-001 WP433 - MEB AZ/EL MOTORS"</f>
        <v>1036U403-001 WP433 - MEB AZ/EL MOTORS</v>
      </c>
      <c r="L280">
        <v>2</v>
      </c>
      <c r="M280" t="str">
        <f>"PR20000348"</f>
        <v>PR20000348</v>
      </c>
      <c r="N280" t="str">
        <f>"CONTROL AND DATA PED TO AFT. COM"</f>
        <v>CONTROL AND DATA PED TO AFT. COM</v>
      </c>
      <c r="O280">
        <v>585.83000000000004</v>
      </c>
      <c r="P280" t="str">
        <f>"$"</f>
        <v>$</v>
      </c>
      <c r="Q280" t="str">
        <f>"117"</f>
        <v>117</v>
      </c>
      <c r="R280" t="str">
        <f>"רתמות"</f>
        <v>רתמות</v>
      </c>
      <c r="S280" t="str">
        <f>"034"</f>
        <v>034</v>
      </c>
      <c r="T280" t="str">
        <f>"גנם הודיה"</f>
        <v>גנם הודיה</v>
      </c>
      <c r="U280">
        <v>0</v>
      </c>
      <c r="V280">
        <v>0</v>
      </c>
      <c r="W280">
        <v>585.83000000000004</v>
      </c>
      <c r="X280" s="2">
        <v>1171.6600000000001</v>
      </c>
      <c r="Z280" t="str">
        <f>"Y"</f>
        <v>Y</v>
      </c>
      <c r="AA280">
        <v>0</v>
      </c>
      <c r="AC280">
        <v>0</v>
      </c>
      <c r="AE280">
        <v>0</v>
      </c>
      <c r="AF280">
        <v>0</v>
      </c>
      <c r="AG280" s="2">
        <v>2065.0500000000002</v>
      </c>
      <c r="AH280">
        <v>0</v>
      </c>
      <c r="AI280" s="2">
        <v>4130.1000000000004</v>
      </c>
      <c r="AJ280" s="2">
        <v>1171.6600000000001</v>
      </c>
      <c r="AK280" s="2">
        <v>1171.6600000000001</v>
      </c>
      <c r="AL280" t="str">
        <f>"$"</f>
        <v>$</v>
      </c>
    </row>
    <row r="281" spans="1:38" x14ac:dyDescent="0.3">
      <c r="A281" t="str">
        <f>"SO20000201"</f>
        <v>SO20000201</v>
      </c>
      <c r="B281" t="str">
        <f>"E000311250"</f>
        <v>E000311250</v>
      </c>
      <c r="C281" t="str">
        <f>"בוצעה"</f>
        <v>בוצעה</v>
      </c>
      <c r="E281" s="3">
        <v>43970</v>
      </c>
      <c r="F281" s="3">
        <v>44195</v>
      </c>
      <c r="G281" t="str">
        <f>"700065"</f>
        <v>700065</v>
      </c>
      <c r="H281" t="str">
        <f>"אלתא מערכות בע""מ"</f>
        <v>אלתא מערכות בע"מ</v>
      </c>
      <c r="I281" t="str">
        <f>"ערן שלו"</f>
        <v>ערן שלו</v>
      </c>
      <c r="J281" t="str">
        <f>"OP-AR01770"</f>
        <v>OP-AR01770</v>
      </c>
      <c r="K281" s="1" t="str">
        <f>"1036U451-001 WP451 - POWER 400VAC PDB TO LRCU"</f>
        <v>1036U451-001 WP451 - POWER 400VAC PDB TO LRCU</v>
      </c>
      <c r="L281">
        <v>2</v>
      </c>
      <c r="M281" t="str">
        <f>"PR20000348"</f>
        <v>PR20000348</v>
      </c>
      <c r="N281" t="str">
        <f>"CONTROL AND DATA PED TO AFT. COM"</f>
        <v>CONTROL AND DATA PED TO AFT. COM</v>
      </c>
      <c r="O281" s="2">
        <v>2395.77</v>
      </c>
      <c r="P281" t="str">
        <f>"$"</f>
        <v>$</v>
      </c>
      <c r="Q281" t="str">
        <f>"117"</f>
        <v>117</v>
      </c>
      <c r="R281" t="str">
        <f>"רתמות"</f>
        <v>רתמות</v>
      </c>
      <c r="S281" t="str">
        <f>"034"</f>
        <v>034</v>
      </c>
      <c r="T281" t="str">
        <f>"גנם הודיה"</f>
        <v>גנם הודיה</v>
      </c>
      <c r="U281">
        <v>0</v>
      </c>
      <c r="V281">
        <v>0</v>
      </c>
      <c r="W281" s="2">
        <v>2395.77</v>
      </c>
      <c r="X281" s="2">
        <v>4791.54</v>
      </c>
      <c r="Z281" t="str">
        <f>"Y"</f>
        <v>Y</v>
      </c>
      <c r="AA281">
        <v>0</v>
      </c>
      <c r="AC281">
        <v>0</v>
      </c>
      <c r="AE281">
        <v>0</v>
      </c>
      <c r="AF281">
        <v>0</v>
      </c>
      <c r="AG281" s="2">
        <v>8445.09</v>
      </c>
      <c r="AH281">
        <v>0</v>
      </c>
      <c r="AI281" s="2">
        <v>16890.18</v>
      </c>
      <c r="AJ281" s="2">
        <v>4791.54</v>
      </c>
      <c r="AK281" s="2">
        <v>4791.54</v>
      </c>
      <c r="AL281" t="str">
        <f>"$"</f>
        <v>$</v>
      </c>
    </row>
    <row r="282" spans="1:38" x14ac:dyDescent="0.3">
      <c r="A282" t="str">
        <f>"SO20000201"</f>
        <v>SO20000201</v>
      </c>
      <c r="B282" t="str">
        <f>"E000311250"</f>
        <v>E000311250</v>
      </c>
      <c r="C282" t="str">
        <f>"בוצעה"</f>
        <v>בוצעה</v>
      </c>
      <c r="E282" s="3">
        <v>43970</v>
      </c>
      <c r="F282" s="3">
        <v>44108</v>
      </c>
      <c r="G282" t="str">
        <f>"700065"</f>
        <v>700065</v>
      </c>
      <c r="H282" t="str">
        <f>"אלתא מערכות בע""מ"</f>
        <v>אלתא מערכות בע"מ</v>
      </c>
      <c r="I282" t="str">
        <f>"ערן שלו"</f>
        <v>ערן שלו</v>
      </c>
      <c r="J282" t="str">
        <f>"OP-AR01771"</f>
        <v>OP-AR01771</v>
      </c>
      <c r="K282" s="1" t="str">
        <f>"1039V313-001 WP313 - POWER PEDESTAL TO PEDPNL (H"</f>
        <v>1039V313-001 WP313 - POWER PEDESTAL TO PEDPNL (H</v>
      </c>
      <c r="L282">
        <v>2</v>
      </c>
      <c r="M282" t="str">
        <f>"PR20000348"</f>
        <v>PR20000348</v>
      </c>
      <c r="N282" t="str">
        <f>"CONTROL AND DATA PED TO AFT. COM"</f>
        <v>CONTROL AND DATA PED TO AFT. COM</v>
      </c>
      <c r="O282">
        <v>915.53</v>
      </c>
      <c r="P282" t="str">
        <f>"$"</f>
        <v>$</v>
      </c>
      <c r="Q282" t="str">
        <f>"117"</f>
        <v>117</v>
      </c>
      <c r="R282" t="str">
        <f>"רתמות"</f>
        <v>רתמות</v>
      </c>
      <c r="S282" t="str">
        <f>"034"</f>
        <v>034</v>
      </c>
      <c r="T282" t="str">
        <f>"גנם הודיה"</f>
        <v>גנם הודיה</v>
      </c>
      <c r="U282">
        <v>0</v>
      </c>
      <c r="V282">
        <v>0</v>
      </c>
      <c r="W282">
        <v>915.53</v>
      </c>
      <c r="X282" s="2">
        <v>1831.06</v>
      </c>
      <c r="Z282" t="str">
        <f>"Y"</f>
        <v>Y</v>
      </c>
      <c r="AA282">
        <v>0</v>
      </c>
      <c r="AC282">
        <v>0</v>
      </c>
      <c r="AE282">
        <v>0</v>
      </c>
      <c r="AF282">
        <v>0</v>
      </c>
      <c r="AG282" s="2">
        <v>3227.24</v>
      </c>
      <c r="AH282">
        <v>0</v>
      </c>
      <c r="AI282" s="2">
        <v>6454.49</v>
      </c>
      <c r="AJ282" s="2">
        <v>1831.06</v>
      </c>
      <c r="AK282" s="2">
        <v>1831.06</v>
      </c>
      <c r="AL282" t="str">
        <f>"$"</f>
        <v>$</v>
      </c>
    </row>
    <row r="283" spans="1:38" x14ac:dyDescent="0.3">
      <c r="A283" t="str">
        <f>"SO20000201"</f>
        <v>SO20000201</v>
      </c>
      <c r="B283" t="str">
        <f>"E000311250"</f>
        <v>E000311250</v>
      </c>
      <c r="C283" t="str">
        <f>"בוצעה"</f>
        <v>בוצעה</v>
      </c>
      <c r="E283" s="3">
        <v>43970</v>
      </c>
      <c r="F283" s="3">
        <v>44108</v>
      </c>
      <c r="G283" t="str">
        <f>"700065"</f>
        <v>700065</v>
      </c>
      <c r="H283" t="str">
        <f>"אלתא מערכות בע""מ"</f>
        <v>אלתא מערכות בע"מ</v>
      </c>
      <c r="I283" t="str">
        <f>"ערן שלו"</f>
        <v>ערן שלו</v>
      </c>
      <c r="J283" t="str">
        <f>"OP-AR01772"</f>
        <v>OP-AR01772</v>
      </c>
      <c r="K283" s="1" t="str">
        <f>"1039V364-001 WP364 - CONTROL LDE TO LEFT REAR JA"</f>
        <v>1039V364-001 WP364 - CONTROL LDE TO LEFT REAR JA</v>
      </c>
      <c r="L283">
        <v>2</v>
      </c>
      <c r="M283" t="str">
        <f>"PR20000348"</f>
        <v>PR20000348</v>
      </c>
      <c r="N283" t="str">
        <f>"CONTROL AND DATA PED TO AFT. COM"</f>
        <v>CONTROL AND DATA PED TO AFT. COM</v>
      </c>
      <c r="O283">
        <v>581.74</v>
      </c>
      <c r="P283" t="str">
        <f>"$"</f>
        <v>$</v>
      </c>
      <c r="Q283" t="str">
        <f>"117"</f>
        <v>117</v>
      </c>
      <c r="R283" t="str">
        <f>"רתמות"</f>
        <v>רתמות</v>
      </c>
      <c r="S283" t="str">
        <f>"034"</f>
        <v>034</v>
      </c>
      <c r="T283" t="str">
        <f>"גנם הודיה"</f>
        <v>גנם הודיה</v>
      </c>
      <c r="U283">
        <v>0</v>
      </c>
      <c r="V283">
        <v>0</v>
      </c>
      <c r="W283">
        <v>581.74</v>
      </c>
      <c r="X283" s="2">
        <v>1163.48</v>
      </c>
      <c r="Z283" t="str">
        <f>"Y"</f>
        <v>Y</v>
      </c>
      <c r="AA283">
        <v>0</v>
      </c>
      <c r="AC283">
        <v>0</v>
      </c>
      <c r="AE283">
        <v>0</v>
      </c>
      <c r="AF283">
        <v>0</v>
      </c>
      <c r="AG283" s="2">
        <v>2050.63</v>
      </c>
      <c r="AH283">
        <v>0</v>
      </c>
      <c r="AI283" s="2">
        <v>4101.2700000000004</v>
      </c>
      <c r="AJ283" s="2">
        <v>1163.48</v>
      </c>
      <c r="AK283" s="2">
        <v>1163.48</v>
      </c>
      <c r="AL283" t="str">
        <f>"$"</f>
        <v>$</v>
      </c>
    </row>
    <row r="284" spans="1:38" x14ac:dyDescent="0.3">
      <c r="A284" t="str">
        <f>"SO20000201"</f>
        <v>SO20000201</v>
      </c>
      <c r="B284" t="str">
        <f>"E000311250"</f>
        <v>E000311250</v>
      </c>
      <c r="C284" t="str">
        <f>"בוצעה"</f>
        <v>בוצעה</v>
      </c>
      <c r="E284" s="3">
        <v>43970</v>
      </c>
      <c r="F284" s="3">
        <v>44108</v>
      </c>
      <c r="G284" t="str">
        <f>"700065"</f>
        <v>700065</v>
      </c>
      <c r="H284" t="str">
        <f>"אלתא מערכות בע""מ"</f>
        <v>אלתא מערכות בע"מ</v>
      </c>
      <c r="I284" t="str">
        <f>"ערן שלו"</f>
        <v>ערן שלו</v>
      </c>
      <c r="J284" t="str">
        <f>"OP-AR01773"</f>
        <v>OP-AR01773</v>
      </c>
      <c r="K284" s="1" t="str">
        <f>"1039V363-001 WP363 - CONTROL LDE TO RIGHT REAR J"</f>
        <v>1039V363-001 WP363 - CONTROL LDE TO RIGHT REAR J</v>
      </c>
      <c r="L284">
        <v>2</v>
      </c>
      <c r="M284" t="str">
        <f>"PR20000348"</f>
        <v>PR20000348</v>
      </c>
      <c r="N284" t="str">
        <f>"CONTROL AND DATA PED TO AFT. COM"</f>
        <v>CONTROL AND DATA PED TO AFT. COM</v>
      </c>
      <c r="O284">
        <v>618.34</v>
      </c>
      <c r="P284" t="str">
        <f>"$"</f>
        <v>$</v>
      </c>
      <c r="Q284" t="str">
        <f>"117"</f>
        <v>117</v>
      </c>
      <c r="R284" t="str">
        <f>"רתמות"</f>
        <v>רתמות</v>
      </c>
      <c r="S284" t="str">
        <f>"034"</f>
        <v>034</v>
      </c>
      <c r="T284" t="str">
        <f>"גנם הודיה"</f>
        <v>גנם הודיה</v>
      </c>
      <c r="U284">
        <v>0</v>
      </c>
      <c r="V284">
        <v>0</v>
      </c>
      <c r="W284">
        <v>618.34</v>
      </c>
      <c r="X284" s="2">
        <v>1236.68</v>
      </c>
      <c r="Z284" t="str">
        <f>"Y"</f>
        <v>Y</v>
      </c>
      <c r="AA284">
        <v>0</v>
      </c>
      <c r="AC284">
        <v>0</v>
      </c>
      <c r="AE284">
        <v>0</v>
      </c>
      <c r="AF284">
        <v>0</v>
      </c>
      <c r="AG284" s="2">
        <v>2179.65</v>
      </c>
      <c r="AH284">
        <v>0</v>
      </c>
      <c r="AI284" s="2">
        <v>4359.3</v>
      </c>
      <c r="AJ284" s="2">
        <v>1236.68</v>
      </c>
      <c r="AK284" s="2">
        <v>1236.68</v>
      </c>
      <c r="AL284" t="str">
        <f>"$"</f>
        <v>$</v>
      </c>
    </row>
    <row r="285" spans="1:38" x14ac:dyDescent="0.3">
      <c r="A285" t="str">
        <f>"SO20000201"</f>
        <v>SO20000201</v>
      </c>
      <c r="B285" t="str">
        <f>"E000311250"</f>
        <v>E000311250</v>
      </c>
      <c r="C285" t="str">
        <f>"בוצעה"</f>
        <v>בוצעה</v>
      </c>
      <c r="E285" s="3">
        <v>43970</v>
      </c>
      <c r="F285" s="3">
        <v>44108</v>
      </c>
      <c r="G285" t="str">
        <f>"700065"</f>
        <v>700065</v>
      </c>
      <c r="H285" t="str">
        <f>"אלתא מערכות בע""מ"</f>
        <v>אלתא מערכות בע"מ</v>
      </c>
      <c r="I285" t="str">
        <f>"ערן שלו"</f>
        <v>ערן שלו</v>
      </c>
      <c r="J285" t="str">
        <f>"OP-AR01774"</f>
        <v>OP-AR01774</v>
      </c>
      <c r="K285" s="1" t="str">
        <f>"1039V341-001 WPG20-BONDING STRAP PED PANNEL CENT"</f>
        <v>1039V341-001 WPG20-BONDING STRAP PED PANNEL CENT</v>
      </c>
      <c r="L285">
        <v>2</v>
      </c>
      <c r="M285" t="str">
        <f>"PR20000348"</f>
        <v>PR20000348</v>
      </c>
      <c r="N285" t="str">
        <f>"CONTROL AND DATA PED TO AFT. COM"</f>
        <v>CONTROL AND DATA PED TO AFT. COM</v>
      </c>
      <c r="O285">
        <v>89.2</v>
      </c>
      <c r="P285" t="str">
        <f>"$"</f>
        <v>$</v>
      </c>
      <c r="Q285" t="str">
        <f>"117"</f>
        <v>117</v>
      </c>
      <c r="R285" t="str">
        <f>"רתמות"</f>
        <v>רתמות</v>
      </c>
      <c r="S285" t="str">
        <f>"034"</f>
        <v>034</v>
      </c>
      <c r="T285" t="str">
        <f>"גנם הודיה"</f>
        <v>גנם הודיה</v>
      </c>
      <c r="U285">
        <v>0</v>
      </c>
      <c r="V285">
        <v>0</v>
      </c>
      <c r="W285">
        <v>89.2</v>
      </c>
      <c r="X285">
        <v>178.4</v>
      </c>
      <c r="Z285" t="str">
        <f>"Y"</f>
        <v>Y</v>
      </c>
      <c r="AA285">
        <v>0</v>
      </c>
      <c r="AC285">
        <v>0</v>
      </c>
      <c r="AE285">
        <v>0</v>
      </c>
      <c r="AF285">
        <v>0</v>
      </c>
      <c r="AG285">
        <v>314.43</v>
      </c>
      <c r="AH285">
        <v>0</v>
      </c>
      <c r="AI285">
        <v>628.86</v>
      </c>
      <c r="AJ285">
        <v>178.4</v>
      </c>
      <c r="AK285">
        <v>178.4</v>
      </c>
      <c r="AL285" t="str">
        <f>"$"</f>
        <v>$</v>
      </c>
    </row>
    <row r="286" spans="1:38" x14ac:dyDescent="0.3">
      <c r="A286" t="str">
        <f>"SO20000201"</f>
        <v>SO20000201</v>
      </c>
      <c r="B286" t="str">
        <f>"E000311250"</f>
        <v>E000311250</v>
      </c>
      <c r="C286" t="str">
        <f>"בוצעה"</f>
        <v>בוצעה</v>
      </c>
      <c r="E286" s="3">
        <v>43970</v>
      </c>
      <c r="F286" s="3">
        <v>44108</v>
      </c>
      <c r="G286" t="str">
        <f>"700065"</f>
        <v>700065</v>
      </c>
      <c r="H286" t="str">
        <f>"אלתא מערכות בע""מ"</f>
        <v>אלתא מערכות בע"מ</v>
      </c>
      <c r="I286" t="str">
        <f>"ערן שלו"</f>
        <v>ערן שלו</v>
      </c>
      <c r="J286" t="str">
        <f>"OP-AR01775"</f>
        <v>OP-AR01775</v>
      </c>
      <c r="K286" s="1" t="str">
        <f>"1039V118-001 WPG121-BONDING STRAP GREASER TO PED"</f>
        <v>1039V118-001 WPG121-BONDING STRAP GREASER TO PED</v>
      </c>
      <c r="L286">
        <v>2</v>
      </c>
      <c r="M286" t="str">
        <f>"PR20000348"</f>
        <v>PR20000348</v>
      </c>
      <c r="N286" t="str">
        <f>"CONTROL AND DATA PED TO AFT. COM"</f>
        <v>CONTROL AND DATA PED TO AFT. COM</v>
      </c>
      <c r="O286">
        <v>80.239999999999995</v>
      </c>
      <c r="P286" t="str">
        <f>"$"</f>
        <v>$</v>
      </c>
      <c r="Q286" t="str">
        <f>"117"</f>
        <v>117</v>
      </c>
      <c r="R286" t="str">
        <f>"רתמות"</f>
        <v>רתמות</v>
      </c>
      <c r="S286" t="str">
        <f>"034"</f>
        <v>034</v>
      </c>
      <c r="T286" t="str">
        <f>"גנם הודיה"</f>
        <v>גנם הודיה</v>
      </c>
      <c r="U286">
        <v>0</v>
      </c>
      <c r="V286">
        <v>0</v>
      </c>
      <c r="W286">
        <v>80.239999999999995</v>
      </c>
      <c r="X286">
        <v>160.47999999999999</v>
      </c>
      <c r="Z286" t="str">
        <f>"Y"</f>
        <v>Y</v>
      </c>
      <c r="AA286">
        <v>0</v>
      </c>
      <c r="AC286">
        <v>0</v>
      </c>
      <c r="AE286">
        <v>0</v>
      </c>
      <c r="AF286">
        <v>0</v>
      </c>
      <c r="AG286">
        <v>282.85000000000002</v>
      </c>
      <c r="AH286">
        <v>0</v>
      </c>
      <c r="AI286">
        <v>565.69000000000005</v>
      </c>
      <c r="AJ286">
        <v>160.47999999999999</v>
      </c>
      <c r="AK286">
        <v>160.47999999999999</v>
      </c>
      <c r="AL286" t="str">
        <f>"$"</f>
        <v>$</v>
      </c>
    </row>
    <row r="287" spans="1:38" x14ac:dyDescent="0.3">
      <c r="A287" t="str">
        <f>"SO20000201"</f>
        <v>SO20000201</v>
      </c>
      <c r="B287" t="str">
        <f>"E000311250"</f>
        <v>E000311250</v>
      </c>
      <c r="C287" t="str">
        <f>"בוצעה"</f>
        <v>בוצעה</v>
      </c>
      <c r="E287" s="3">
        <v>43970</v>
      </c>
      <c r="F287" s="3">
        <v>44108</v>
      </c>
      <c r="G287" t="str">
        <f>"700065"</f>
        <v>700065</v>
      </c>
      <c r="H287" t="str">
        <f>"אלתא מערכות בע""מ"</f>
        <v>אלתא מערכות בע"מ</v>
      </c>
      <c r="I287" t="str">
        <f>"ערן שלו"</f>
        <v>ערן שלו</v>
      </c>
      <c r="J287" t="str">
        <f>"OP-AR01776"</f>
        <v>OP-AR01776</v>
      </c>
      <c r="K287" s="1" t="str">
        <f>"1039V304-002 HARNESS WP304 - POWER 320VDC PEDPNL"</f>
        <v>1039V304-002 HARNESS WP304 - POWER 320VDC PEDPNL</v>
      </c>
      <c r="L287">
        <v>2</v>
      </c>
      <c r="M287" t="str">
        <f>"PR20000348"</f>
        <v>PR20000348</v>
      </c>
      <c r="N287" t="str">
        <f>"CONTROL AND DATA PED TO AFT. COM"</f>
        <v>CONTROL AND DATA PED TO AFT. COM</v>
      </c>
      <c r="O287">
        <v>989.41</v>
      </c>
      <c r="P287" t="str">
        <f>"$"</f>
        <v>$</v>
      </c>
      <c r="Q287" t="str">
        <f>"117"</f>
        <v>117</v>
      </c>
      <c r="R287" t="str">
        <f>"רתמות"</f>
        <v>רתמות</v>
      </c>
      <c r="S287" t="str">
        <f>"034"</f>
        <v>034</v>
      </c>
      <c r="T287" t="str">
        <f>"גנם הודיה"</f>
        <v>גנם הודיה</v>
      </c>
      <c r="U287">
        <v>0</v>
      </c>
      <c r="V287">
        <v>0</v>
      </c>
      <c r="W287">
        <v>989.41</v>
      </c>
      <c r="X287" s="2">
        <v>1978.82</v>
      </c>
      <c r="Z287" t="str">
        <f>"Y"</f>
        <v>Y</v>
      </c>
      <c r="AA287">
        <v>0</v>
      </c>
      <c r="AC287">
        <v>0</v>
      </c>
      <c r="AE287">
        <v>0</v>
      </c>
      <c r="AF287">
        <v>0</v>
      </c>
      <c r="AG287" s="2">
        <v>3487.67</v>
      </c>
      <c r="AH287">
        <v>0</v>
      </c>
      <c r="AI287" s="2">
        <v>6975.34</v>
      </c>
      <c r="AJ287" s="2">
        <v>1978.82</v>
      </c>
      <c r="AK287" s="2">
        <v>1978.82</v>
      </c>
      <c r="AL287" t="str">
        <f>"$"</f>
        <v>$</v>
      </c>
    </row>
    <row r="288" spans="1:38" x14ac:dyDescent="0.3">
      <c r="A288" t="str">
        <f>"SO20000201"</f>
        <v>SO20000201</v>
      </c>
      <c r="B288" t="str">
        <f>"E000311250"</f>
        <v>E000311250</v>
      </c>
      <c r="C288" t="str">
        <f>"בוצעה"</f>
        <v>בוצעה</v>
      </c>
      <c r="E288" s="3">
        <v>43970</v>
      </c>
      <c r="F288" s="3">
        <v>44108</v>
      </c>
      <c r="G288" t="str">
        <f>"700065"</f>
        <v>700065</v>
      </c>
      <c r="H288" t="str">
        <f>"אלתא מערכות בע""מ"</f>
        <v>אלתא מערכות בע"מ</v>
      </c>
      <c r="I288" t="str">
        <f>"ערן שלו"</f>
        <v>ערן שלו</v>
      </c>
      <c r="J288" t="str">
        <f>"OP-AR01777"</f>
        <v>OP-AR01777</v>
      </c>
      <c r="K288" s="1" t="str">
        <f>"1039V305-002 HARNESS WP305 - POWER 320VDC PEDPNL"</f>
        <v>1039V305-002 HARNESS WP305 - POWER 320VDC PEDPNL</v>
      </c>
      <c r="L288">
        <v>2</v>
      </c>
      <c r="M288" t="str">
        <f>"PR20000348"</f>
        <v>PR20000348</v>
      </c>
      <c r="N288" t="str">
        <f>"CONTROL AND DATA PED TO AFT. COM"</f>
        <v>CONTROL AND DATA PED TO AFT. COM</v>
      </c>
      <c r="O288">
        <v>989.41</v>
      </c>
      <c r="P288" t="str">
        <f>"$"</f>
        <v>$</v>
      </c>
      <c r="Q288" t="str">
        <f>"117"</f>
        <v>117</v>
      </c>
      <c r="R288" t="str">
        <f>"רתמות"</f>
        <v>רתמות</v>
      </c>
      <c r="S288" t="str">
        <f>"034"</f>
        <v>034</v>
      </c>
      <c r="T288" t="str">
        <f>"גנם הודיה"</f>
        <v>גנם הודיה</v>
      </c>
      <c r="U288">
        <v>0</v>
      </c>
      <c r="V288">
        <v>0</v>
      </c>
      <c r="W288">
        <v>989.41</v>
      </c>
      <c r="X288" s="2">
        <v>1978.82</v>
      </c>
      <c r="Z288" t="str">
        <f>"Y"</f>
        <v>Y</v>
      </c>
      <c r="AA288">
        <v>0</v>
      </c>
      <c r="AC288">
        <v>0</v>
      </c>
      <c r="AE288">
        <v>0</v>
      </c>
      <c r="AF288">
        <v>0</v>
      </c>
      <c r="AG288" s="2">
        <v>3487.67</v>
      </c>
      <c r="AH288">
        <v>0</v>
      </c>
      <c r="AI288" s="2">
        <v>6975.34</v>
      </c>
      <c r="AJ288" s="2">
        <v>1978.82</v>
      </c>
      <c r="AK288" s="2">
        <v>1978.82</v>
      </c>
      <c r="AL288" t="str">
        <f>"$"</f>
        <v>$</v>
      </c>
    </row>
    <row r="289" spans="1:38" x14ac:dyDescent="0.3">
      <c r="A289" t="str">
        <f>"SO20000201"</f>
        <v>SO20000201</v>
      </c>
      <c r="B289" t="str">
        <f>"E000311250"</f>
        <v>E000311250</v>
      </c>
      <c r="C289" t="str">
        <f>"בוצעה"</f>
        <v>בוצעה</v>
      </c>
      <c r="E289" s="3">
        <v>43970</v>
      </c>
      <c r="F289" s="3">
        <v>44346</v>
      </c>
      <c r="G289" t="str">
        <f>"700065"</f>
        <v>700065</v>
      </c>
      <c r="H289" t="str">
        <f>"אלתא מערכות בע""מ"</f>
        <v>אלתא מערכות בע"מ</v>
      </c>
      <c r="I289" t="str">
        <f>"ערן שלו"</f>
        <v>ערן שלו</v>
      </c>
      <c r="J289" t="str">
        <f>"OP-AR01778"</f>
        <v>OP-AR01778</v>
      </c>
      <c r="K289" s="1" t="str">
        <f>"2019F711-001 CONTROL BOX HARNESS"</f>
        <v>2019F711-001 CONTROL BOX HARNESS</v>
      </c>
      <c r="L289">
        <v>3</v>
      </c>
      <c r="M289" t="str">
        <f>"PR20000348"</f>
        <v>PR20000348</v>
      </c>
      <c r="N289" t="str">
        <f>"CONTROL AND DATA PED TO AFT. COM"</f>
        <v>CONTROL AND DATA PED TO AFT. COM</v>
      </c>
      <c r="O289" s="2">
        <v>2428.9899999999998</v>
      </c>
      <c r="P289" t="str">
        <f>"$"</f>
        <v>$</v>
      </c>
      <c r="Q289" t="str">
        <f>"117"</f>
        <v>117</v>
      </c>
      <c r="R289" t="str">
        <f>"רתמות"</f>
        <v>רתמות</v>
      </c>
      <c r="S289" t="str">
        <f>"034"</f>
        <v>034</v>
      </c>
      <c r="T289" t="str">
        <f>"גנם הודיה"</f>
        <v>גנם הודיה</v>
      </c>
      <c r="U289">
        <v>0</v>
      </c>
      <c r="V289">
        <v>0</v>
      </c>
      <c r="W289" s="2">
        <v>2428.9899999999998</v>
      </c>
      <c r="X289" s="2">
        <v>7286.97</v>
      </c>
      <c r="Z289" t="str">
        <f>"Y"</f>
        <v>Y</v>
      </c>
      <c r="AA289">
        <v>0</v>
      </c>
      <c r="AC289">
        <v>0</v>
      </c>
      <c r="AE289">
        <v>0</v>
      </c>
      <c r="AF289">
        <v>0</v>
      </c>
      <c r="AG289" s="2">
        <v>8562.19</v>
      </c>
      <c r="AH289">
        <v>0</v>
      </c>
      <c r="AI289" s="2">
        <v>25686.57</v>
      </c>
      <c r="AJ289" s="2">
        <v>7286.97</v>
      </c>
      <c r="AK289" s="2">
        <v>7286.97</v>
      </c>
      <c r="AL289" t="str">
        <f>"$"</f>
        <v>$</v>
      </c>
    </row>
    <row r="290" spans="1:38" x14ac:dyDescent="0.3">
      <c r="A290" t="str">
        <f>"SO20000201"</f>
        <v>SO20000201</v>
      </c>
      <c r="B290" t="str">
        <f>"E000311250"</f>
        <v>E000311250</v>
      </c>
      <c r="C290" t="str">
        <f>"בוצעה"</f>
        <v>בוצעה</v>
      </c>
      <c r="E290" s="3">
        <v>43970</v>
      </c>
      <c r="F290" s="3">
        <v>44108</v>
      </c>
      <c r="G290" t="str">
        <f>"700065"</f>
        <v>700065</v>
      </c>
      <c r="H290" t="str">
        <f>"אלתא מערכות בע""מ"</f>
        <v>אלתא מערכות בע"מ</v>
      </c>
      <c r="I290" t="str">
        <f>"ערן שלו"</f>
        <v>ערן שלו</v>
      </c>
      <c r="J290" t="str">
        <f>"OP-AR01779"</f>
        <v>OP-AR01779</v>
      </c>
      <c r="K290" s="1" t="str">
        <f>"1037V762-001 WPG102 - BONDING STRAP AUX-BOX to P"</f>
        <v>1037V762-001 WPG102 - BONDING STRAP AUX-BOX to P</v>
      </c>
      <c r="L290">
        <v>4</v>
      </c>
      <c r="M290" t="str">
        <f>"PR20000348"</f>
        <v>PR20000348</v>
      </c>
      <c r="N290" t="str">
        <f>"CONTROL AND DATA PED TO AFT. COM"</f>
        <v>CONTROL AND DATA PED TO AFT. COM</v>
      </c>
      <c r="O290">
        <v>90.34</v>
      </c>
      <c r="P290" t="str">
        <f>"$"</f>
        <v>$</v>
      </c>
      <c r="Q290" t="str">
        <f>"117"</f>
        <v>117</v>
      </c>
      <c r="R290" t="str">
        <f>"רתמות"</f>
        <v>רתמות</v>
      </c>
      <c r="S290" t="str">
        <f>"034"</f>
        <v>034</v>
      </c>
      <c r="T290" t="str">
        <f>"גנם הודיה"</f>
        <v>גנם הודיה</v>
      </c>
      <c r="U290">
        <v>0</v>
      </c>
      <c r="V290">
        <v>0</v>
      </c>
      <c r="W290">
        <v>90.34</v>
      </c>
      <c r="X290">
        <v>361.36</v>
      </c>
      <c r="Z290" t="str">
        <f>"Y"</f>
        <v>Y</v>
      </c>
      <c r="AA290">
        <v>0</v>
      </c>
      <c r="AC290">
        <v>0</v>
      </c>
      <c r="AE290">
        <v>0</v>
      </c>
      <c r="AF290">
        <v>0</v>
      </c>
      <c r="AG290">
        <v>318.45</v>
      </c>
      <c r="AH290">
        <v>0</v>
      </c>
      <c r="AI290" s="2">
        <v>1273.79</v>
      </c>
      <c r="AJ290">
        <v>361.36</v>
      </c>
      <c r="AK290">
        <v>361.36</v>
      </c>
      <c r="AL290" t="str">
        <f>"$"</f>
        <v>$</v>
      </c>
    </row>
    <row r="291" spans="1:38" x14ac:dyDescent="0.3">
      <c r="A291" t="str">
        <f>"SO20000201"</f>
        <v>SO20000201</v>
      </c>
      <c r="B291" t="str">
        <f>"E000311250"</f>
        <v>E000311250</v>
      </c>
      <c r="C291" t="str">
        <f>"בוצעה"</f>
        <v>בוצעה</v>
      </c>
      <c r="E291" s="3">
        <v>43970</v>
      </c>
      <c r="F291" s="3">
        <v>44108</v>
      </c>
      <c r="G291" t="str">
        <f>"700065"</f>
        <v>700065</v>
      </c>
      <c r="H291" t="str">
        <f>"אלתא מערכות בע""מ"</f>
        <v>אלתא מערכות בע"מ</v>
      </c>
      <c r="I291" t="str">
        <f>"ערן שלו"</f>
        <v>ערן שלו</v>
      </c>
      <c r="J291" t="str">
        <f>"OP-AR01780"</f>
        <v>OP-AR01780</v>
      </c>
      <c r="K291" s="1" t="str">
        <f>"1036U471-001 WP471 - PYLON LEFT SW2"</f>
        <v>1036U471-001 WP471 - PYLON LEFT SW2</v>
      </c>
      <c r="L291">
        <v>3</v>
      </c>
      <c r="M291" t="str">
        <f>"PR20000348"</f>
        <v>PR20000348</v>
      </c>
      <c r="N291" t="str">
        <f>"CONTROL AND DATA PED TO AFT. COM"</f>
        <v>CONTROL AND DATA PED TO AFT. COM</v>
      </c>
      <c r="O291">
        <v>608.89</v>
      </c>
      <c r="P291" t="str">
        <f>"$"</f>
        <v>$</v>
      </c>
      <c r="Q291" t="str">
        <f>"117"</f>
        <v>117</v>
      </c>
      <c r="R291" t="str">
        <f>"רתמות"</f>
        <v>רתמות</v>
      </c>
      <c r="S291" t="str">
        <f>"034"</f>
        <v>034</v>
      </c>
      <c r="T291" t="str">
        <f>"גנם הודיה"</f>
        <v>גנם הודיה</v>
      </c>
      <c r="U291">
        <v>0</v>
      </c>
      <c r="V291">
        <v>0</v>
      </c>
      <c r="W291">
        <v>608.89</v>
      </c>
      <c r="X291" s="2">
        <v>1826.67</v>
      </c>
      <c r="Z291" t="str">
        <f>"Y"</f>
        <v>Y</v>
      </c>
      <c r="AA291">
        <v>0</v>
      </c>
      <c r="AC291">
        <v>0</v>
      </c>
      <c r="AE291">
        <v>0</v>
      </c>
      <c r="AF291">
        <v>0</v>
      </c>
      <c r="AG291" s="2">
        <v>2146.34</v>
      </c>
      <c r="AH291">
        <v>0</v>
      </c>
      <c r="AI291" s="2">
        <v>6439.01</v>
      </c>
      <c r="AJ291" s="2">
        <v>1826.67</v>
      </c>
      <c r="AK291" s="2">
        <v>1826.67</v>
      </c>
      <c r="AL291" t="str">
        <f>"$"</f>
        <v>$</v>
      </c>
    </row>
    <row r="292" spans="1:38" x14ac:dyDescent="0.3">
      <c r="A292" t="str">
        <f>"SO20000201"</f>
        <v>SO20000201</v>
      </c>
      <c r="B292" t="str">
        <f>"E000311250"</f>
        <v>E000311250</v>
      </c>
      <c r="C292" t="str">
        <f>"בוצעה"</f>
        <v>בוצעה</v>
      </c>
      <c r="E292" s="3">
        <v>43970</v>
      </c>
      <c r="F292" s="3">
        <v>44108</v>
      </c>
      <c r="G292" t="str">
        <f>"700065"</f>
        <v>700065</v>
      </c>
      <c r="H292" t="str">
        <f>"אלתא מערכות בע""מ"</f>
        <v>אלתא מערכות בע"מ</v>
      </c>
      <c r="I292" t="str">
        <f>"ערן שלו"</f>
        <v>ערן שלו</v>
      </c>
      <c r="J292" t="str">
        <f>"OP-AR01781"</f>
        <v>OP-AR01781</v>
      </c>
      <c r="K292" s="1" t="str">
        <f>"1036U472-001 WP472 - PYLON RIGHT SW2"</f>
        <v>1036U472-001 WP472 - PYLON RIGHT SW2</v>
      </c>
      <c r="L292">
        <v>3</v>
      </c>
      <c r="M292" t="str">
        <f>"PR20000348"</f>
        <v>PR20000348</v>
      </c>
      <c r="N292" t="str">
        <f>"CONTROL AND DATA PED TO AFT. COM"</f>
        <v>CONTROL AND DATA PED TO AFT. COM</v>
      </c>
      <c r="O292">
        <v>608.89</v>
      </c>
      <c r="P292" t="str">
        <f>"$"</f>
        <v>$</v>
      </c>
      <c r="Q292" t="str">
        <f>"117"</f>
        <v>117</v>
      </c>
      <c r="R292" t="str">
        <f>"רתמות"</f>
        <v>רתמות</v>
      </c>
      <c r="S292" t="str">
        <f>"034"</f>
        <v>034</v>
      </c>
      <c r="T292" t="str">
        <f>"גנם הודיה"</f>
        <v>גנם הודיה</v>
      </c>
      <c r="U292">
        <v>0</v>
      </c>
      <c r="V292">
        <v>0</v>
      </c>
      <c r="W292">
        <v>608.89</v>
      </c>
      <c r="X292" s="2">
        <v>1826.67</v>
      </c>
      <c r="Z292" t="str">
        <f>"Y"</f>
        <v>Y</v>
      </c>
      <c r="AA292">
        <v>0</v>
      </c>
      <c r="AC292">
        <v>0</v>
      </c>
      <c r="AE292">
        <v>0</v>
      </c>
      <c r="AF292">
        <v>0</v>
      </c>
      <c r="AG292" s="2">
        <v>2146.34</v>
      </c>
      <c r="AH292">
        <v>0</v>
      </c>
      <c r="AI292" s="2">
        <v>6439.01</v>
      </c>
      <c r="AJ292" s="2">
        <v>1826.67</v>
      </c>
      <c r="AK292" s="2">
        <v>1826.67</v>
      </c>
      <c r="AL292" t="str">
        <f>"$"</f>
        <v>$</v>
      </c>
    </row>
    <row r="293" spans="1:38" x14ac:dyDescent="0.3">
      <c r="A293" t="str">
        <f>"SO20000201"</f>
        <v>SO20000201</v>
      </c>
      <c r="B293" t="str">
        <f>"E000311250"</f>
        <v>E000311250</v>
      </c>
      <c r="C293" t="str">
        <f>"בוצעה"</f>
        <v>בוצעה</v>
      </c>
      <c r="E293" s="3">
        <v>43970</v>
      </c>
      <c r="F293" s="3">
        <v>44108</v>
      </c>
      <c r="G293" t="str">
        <f>"700065"</f>
        <v>700065</v>
      </c>
      <c r="H293" t="str">
        <f>"אלתא מערכות בע""מ"</f>
        <v>אלתא מערכות בע"מ</v>
      </c>
      <c r="I293" t="str">
        <f>"ערן שלו"</f>
        <v>ערן שלו</v>
      </c>
      <c r="J293" t="str">
        <f>"OP-AR01782"</f>
        <v>OP-AR01782</v>
      </c>
      <c r="K293" s="1" t="str">
        <f>"1039V306-002 HARNESS WP306 - POWER 320VDC PEDPNL"</f>
        <v>1039V306-002 HARNESS WP306 - POWER 320VDC PEDPNL</v>
      </c>
      <c r="L293">
        <v>2</v>
      </c>
      <c r="M293" t="str">
        <f>"PR20000348"</f>
        <v>PR20000348</v>
      </c>
      <c r="N293" t="str">
        <f>"CONTROL AND DATA PED TO AFT. COM"</f>
        <v>CONTROL AND DATA PED TO AFT. COM</v>
      </c>
      <c r="O293">
        <v>978.64</v>
      </c>
      <c r="P293" t="str">
        <f>"$"</f>
        <v>$</v>
      </c>
      <c r="Q293" t="str">
        <f>"117"</f>
        <v>117</v>
      </c>
      <c r="R293" t="str">
        <f>"רתמות"</f>
        <v>רתמות</v>
      </c>
      <c r="S293" t="str">
        <f>"034"</f>
        <v>034</v>
      </c>
      <c r="T293" t="str">
        <f>"גנם הודיה"</f>
        <v>גנם הודיה</v>
      </c>
      <c r="U293">
        <v>0</v>
      </c>
      <c r="V293">
        <v>0</v>
      </c>
      <c r="W293">
        <v>978.64</v>
      </c>
      <c r="X293" s="2">
        <v>1957.28</v>
      </c>
      <c r="Z293" t="str">
        <f>"Y"</f>
        <v>Y</v>
      </c>
      <c r="AA293">
        <v>0</v>
      </c>
      <c r="AC293">
        <v>0</v>
      </c>
      <c r="AE293">
        <v>0</v>
      </c>
      <c r="AF293">
        <v>0</v>
      </c>
      <c r="AG293" s="2">
        <v>3449.71</v>
      </c>
      <c r="AH293">
        <v>0</v>
      </c>
      <c r="AI293" s="2">
        <v>6899.41</v>
      </c>
      <c r="AJ293" s="2">
        <v>1957.28</v>
      </c>
      <c r="AK293" s="2">
        <v>1957.28</v>
      </c>
      <c r="AL293" t="str">
        <f>"$"</f>
        <v>$</v>
      </c>
    </row>
    <row r="294" spans="1:38" x14ac:dyDescent="0.3">
      <c r="A294" t="str">
        <f>"SO20000201"</f>
        <v>SO20000201</v>
      </c>
      <c r="B294" t="str">
        <f>"E000311250"</f>
        <v>E000311250</v>
      </c>
      <c r="C294" t="str">
        <f>"בוצעה"</f>
        <v>בוצעה</v>
      </c>
      <c r="E294" s="3">
        <v>43970</v>
      </c>
      <c r="F294" s="3">
        <v>44108</v>
      </c>
      <c r="G294" t="str">
        <f>"700065"</f>
        <v>700065</v>
      </c>
      <c r="H294" t="str">
        <f>"אלתא מערכות בע""מ"</f>
        <v>אלתא מערכות בע"מ</v>
      </c>
      <c r="I294" t="str">
        <f>"ערן שלו"</f>
        <v>ערן שלו</v>
      </c>
      <c r="J294" t="str">
        <f>"OP-AR01783"</f>
        <v>OP-AR01783</v>
      </c>
      <c r="K294" s="1" t="str">
        <f>"1037V761-001 WPG101-BONDING STRAP PDB to PLATFOR"</f>
        <v>1037V761-001 WPG101-BONDING STRAP PDB to PLATFOR</v>
      </c>
      <c r="L294">
        <v>4</v>
      </c>
      <c r="M294" t="str">
        <f>"PR20000348"</f>
        <v>PR20000348</v>
      </c>
      <c r="N294" t="str">
        <f>"CONTROL AND DATA PED TO AFT. COM"</f>
        <v>CONTROL AND DATA PED TO AFT. COM</v>
      </c>
      <c r="O294">
        <v>75.67</v>
      </c>
      <c r="P294" t="str">
        <f>"$"</f>
        <v>$</v>
      </c>
      <c r="Q294" t="str">
        <f>"117"</f>
        <v>117</v>
      </c>
      <c r="R294" t="str">
        <f>"רתמות"</f>
        <v>רתמות</v>
      </c>
      <c r="S294" t="str">
        <f>"034"</f>
        <v>034</v>
      </c>
      <c r="T294" t="str">
        <f>"גנם הודיה"</f>
        <v>גנם הודיה</v>
      </c>
      <c r="U294">
        <v>0</v>
      </c>
      <c r="V294">
        <v>0</v>
      </c>
      <c r="W294">
        <v>75.67</v>
      </c>
      <c r="X294">
        <v>302.68</v>
      </c>
      <c r="Z294" t="str">
        <f>"Y"</f>
        <v>Y</v>
      </c>
      <c r="AA294">
        <v>0</v>
      </c>
      <c r="AC294">
        <v>0</v>
      </c>
      <c r="AE294">
        <v>0</v>
      </c>
      <c r="AF294">
        <v>0</v>
      </c>
      <c r="AG294">
        <v>266.74</v>
      </c>
      <c r="AH294">
        <v>0</v>
      </c>
      <c r="AI294" s="2">
        <v>1066.95</v>
      </c>
      <c r="AJ294">
        <v>302.68</v>
      </c>
      <c r="AK294">
        <v>302.68</v>
      </c>
      <c r="AL294" t="str">
        <f>"$"</f>
        <v>$</v>
      </c>
    </row>
    <row r="295" spans="1:38" x14ac:dyDescent="0.3">
      <c r="A295" t="str">
        <f>"SO20000201"</f>
        <v>SO20000201</v>
      </c>
      <c r="B295" t="str">
        <f>"E000311250"</f>
        <v>E000311250</v>
      </c>
      <c r="C295" t="str">
        <f>"בוצעה"</f>
        <v>בוצעה</v>
      </c>
      <c r="E295" s="3">
        <v>43970</v>
      </c>
      <c r="F295" s="3">
        <v>44108</v>
      </c>
      <c r="G295" t="str">
        <f>"700065"</f>
        <v>700065</v>
      </c>
      <c r="H295" t="str">
        <f>"אלתא מערכות בע""מ"</f>
        <v>אלתא מערכות בע"מ</v>
      </c>
      <c r="I295" t="str">
        <f>"ערן שלו"</f>
        <v>ערן שלו</v>
      </c>
      <c r="J295" t="str">
        <f>"OP-AR01784"</f>
        <v>OP-AR01784</v>
      </c>
      <c r="K295" s="1" t="str">
        <f>"1037V243-001 WPG118-BONDING STRAP PED PNL L/R TO"</f>
        <v>1037V243-001 WPG118-BONDING STRAP PED PNL L/R TO</v>
      </c>
      <c r="L295">
        <v>4</v>
      </c>
      <c r="M295" t="str">
        <f>"PR20000348"</f>
        <v>PR20000348</v>
      </c>
      <c r="N295" t="str">
        <f>"CONTROL AND DATA PED TO AFT. COM"</f>
        <v>CONTROL AND DATA PED TO AFT. COM</v>
      </c>
      <c r="O295">
        <v>59.09</v>
      </c>
      <c r="P295" t="str">
        <f>"$"</f>
        <v>$</v>
      </c>
      <c r="Q295" t="str">
        <f>"117"</f>
        <v>117</v>
      </c>
      <c r="R295" t="str">
        <f>"רתמות"</f>
        <v>רתמות</v>
      </c>
      <c r="S295" t="str">
        <f>"034"</f>
        <v>034</v>
      </c>
      <c r="T295" t="str">
        <f>"גנם הודיה"</f>
        <v>גנם הודיה</v>
      </c>
      <c r="U295">
        <v>0</v>
      </c>
      <c r="V295">
        <v>0</v>
      </c>
      <c r="W295">
        <v>59.09</v>
      </c>
      <c r="X295">
        <v>236.36</v>
      </c>
      <c r="Z295" t="str">
        <f>"Y"</f>
        <v>Y</v>
      </c>
      <c r="AA295">
        <v>0</v>
      </c>
      <c r="AC295">
        <v>0</v>
      </c>
      <c r="AE295">
        <v>0</v>
      </c>
      <c r="AF295">
        <v>0</v>
      </c>
      <c r="AG295">
        <v>208.29</v>
      </c>
      <c r="AH295">
        <v>0</v>
      </c>
      <c r="AI295">
        <v>833.17</v>
      </c>
      <c r="AJ295">
        <v>236.36</v>
      </c>
      <c r="AK295">
        <v>236.36</v>
      </c>
      <c r="AL295" t="str">
        <f>"$"</f>
        <v>$</v>
      </c>
    </row>
    <row r="296" spans="1:38" x14ac:dyDescent="0.3">
      <c r="A296" t="str">
        <f>"SO20000201"</f>
        <v>SO20000201</v>
      </c>
      <c r="B296" t="str">
        <f>"E000311250"</f>
        <v>E000311250</v>
      </c>
      <c r="C296" t="str">
        <f>"בוצעה"</f>
        <v>בוצעה</v>
      </c>
      <c r="E296" s="3">
        <v>43970</v>
      </c>
      <c r="F296" s="3">
        <v>44108</v>
      </c>
      <c r="G296" t="str">
        <f>"700065"</f>
        <v>700065</v>
      </c>
      <c r="H296" t="str">
        <f>"אלתא מערכות בע""מ"</f>
        <v>אלתא מערכות בע"מ</v>
      </c>
      <c r="I296" t="str">
        <f>"ערן שלו"</f>
        <v>ערן שלו</v>
      </c>
      <c r="J296" t="str">
        <f>"OP-AR01785"</f>
        <v>OP-AR01785</v>
      </c>
      <c r="K296" s="1" t="str">
        <f>"1037V780-001 WMG107-BONDING STRAP EXTERNAL MEB t"</f>
        <v>1037V780-001 WMG107-BONDING STRAP EXTERNAL MEB t</v>
      </c>
      <c r="L296">
        <v>4</v>
      </c>
      <c r="M296" t="str">
        <f>"PR20000348"</f>
        <v>PR20000348</v>
      </c>
      <c r="N296" t="str">
        <f>"CONTROL AND DATA PED TO AFT. COM"</f>
        <v>CONTROL AND DATA PED TO AFT. COM</v>
      </c>
      <c r="O296">
        <v>84.22</v>
      </c>
      <c r="P296" t="str">
        <f>"$"</f>
        <v>$</v>
      </c>
      <c r="Q296" t="str">
        <f>"117"</f>
        <v>117</v>
      </c>
      <c r="R296" t="str">
        <f>"רתמות"</f>
        <v>רתמות</v>
      </c>
      <c r="S296" t="str">
        <f>"034"</f>
        <v>034</v>
      </c>
      <c r="T296" t="str">
        <f>"גנם הודיה"</f>
        <v>גנם הודיה</v>
      </c>
      <c r="U296">
        <v>0</v>
      </c>
      <c r="V296">
        <v>0</v>
      </c>
      <c r="W296">
        <v>84.22</v>
      </c>
      <c r="X296">
        <v>336.88</v>
      </c>
      <c r="Z296" t="str">
        <f>"Y"</f>
        <v>Y</v>
      </c>
      <c r="AA296">
        <v>0</v>
      </c>
      <c r="AC296">
        <v>0</v>
      </c>
      <c r="AE296">
        <v>0</v>
      </c>
      <c r="AF296">
        <v>0</v>
      </c>
      <c r="AG296">
        <v>296.88</v>
      </c>
      <c r="AH296">
        <v>0</v>
      </c>
      <c r="AI296" s="2">
        <v>1187.5</v>
      </c>
      <c r="AJ296">
        <v>336.88</v>
      </c>
      <c r="AK296">
        <v>336.88</v>
      </c>
      <c r="AL296" t="str">
        <f>"$"</f>
        <v>$</v>
      </c>
    </row>
    <row r="297" spans="1:38" x14ac:dyDescent="0.3">
      <c r="A297" t="str">
        <f>"SO20000201"</f>
        <v>SO20000201</v>
      </c>
      <c r="B297" t="str">
        <f>"E000311250"</f>
        <v>E000311250</v>
      </c>
      <c r="C297" t="str">
        <f>"בוצעה"</f>
        <v>בוצעה</v>
      </c>
      <c r="E297" s="3">
        <v>43970</v>
      </c>
      <c r="F297" s="3">
        <v>44346</v>
      </c>
      <c r="G297" t="str">
        <f>"700065"</f>
        <v>700065</v>
      </c>
      <c r="H297" t="str">
        <f>"אלתא מערכות בע""מ"</f>
        <v>אלתא מערכות בע"מ</v>
      </c>
      <c r="I297" t="str">
        <f>"ערן שלו"</f>
        <v>ערן שלו</v>
      </c>
      <c r="J297" t="str">
        <f>"OP-AR01786"</f>
        <v>OP-AR01786</v>
      </c>
      <c r="K297" s="1" t="str">
        <f>"1029P215-001 WA015 CONTROL SPLITER"</f>
        <v>1029P215-001 WA015 CONTROL SPLITER</v>
      </c>
      <c r="L297">
        <v>3</v>
      </c>
      <c r="M297" t="str">
        <f>"PR20000348"</f>
        <v>PR20000348</v>
      </c>
      <c r="N297" t="str">
        <f>"CONTROL AND DATA PED TO AFT. COM"</f>
        <v>CONTROL AND DATA PED TO AFT. COM</v>
      </c>
      <c r="O297" s="2">
        <v>1686.53</v>
      </c>
      <c r="P297" t="str">
        <f>"$"</f>
        <v>$</v>
      </c>
      <c r="Q297" t="str">
        <f>"117"</f>
        <v>117</v>
      </c>
      <c r="R297" t="str">
        <f>"רתמות"</f>
        <v>רתמות</v>
      </c>
      <c r="S297" t="str">
        <f>"034"</f>
        <v>034</v>
      </c>
      <c r="T297" t="str">
        <f>"גנם הודיה"</f>
        <v>גנם הודיה</v>
      </c>
      <c r="U297">
        <v>0</v>
      </c>
      <c r="V297">
        <v>0</v>
      </c>
      <c r="W297" s="2">
        <v>1686.53</v>
      </c>
      <c r="X297" s="2">
        <v>5059.59</v>
      </c>
      <c r="Z297" t="str">
        <f>"Y"</f>
        <v>Y</v>
      </c>
      <c r="AA297">
        <v>0</v>
      </c>
      <c r="AC297">
        <v>0</v>
      </c>
      <c r="AE297">
        <v>0</v>
      </c>
      <c r="AF297">
        <v>0</v>
      </c>
      <c r="AG297" s="2">
        <v>5945.02</v>
      </c>
      <c r="AH297">
        <v>0</v>
      </c>
      <c r="AI297" s="2">
        <v>17835.05</v>
      </c>
      <c r="AJ297" s="2">
        <v>5059.59</v>
      </c>
      <c r="AK297" s="2">
        <v>5059.59</v>
      </c>
      <c r="AL297" t="str">
        <f>"$"</f>
        <v>$</v>
      </c>
    </row>
    <row r="298" spans="1:38" x14ac:dyDescent="0.3">
      <c r="A298" t="str">
        <f>"SO20000201"</f>
        <v>SO20000201</v>
      </c>
      <c r="B298" t="str">
        <f>"E000311250"</f>
        <v>E000311250</v>
      </c>
      <c r="C298" t="str">
        <f>"בוצעה"</f>
        <v>בוצעה</v>
      </c>
      <c r="E298" s="3">
        <v>43970</v>
      </c>
      <c r="F298" s="3">
        <v>44108</v>
      </c>
      <c r="G298" t="str">
        <f>"700065"</f>
        <v>700065</v>
      </c>
      <c r="H298" t="str">
        <f>"אלתא מערכות בע""מ"</f>
        <v>אלתא מערכות בע"מ</v>
      </c>
      <c r="I298" t="str">
        <f>"ערן שלו"</f>
        <v>ערן שלו</v>
      </c>
      <c r="J298" t="str">
        <f>"OP-AR01787"</f>
        <v>OP-AR01787</v>
      </c>
      <c r="K298" s="1" t="str">
        <f>"1039V378-002 HARNESS WP378 - DATA AFT COMD TO LD"</f>
        <v>1039V378-002 HARNESS WP378 - DATA AFT COMD TO LD</v>
      </c>
      <c r="L298">
        <v>3</v>
      </c>
      <c r="M298" t="str">
        <f>"PR20000348"</f>
        <v>PR20000348</v>
      </c>
      <c r="N298" t="str">
        <f>"CONTROL AND DATA PED TO AFT. COM"</f>
        <v>CONTROL AND DATA PED TO AFT. COM</v>
      </c>
      <c r="O298">
        <v>857.32</v>
      </c>
      <c r="P298" t="str">
        <f>"$"</f>
        <v>$</v>
      </c>
      <c r="Q298" t="str">
        <f>"117"</f>
        <v>117</v>
      </c>
      <c r="R298" t="str">
        <f>"רתמות"</f>
        <v>רתמות</v>
      </c>
      <c r="S298" t="str">
        <f>"034"</f>
        <v>034</v>
      </c>
      <c r="T298" t="str">
        <f>"גנם הודיה"</f>
        <v>גנם הודיה</v>
      </c>
      <c r="U298">
        <v>0</v>
      </c>
      <c r="V298">
        <v>0</v>
      </c>
      <c r="W298">
        <v>857.32</v>
      </c>
      <c r="X298" s="2">
        <v>2571.96</v>
      </c>
      <c r="Z298" t="str">
        <f>"Y"</f>
        <v>Y</v>
      </c>
      <c r="AA298">
        <v>0</v>
      </c>
      <c r="AC298">
        <v>0</v>
      </c>
      <c r="AE298">
        <v>0</v>
      </c>
      <c r="AF298">
        <v>0</v>
      </c>
      <c r="AG298" s="2">
        <v>3022.05</v>
      </c>
      <c r="AH298">
        <v>0</v>
      </c>
      <c r="AI298" s="2">
        <v>9066.16</v>
      </c>
      <c r="AJ298" s="2">
        <v>2571.96</v>
      </c>
      <c r="AK298" s="2">
        <v>2571.96</v>
      </c>
      <c r="AL298" t="str">
        <f>"$"</f>
        <v>$</v>
      </c>
    </row>
    <row r="299" spans="1:38" x14ac:dyDescent="0.3">
      <c r="A299" t="str">
        <f>"SO20000201"</f>
        <v>SO20000201</v>
      </c>
      <c r="B299" t="str">
        <f>"E000311250"</f>
        <v>E000311250</v>
      </c>
      <c r="C299" t="str">
        <f>"בוצעה"</f>
        <v>בוצעה</v>
      </c>
      <c r="E299" s="3">
        <v>43970</v>
      </c>
      <c r="F299" s="3">
        <v>44108</v>
      </c>
      <c r="G299" t="str">
        <f>"700065"</f>
        <v>700065</v>
      </c>
      <c r="H299" t="str">
        <f>"אלתא מערכות בע""מ"</f>
        <v>אלתא מערכות בע"מ</v>
      </c>
      <c r="I299" t="str">
        <f>"ערן שלו"</f>
        <v>ערן שלו</v>
      </c>
      <c r="J299" t="str">
        <f>"OP-AR01789"</f>
        <v>OP-AR01789</v>
      </c>
      <c r="K299" s="1" t="str">
        <f>"1025A622-001 RESET ABSOLUT ENCODER CABLE"</f>
        <v>1025A622-001 RESET ABSOLUT ENCODER CABLE</v>
      </c>
      <c r="L299">
        <v>14</v>
      </c>
      <c r="M299" t="str">
        <f>"PR20000348"</f>
        <v>PR20000348</v>
      </c>
      <c r="N299" t="str">
        <f>"CONTROL AND DATA PED TO AFT. COM"</f>
        <v>CONTROL AND DATA PED TO AFT. COM</v>
      </c>
      <c r="O299">
        <v>459.26</v>
      </c>
      <c r="P299" t="str">
        <f>"$"</f>
        <v>$</v>
      </c>
      <c r="Q299" t="str">
        <f>"117"</f>
        <v>117</v>
      </c>
      <c r="R299" t="str">
        <f>"רתמות"</f>
        <v>רתמות</v>
      </c>
      <c r="S299" t="str">
        <f>"034"</f>
        <v>034</v>
      </c>
      <c r="T299" t="str">
        <f>"גנם הודיה"</f>
        <v>גנם הודיה</v>
      </c>
      <c r="U299">
        <v>0</v>
      </c>
      <c r="V299">
        <v>0</v>
      </c>
      <c r="W299">
        <v>459.26</v>
      </c>
      <c r="X299" s="2">
        <v>6429.64</v>
      </c>
      <c r="Z299" t="str">
        <f>"Y"</f>
        <v>Y</v>
      </c>
      <c r="AA299">
        <v>0</v>
      </c>
      <c r="AC299">
        <v>0</v>
      </c>
      <c r="AE299">
        <v>0</v>
      </c>
      <c r="AF299">
        <v>0</v>
      </c>
      <c r="AG299" s="2">
        <v>1618.89</v>
      </c>
      <c r="AH299">
        <v>0</v>
      </c>
      <c r="AI299" s="2">
        <v>22664.48</v>
      </c>
      <c r="AJ299" s="2">
        <v>6429.64</v>
      </c>
      <c r="AK299" s="2">
        <v>6429.64</v>
      </c>
      <c r="AL299" t="str">
        <f>"$"</f>
        <v>$</v>
      </c>
    </row>
    <row r="300" spans="1:38" x14ac:dyDescent="0.3">
      <c r="A300" t="str">
        <f>"SO20000201"</f>
        <v>SO20000201</v>
      </c>
      <c r="B300" t="str">
        <f>"E000311250"</f>
        <v>E000311250</v>
      </c>
      <c r="C300" t="str">
        <f>"בוצעה"</f>
        <v>בוצעה</v>
      </c>
      <c r="E300" s="3">
        <v>43970</v>
      </c>
      <c r="F300" s="3">
        <v>44108</v>
      </c>
      <c r="G300" t="str">
        <f>"700065"</f>
        <v>700065</v>
      </c>
      <c r="H300" t="str">
        <f>"אלתא מערכות בע""מ"</f>
        <v>אלתא מערכות בע"מ</v>
      </c>
      <c r="I300" t="str">
        <f>"ערן שלו"</f>
        <v>ערן שלו</v>
      </c>
      <c r="J300" t="str">
        <f>"OP-AR01790"</f>
        <v>OP-AR01790</v>
      </c>
      <c r="K300" s="1" t="str">
        <f>"1036U401-001 WPG22 - BONDING CABLE PLATFORM TO E"</f>
        <v>1036U401-001 WPG22 - BONDING CABLE PLATFORM TO E</v>
      </c>
      <c r="L300">
        <v>8</v>
      </c>
      <c r="M300" t="str">
        <f>"PR20000348"</f>
        <v>PR20000348</v>
      </c>
      <c r="N300" t="str">
        <f>"CONTROL AND DATA PED TO AFT. COM"</f>
        <v>CONTROL AND DATA PED TO AFT. COM</v>
      </c>
      <c r="O300">
        <v>155.44</v>
      </c>
      <c r="P300" t="str">
        <f>"$"</f>
        <v>$</v>
      </c>
      <c r="Q300" t="str">
        <f>"117"</f>
        <v>117</v>
      </c>
      <c r="R300" t="str">
        <f>"רתמות"</f>
        <v>רתמות</v>
      </c>
      <c r="S300" t="str">
        <f>"034"</f>
        <v>034</v>
      </c>
      <c r="T300" t="str">
        <f>"גנם הודיה"</f>
        <v>גנם הודיה</v>
      </c>
      <c r="U300">
        <v>0</v>
      </c>
      <c r="V300">
        <v>0</v>
      </c>
      <c r="W300">
        <v>155.44</v>
      </c>
      <c r="X300" s="2">
        <v>1243.52</v>
      </c>
      <c r="Z300" t="str">
        <f>"Y"</f>
        <v>Y</v>
      </c>
      <c r="AA300">
        <v>0</v>
      </c>
      <c r="AC300">
        <v>0</v>
      </c>
      <c r="AE300">
        <v>0</v>
      </c>
      <c r="AF300">
        <v>0</v>
      </c>
      <c r="AG300">
        <v>547.92999999999995</v>
      </c>
      <c r="AH300">
        <v>0</v>
      </c>
      <c r="AI300" s="2">
        <v>4383.41</v>
      </c>
      <c r="AJ300" s="2">
        <v>1243.52</v>
      </c>
      <c r="AK300" s="2">
        <v>1243.52</v>
      </c>
      <c r="AL300" t="str">
        <f>"$"</f>
        <v>$</v>
      </c>
    </row>
    <row r="301" spans="1:38" x14ac:dyDescent="0.3">
      <c r="A301" t="str">
        <f>"SO20000201"</f>
        <v>SO20000201</v>
      </c>
      <c r="B301" t="str">
        <f>"E000311250"</f>
        <v>E000311250</v>
      </c>
      <c r="C301" t="str">
        <f>"בוצעה"</f>
        <v>בוצעה</v>
      </c>
      <c r="E301" s="3">
        <v>43970</v>
      </c>
      <c r="F301" s="3">
        <v>44108</v>
      </c>
      <c r="G301" t="str">
        <f>"700065"</f>
        <v>700065</v>
      </c>
      <c r="H301" t="str">
        <f>"אלתא מערכות בע""מ"</f>
        <v>אלתא מערכות בע"מ</v>
      </c>
      <c r="I301" t="str">
        <f>"ערן שלו"</f>
        <v>ערן שלו</v>
      </c>
      <c r="J301" t="str">
        <f>"OP-AR01791"</f>
        <v>OP-AR01791</v>
      </c>
      <c r="K301" s="1" t="str">
        <f>"1037V768-001 WPG108 - BONDING STRAP MAIN COM PLA"</f>
        <v>1037V768-001 WPG108 - BONDING STRAP MAIN COM PLA</v>
      </c>
      <c r="L301">
        <v>4</v>
      </c>
      <c r="M301" t="str">
        <f>"PR20000348"</f>
        <v>PR20000348</v>
      </c>
      <c r="N301" t="str">
        <f>"CONTROL AND DATA PED TO AFT. COM"</f>
        <v>CONTROL AND DATA PED TO AFT. COM</v>
      </c>
      <c r="O301">
        <v>60.39</v>
      </c>
      <c r="P301" t="str">
        <f>"$"</f>
        <v>$</v>
      </c>
      <c r="Q301" t="str">
        <f>"117"</f>
        <v>117</v>
      </c>
      <c r="R301" t="str">
        <f>"רתמות"</f>
        <v>רתמות</v>
      </c>
      <c r="S301" t="str">
        <f>"034"</f>
        <v>034</v>
      </c>
      <c r="T301" t="str">
        <f>"גנם הודיה"</f>
        <v>גנם הודיה</v>
      </c>
      <c r="U301">
        <v>0</v>
      </c>
      <c r="V301">
        <v>0</v>
      </c>
      <c r="W301">
        <v>60.39</v>
      </c>
      <c r="X301">
        <v>241.56</v>
      </c>
      <c r="Z301" t="str">
        <f>"Y"</f>
        <v>Y</v>
      </c>
      <c r="AA301">
        <v>0</v>
      </c>
      <c r="AC301">
        <v>0</v>
      </c>
      <c r="AE301">
        <v>0</v>
      </c>
      <c r="AF301">
        <v>0</v>
      </c>
      <c r="AG301">
        <v>212.87</v>
      </c>
      <c r="AH301">
        <v>0</v>
      </c>
      <c r="AI301">
        <v>851.5</v>
      </c>
      <c r="AJ301">
        <v>241.56</v>
      </c>
      <c r="AK301">
        <v>241.56</v>
      </c>
      <c r="AL301" t="str">
        <f>"$"</f>
        <v>$</v>
      </c>
    </row>
    <row r="302" spans="1:38" x14ac:dyDescent="0.3">
      <c r="A302" t="str">
        <f>"SO20000201"</f>
        <v>SO20000201</v>
      </c>
      <c r="B302" t="str">
        <f>"E000311250"</f>
        <v>E000311250</v>
      </c>
      <c r="C302" t="str">
        <f>"בוצעה"</f>
        <v>בוצעה</v>
      </c>
      <c r="E302" s="3">
        <v>43970</v>
      </c>
      <c r="F302" s="3">
        <v>44108</v>
      </c>
      <c r="G302" t="str">
        <f>"700065"</f>
        <v>700065</v>
      </c>
      <c r="H302" t="str">
        <f>"אלתא מערכות בע""מ"</f>
        <v>אלתא מערכות בע"מ</v>
      </c>
      <c r="I302" t="str">
        <f>"ערן שלו"</f>
        <v>ערן שלו</v>
      </c>
      <c r="J302" t="str">
        <f>"OP-AR01792"</f>
        <v>OP-AR01792</v>
      </c>
      <c r="K302" s="1" t="str">
        <f>"1039V309-001 BONDING CABLE WPG119 - BONDING STRA"</f>
        <v>1039V309-001 BONDING CABLE WPG119 - BONDING STRA</v>
      </c>
      <c r="L302">
        <v>4</v>
      </c>
      <c r="M302" t="str">
        <f>"PR20000348"</f>
        <v>PR20000348</v>
      </c>
      <c r="N302" t="str">
        <f>"CONTROL AND DATA PED TO AFT. COM"</f>
        <v>CONTROL AND DATA PED TO AFT. COM</v>
      </c>
      <c r="O302">
        <v>53.09</v>
      </c>
      <c r="P302" t="str">
        <f>"$"</f>
        <v>$</v>
      </c>
      <c r="Q302" t="str">
        <f>"117"</f>
        <v>117</v>
      </c>
      <c r="R302" t="str">
        <f>"רתמות"</f>
        <v>רתמות</v>
      </c>
      <c r="S302" t="str">
        <f>"034"</f>
        <v>034</v>
      </c>
      <c r="T302" t="str">
        <f>"גנם הודיה"</f>
        <v>גנם הודיה</v>
      </c>
      <c r="U302">
        <v>0</v>
      </c>
      <c r="V302">
        <v>0</v>
      </c>
      <c r="W302">
        <v>53.09</v>
      </c>
      <c r="X302">
        <v>212.36</v>
      </c>
      <c r="Z302" t="str">
        <f>"Y"</f>
        <v>Y</v>
      </c>
      <c r="AA302">
        <v>0</v>
      </c>
      <c r="AC302">
        <v>0</v>
      </c>
      <c r="AE302">
        <v>0</v>
      </c>
      <c r="AF302">
        <v>0</v>
      </c>
      <c r="AG302">
        <v>187.14</v>
      </c>
      <c r="AH302">
        <v>0</v>
      </c>
      <c r="AI302">
        <v>748.57</v>
      </c>
      <c r="AJ302">
        <v>212.36</v>
      </c>
      <c r="AK302">
        <v>212.36</v>
      </c>
      <c r="AL302" t="str">
        <f>"$"</f>
        <v>$</v>
      </c>
    </row>
    <row r="303" spans="1:38" x14ac:dyDescent="0.3">
      <c r="A303" t="str">
        <f>"SO20000201"</f>
        <v>SO20000201</v>
      </c>
      <c r="B303" t="str">
        <f>"E000311250"</f>
        <v>E000311250</v>
      </c>
      <c r="C303" t="str">
        <f>"בוצעה"</f>
        <v>בוצעה</v>
      </c>
      <c r="E303" s="3">
        <v>43970</v>
      </c>
      <c r="F303" s="3">
        <v>44108</v>
      </c>
      <c r="G303" t="str">
        <f>"700065"</f>
        <v>700065</v>
      </c>
      <c r="H303" t="str">
        <f>"אלתא מערכות בע""מ"</f>
        <v>אלתא מערכות בע"מ</v>
      </c>
      <c r="I303" t="str">
        <f>"ערן שלו"</f>
        <v>ערן שלו</v>
      </c>
      <c r="J303" t="str">
        <f>"OP-AR01793"</f>
        <v>OP-AR01793</v>
      </c>
      <c r="K303" s="1" t="str">
        <f>"1039V303-002 HARNESS WP303 - POWER 320VDC PEDPNL"</f>
        <v>1039V303-002 HARNESS WP303 - POWER 320VDC PEDPNL</v>
      </c>
      <c r="L303">
        <v>2</v>
      </c>
      <c r="M303" t="str">
        <f>"PR20000348"</f>
        <v>PR20000348</v>
      </c>
      <c r="N303" t="str">
        <f>"CONTROL AND DATA PED TO AFT. COM"</f>
        <v>CONTROL AND DATA PED TO AFT. COM</v>
      </c>
      <c r="O303">
        <v>978.64</v>
      </c>
      <c r="P303" t="str">
        <f>"$"</f>
        <v>$</v>
      </c>
      <c r="Q303" t="str">
        <f>"117"</f>
        <v>117</v>
      </c>
      <c r="R303" t="str">
        <f>"רתמות"</f>
        <v>רתמות</v>
      </c>
      <c r="S303" t="str">
        <f>"034"</f>
        <v>034</v>
      </c>
      <c r="T303" t="str">
        <f>"גנם הודיה"</f>
        <v>גנם הודיה</v>
      </c>
      <c r="U303">
        <v>0</v>
      </c>
      <c r="V303">
        <v>0</v>
      </c>
      <c r="W303">
        <v>978.64</v>
      </c>
      <c r="X303" s="2">
        <v>1957.28</v>
      </c>
      <c r="Z303" t="str">
        <f>"Y"</f>
        <v>Y</v>
      </c>
      <c r="AA303">
        <v>0</v>
      </c>
      <c r="AC303">
        <v>0</v>
      </c>
      <c r="AE303">
        <v>0</v>
      </c>
      <c r="AF303">
        <v>0</v>
      </c>
      <c r="AG303" s="2">
        <v>3449.71</v>
      </c>
      <c r="AH303">
        <v>0</v>
      </c>
      <c r="AI303" s="2">
        <v>6899.41</v>
      </c>
      <c r="AJ303" s="2">
        <v>1957.28</v>
      </c>
      <c r="AK303" s="2">
        <v>1957.28</v>
      </c>
      <c r="AL303" t="str">
        <f>"$"</f>
        <v>$</v>
      </c>
    </row>
    <row r="304" spans="1:38" x14ac:dyDescent="0.3">
      <c r="A304" t="str">
        <f>"SO20000201"</f>
        <v>SO20000201</v>
      </c>
      <c r="B304" t="str">
        <f>"E000311250"</f>
        <v>E000311250</v>
      </c>
      <c r="C304" t="str">
        <f>"בוצעה"</f>
        <v>בוצעה</v>
      </c>
      <c r="E304" s="3">
        <v>43970</v>
      </c>
      <c r="F304" s="3">
        <v>44108</v>
      </c>
      <c r="G304" t="str">
        <f>"700065"</f>
        <v>700065</v>
      </c>
      <c r="H304" t="str">
        <f>"אלתא מערכות בע""מ"</f>
        <v>אלתא מערכות בע"מ</v>
      </c>
      <c r="I304" t="str">
        <f>"ערן שלו"</f>
        <v>ערן שלו</v>
      </c>
      <c r="J304" t="str">
        <f>"OP-AR01794"</f>
        <v>OP-AR01794</v>
      </c>
      <c r="K304" s="1" t="str">
        <f>"1039V228-001 HARNESS W028 AUX BOX TO ANTENNA"</f>
        <v>1039V228-001 HARNESS W028 AUX BOX TO ANTENNA</v>
      </c>
      <c r="L304">
        <v>2</v>
      </c>
      <c r="M304" t="str">
        <f>"PR20000348"</f>
        <v>PR20000348</v>
      </c>
      <c r="N304" t="str">
        <f>"CONTROL AND DATA PED TO AFT. COM"</f>
        <v>CONTROL AND DATA PED TO AFT. COM</v>
      </c>
      <c r="O304">
        <v>578.03</v>
      </c>
      <c r="P304" t="str">
        <f>"$"</f>
        <v>$</v>
      </c>
      <c r="Q304" t="str">
        <f>"117"</f>
        <v>117</v>
      </c>
      <c r="R304" t="str">
        <f>"רתמות"</f>
        <v>רתמות</v>
      </c>
      <c r="S304" t="str">
        <f>"034"</f>
        <v>034</v>
      </c>
      <c r="T304" t="str">
        <f>"גנם הודיה"</f>
        <v>גנם הודיה</v>
      </c>
      <c r="U304">
        <v>0</v>
      </c>
      <c r="V304">
        <v>0</v>
      </c>
      <c r="W304">
        <v>578.03</v>
      </c>
      <c r="X304" s="2">
        <v>1156.06</v>
      </c>
      <c r="Z304" t="str">
        <f>"Y"</f>
        <v>Y</v>
      </c>
      <c r="AA304">
        <v>0</v>
      </c>
      <c r="AC304">
        <v>0</v>
      </c>
      <c r="AE304">
        <v>0</v>
      </c>
      <c r="AF304">
        <v>0</v>
      </c>
      <c r="AG304" s="2">
        <v>2037.56</v>
      </c>
      <c r="AH304">
        <v>0</v>
      </c>
      <c r="AI304" s="2">
        <v>4075.11</v>
      </c>
      <c r="AJ304" s="2">
        <v>1156.06</v>
      </c>
      <c r="AK304" s="2">
        <v>1156.06</v>
      </c>
      <c r="AL304" t="str">
        <f>"$"</f>
        <v>$</v>
      </c>
    </row>
    <row r="305" spans="1:38" x14ac:dyDescent="0.3">
      <c r="A305" t="str">
        <f>"SO20000201"</f>
        <v>SO20000201</v>
      </c>
      <c r="B305" t="str">
        <f>"E000311250"</f>
        <v>E000311250</v>
      </c>
      <c r="C305" t="str">
        <f>"בוצעה"</f>
        <v>בוצעה</v>
      </c>
      <c r="E305" s="3">
        <v>43970</v>
      </c>
      <c r="F305" s="3">
        <v>44108</v>
      </c>
      <c r="G305" t="str">
        <f>"700065"</f>
        <v>700065</v>
      </c>
      <c r="H305" t="str">
        <f>"אלתא מערכות בע""מ"</f>
        <v>אלתא מערכות בע"מ</v>
      </c>
      <c r="I305" t="str">
        <f>"ערן שלו"</f>
        <v>ערן שלו</v>
      </c>
      <c r="J305" t="str">
        <f>"OP-AR01795"</f>
        <v>OP-AR01795</v>
      </c>
      <c r="K305" s="1" t="str">
        <f>"1039V340-001 WP340 - CONTROL PEDESTAL TO PNLPED"</f>
        <v>1039V340-001 WP340 - CONTROL PEDESTAL TO PNLPED</v>
      </c>
      <c r="L305">
        <v>2</v>
      </c>
      <c r="M305" t="str">
        <f>"PR20000348"</f>
        <v>PR20000348</v>
      </c>
      <c r="N305" t="str">
        <f>"CONTROL AND DATA PED TO AFT. COM"</f>
        <v>CONTROL AND DATA PED TO AFT. COM</v>
      </c>
      <c r="O305" s="2">
        <v>1087.45</v>
      </c>
      <c r="P305" t="str">
        <f>"$"</f>
        <v>$</v>
      </c>
      <c r="Q305" t="str">
        <f>"117"</f>
        <v>117</v>
      </c>
      <c r="R305" t="str">
        <f>"רתמות"</f>
        <v>רתמות</v>
      </c>
      <c r="S305" t="str">
        <f>"034"</f>
        <v>034</v>
      </c>
      <c r="T305" t="str">
        <f>"גנם הודיה"</f>
        <v>גנם הודיה</v>
      </c>
      <c r="U305">
        <v>0</v>
      </c>
      <c r="V305">
        <v>0</v>
      </c>
      <c r="W305" s="2">
        <v>1087.45</v>
      </c>
      <c r="X305" s="2">
        <v>2174.9</v>
      </c>
      <c r="Z305" t="str">
        <f>"Y"</f>
        <v>Y</v>
      </c>
      <c r="AA305">
        <v>0</v>
      </c>
      <c r="AC305">
        <v>0</v>
      </c>
      <c r="AE305">
        <v>0</v>
      </c>
      <c r="AF305">
        <v>0</v>
      </c>
      <c r="AG305" s="2">
        <v>3833.26</v>
      </c>
      <c r="AH305">
        <v>0</v>
      </c>
      <c r="AI305" s="2">
        <v>7666.52</v>
      </c>
      <c r="AJ305" s="2">
        <v>2174.9</v>
      </c>
      <c r="AK305" s="2">
        <v>2174.9</v>
      </c>
      <c r="AL305" t="str">
        <f>"$"</f>
        <v>$</v>
      </c>
    </row>
    <row r="306" spans="1:38" x14ac:dyDescent="0.3">
      <c r="A306" t="str">
        <f>"SO20000201"</f>
        <v>SO20000201</v>
      </c>
      <c r="B306" t="str">
        <f>"E000311250"</f>
        <v>E000311250</v>
      </c>
      <c r="C306" t="str">
        <f>"בוצעה"</f>
        <v>בוצעה</v>
      </c>
      <c r="E306" s="3">
        <v>43970</v>
      </c>
      <c r="F306" s="3">
        <v>44108</v>
      </c>
      <c r="G306" t="str">
        <f>"700065"</f>
        <v>700065</v>
      </c>
      <c r="H306" t="str">
        <f>"אלתא מערכות בע""מ"</f>
        <v>אלתא מערכות בע"מ</v>
      </c>
      <c r="I306" t="str">
        <f>"ערן שלו"</f>
        <v>ערן שלו</v>
      </c>
      <c r="J306" t="str">
        <f>"OP-AR01796"</f>
        <v>OP-AR01796</v>
      </c>
      <c r="K306" s="1" t="str">
        <f>"1039V354-001 WP354 - DATA AFT COMD TO PENDANT BO"</f>
        <v>1039V354-001 WP354 - DATA AFT COMD TO PENDANT BO</v>
      </c>
      <c r="L306">
        <v>2</v>
      </c>
      <c r="M306" t="str">
        <f>"PR20000348"</f>
        <v>PR20000348</v>
      </c>
      <c r="N306" t="str">
        <f>"CONTROL AND DATA PED TO AFT. COM"</f>
        <v>CONTROL AND DATA PED TO AFT. COM</v>
      </c>
      <c r="O306">
        <v>745.81</v>
      </c>
      <c r="P306" t="str">
        <f>"$"</f>
        <v>$</v>
      </c>
      <c r="Q306" t="str">
        <f>"117"</f>
        <v>117</v>
      </c>
      <c r="R306" t="str">
        <f>"רתמות"</f>
        <v>רתמות</v>
      </c>
      <c r="S306" t="str">
        <f>"034"</f>
        <v>034</v>
      </c>
      <c r="T306" t="str">
        <f>"גנם הודיה"</f>
        <v>גנם הודיה</v>
      </c>
      <c r="U306">
        <v>0</v>
      </c>
      <c r="V306">
        <v>0</v>
      </c>
      <c r="W306">
        <v>745.81</v>
      </c>
      <c r="X306" s="2">
        <v>1491.62</v>
      </c>
      <c r="Z306" t="str">
        <f>"Y"</f>
        <v>Y</v>
      </c>
      <c r="AA306">
        <v>0</v>
      </c>
      <c r="AC306">
        <v>0</v>
      </c>
      <c r="AE306">
        <v>0</v>
      </c>
      <c r="AF306">
        <v>0</v>
      </c>
      <c r="AG306" s="2">
        <v>2628.98</v>
      </c>
      <c r="AH306">
        <v>0</v>
      </c>
      <c r="AI306" s="2">
        <v>5257.96</v>
      </c>
      <c r="AJ306" s="2">
        <v>1491.62</v>
      </c>
      <c r="AK306" s="2">
        <v>1491.62</v>
      </c>
      <c r="AL306" t="str">
        <f>"$"</f>
        <v>$</v>
      </c>
    </row>
    <row r="307" spans="1:38" x14ac:dyDescent="0.3">
      <c r="A307" t="str">
        <f>"SO20000201"</f>
        <v>SO20000201</v>
      </c>
      <c r="B307" t="str">
        <f>"E000311250"</f>
        <v>E000311250</v>
      </c>
      <c r="C307" t="str">
        <f>"בוצעה"</f>
        <v>בוצעה</v>
      </c>
      <c r="E307" s="3">
        <v>43970</v>
      </c>
      <c r="F307" s="3">
        <v>44346</v>
      </c>
      <c r="G307" t="str">
        <f>"700065"</f>
        <v>700065</v>
      </c>
      <c r="H307" t="str">
        <f>"אלתא מערכות בע""מ"</f>
        <v>אלתא מערכות בע"מ</v>
      </c>
      <c r="I307" t="str">
        <f>"ערן שלו"</f>
        <v>ערן שלו</v>
      </c>
      <c r="J307" t="str">
        <f>"OP-AR01797"</f>
        <v>OP-AR01797</v>
      </c>
      <c r="K307" s="1" t="str">
        <f>"MOQ FOR CABLES E000311250"</f>
        <v>MOQ FOR CABLES E000311250</v>
      </c>
      <c r="L307">
        <v>1</v>
      </c>
      <c r="M307" t="str">
        <f>"PR20000348"</f>
        <v>PR20000348</v>
      </c>
      <c r="N307" t="str">
        <f>"CONTROL AND DATA PED TO AFT. COM"</f>
        <v>CONTROL AND DATA PED TO AFT. COM</v>
      </c>
      <c r="O307" s="2">
        <v>5652.9</v>
      </c>
      <c r="P307" t="str">
        <f>"$"</f>
        <v>$</v>
      </c>
      <c r="Q307" t="str">
        <f>"117"</f>
        <v>117</v>
      </c>
      <c r="R307" t="str">
        <f>"רתמות"</f>
        <v>רתמות</v>
      </c>
      <c r="S307" t="str">
        <f>"034"</f>
        <v>034</v>
      </c>
      <c r="T307" t="str">
        <f>"גנם הודיה"</f>
        <v>גנם הודיה</v>
      </c>
      <c r="U307">
        <v>0</v>
      </c>
      <c r="V307">
        <v>0</v>
      </c>
      <c r="W307" s="2">
        <v>5652.9</v>
      </c>
      <c r="X307" s="2">
        <v>5652.9</v>
      </c>
      <c r="Z307" t="str">
        <f>"Y"</f>
        <v>Y</v>
      </c>
      <c r="AA307">
        <v>1</v>
      </c>
      <c r="AC307">
        <v>0</v>
      </c>
      <c r="AE307">
        <v>0</v>
      </c>
      <c r="AF307">
        <v>0</v>
      </c>
      <c r="AG307" s="2">
        <v>19926.47</v>
      </c>
      <c r="AH307">
        <v>0</v>
      </c>
      <c r="AI307" s="2">
        <v>19926.47</v>
      </c>
      <c r="AJ307" s="2">
        <v>5652.9</v>
      </c>
      <c r="AK307" s="2">
        <v>5652.9</v>
      </c>
      <c r="AL307" t="str">
        <f>"$"</f>
        <v>$</v>
      </c>
    </row>
    <row r="308" spans="1:38" x14ac:dyDescent="0.3">
      <c r="A308" t="str">
        <f>"SO20000201"</f>
        <v>SO20000201</v>
      </c>
      <c r="B308" t="str">
        <f>"E000311250"</f>
        <v>E000311250</v>
      </c>
      <c r="C308" t="str">
        <f>"בוצעה"</f>
        <v>בוצעה</v>
      </c>
      <c r="E308" s="3">
        <v>43970</v>
      </c>
      <c r="F308" s="3">
        <v>44346</v>
      </c>
      <c r="G308" t="str">
        <f>"700065"</f>
        <v>700065</v>
      </c>
      <c r="H308" t="str">
        <f>"אלתא מערכות בע""מ"</f>
        <v>אלתא מערכות בע"מ</v>
      </c>
      <c r="I308" t="str">
        <f>"ערן שלו"</f>
        <v>ערן שלו</v>
      </c>
      <c r="J308" t="str">
        <f>"OP-AR01798"</f>
        <v>OP-AR01798</v>
      </c>
      <c r="K308" s="1" t="str">
        <f>"NRE FOR CABLES FOR E000311250"</f>
        <v>NRE FOR CABLES FOR E000311250</v>
      </c>
      <c r="L308">
        <v>1</v>
      </c>
      <c r="M308" t="str">
        <f>"PR20000348"</f>
        <v>PR20000348</v>
      </c>
      <c r="N308" t="str">
        <f>"CONTROL AND DATA PED TO AFT. COM"</f>
        <v>CONTROL AND DATA PED TO AFT. COM</v>
      </c>
      <c r="O308" s="2">
        <v>9702</v>
      </c>
      <c r="P308" t="str">
        <f>"$"</f>
        <v>$</v>
      </c>
      <c r="Q308" t="str">
        <f>"117"</f>
        <v>117</v>
      </c>
      <c r="R308" t="str">
        <f>"רתמות"</f>
        <v>רתמות</v>
      </c>
      <c r="S308" t="str">
        <f>"034"</f>
        <v>034</v>
      </c>
      <c r="T308" t="str">
        <f>"גנם הודיה"</f>
        <v>גנם הודיה</v>
      </c>
      <c r="U308">
        <v>0</v>
      </c>
      <c r="V308">
        <v>0</v>
      </c>
      <c r="W308" s="2">
        <v>9702</v>
      </c>
      <c r="X308" s="2">
        <v>9702</v>
      </c>
      <c r="Z308" t="str">
        <f>"Y"</f>
        <v>Y</v>
      </c>
      <c r="AA308">
        <v>1</v>
      </c>
      <c r="AC308">
        <v>0</v>
      </c>
      <c r="AE308">
        <v>0</v>
      </c>
      <c r="AF308">
        <v>0</v>
      </c>
      <c r="AG308" s="2">
        <v>34199.550000000003</v>
      </c>
      <c r="AH308">
        <v>0</v>
      </c>
      <c r="AI308" s="2">
        <v>34199.550000000003</v>
      </c>
      <c r="AJ308" s="2">
        <v>9702</v>
      </c>
      <c r="AK308" s="2">
        <v>9702</v>
      </c>
      <c r="AL308" t="str">
        <f>"$"</f>
        <v>$</v>
      </c>
    </row>
    <row r="309" spans="1:38" x14ac:dyDescent="0.3">
      <c r="A309" t="str">
        <f>"SO20000201"</f>
        <v>SO20000201</v>
      </c>
      <c r="B309" t="str">
        <f>"E000311250"</f>
        <v>E000311250</v>
      </c>
      <c r="C309" t="str">
        <f>"בוצעה"</f>
        <v>בוצעה</v>
      </c>
      <c r="E309" s="3">
        <v>43970</v>
      </c>
      <c r="F309" s="3">
        <v>44242</v>
      </c>
      <c r="G309" t="str">
        <f>"700065"</f>
        <v>700065</v>
      </c>
      <c r="H309" t="str">
        <f>"אלתא מערכות בע""מ"</f>
        <v>אלתא מערכות בע"מ</v>
      </c>
      <c r="I309" t="str">
        <f>"ערן שלו"</f>
        <v>ערן שלו</v>
      </c>
      <c r="J309" t="str">
        <f>"OP-AR01788"</f>
        <v>OP-AR01788</v>
      </c>
      <c r="K309" s="1" t="str">
        <f>"1027L220-002 WR027 - MCS FANS DRAWER"</f>
        <v>1027L220-002 WR027 - MCS FANS DRAWER</v>
      </c>
      <c r="L309">
        <v>18</v>
      </c>
      <c r="O309">
        <v>147.51</v>
      </c>
      <c r="P309" t="str">
        <f>"$"</f>
        <v>$</v>
      </c>
      <c r="Q309" t="str">
        <f>"117"</f>
        <v>117</v>
      </c>
      <c r="R309" t="str">
        <f>"רתמות"</f>
        <v>רתמות</v>
      </c>
      <c r="S309" t="str">
        <f>"034"</f>
        <v>034</v>
      </c>
      <c r="T309" t="str">
        <f>"גנם הודיה"</f>
        <v>גנם הודיה</v>
      </c>
      <c r="U309">
        <v>0</v>
      </c>
      <c r="V309">
        <v>0</v>
      </c>
      <c r="W309">
        <v>147.51</v>
      </c>
      <c r="X309" s="2">
        <v>2655.18</v>
      </c>
      <c r="Z309" t="str">
        <f>"Y"</f>
        <v>Y</v>
      </c>
      <c r="AA309">
        <v>0</v>
      </c>
      <c r="AC309">
        <v>0</v>
      </c>
      <c r="AE309">
        <v>0</v>
      </c>
      <c r="AF309">
        <v>0</v>
      </c>
      <c r="AG309">
        <v>519.97</v>
      </c>
      <c r="AH309">
        <v>0</v>
      </c>
      <c r="AI309" s="2">
        <v>9359.51</v>
      </c>
      <c r="AJ309" s="2">
        <v>2655.18</v>
      </c>
      <c r="AK309" s="2">
        <v>2655.18</v>
      </c>
      <c r="AL309" t="str">
        <f>"$"</f>
        <v>$</v>
      </c>
    </row>
    <row r="310" spans="1:38" x14ac:dyDescent="0.3">
      <c r="A310" t="str">
        <f>"SO20000201"</f>
        <v>SO20000201</v>
      </c>
      <c r="B310" t="str">
        <f>"E000311250"</f>
        <v>E000311250</v>
      </c>
      <c r="C310" t="str">
        <f>"בוצעה"</f>
        <v>בוצעה</v>
      </c>
      <c r="E310" s="3">
        <v>43970</v>
      </c>
      <c r="F310" s="3">
        <v>44275</v>
      </c>
      <c r="G310" t="str">
        <f>"700065"</f>
        <v>700065</v>
      </c>
      <c r="H310" t="str">
        <f>"אלתא מערכות בע""מ"</f>
        <v>אלתא מערכות בע"מ</v>
      </c>
      <c r="I310" t="str">
        <f>"ערן שלו"</f>
        <v>ערן שלו</v>
      </c>
      <c r="J310" t="str">
        <f>"OP-AR01788"</f>
        <v>OP-AR01788</v>
      </c>
      <c r="K310" s="1" t="str">
        <f>"1027L220-002 WR027 - MCS FANS DRAWER"</f>
        <v>1027L220-002 WR027 - MCS FANS DRAWER</v>
      </c>
      <c r="L310">
        <v>3</v>
      </c>
      <c r="M310" t="str">
        <f>"PR20000348"</f>
        <v>PR20000348</v>
      </c>
      <c r="N310" t="str">
        <f>"CONTROL AND DATA PED TO AFT. COM"</f>
        <v>CONTROL AND DATA PED TO AFT. COM</v>
      </c>
      <c r="O310">
        <v>147.51</v>
      </c>
      <c r="P310" t="str">
        <f>"$"</f>
        <v>$</v>
      </c>
      <c r="Q310" t="str">
        <f>"117"</f>
        <v>117</v>
      </c>
      <c r="R310" t="str">
        <f>"רתמות"</f>
        <v>רתמות</v>
      </c>
      <c r="S310" t="str">
        <f>"034"</f>
        <v>034</v>
      </c>
      <c r="T310" t="str">
        <f>"גנם הודיה"</f>
        <v>גנם הודיה</v>
      </c>
      <c r="U310">
        <v>0</v>
      </c>
      <c r="V310">
        <v>0</v>
      </c>
      <c r="W310">
        <v>147.51</v>
      </c>
      <c r="X310">
        <v>442.53</v>
      </c>
      <c r="Z310" t="str">
        <f>"Y"</f>
        <v>Y</v>
      </c>
      <c r="AA310">
        <v>0</v>
      </c>
      <c r="AC310">
        <v>0</v>
      </c>
      <c r="AE310">
        <v>0</v>
      </c>
      <c r="AF310">
        <v>0</v>
      </c>
      <c r="AG310">
        <v>519.97</v>
      </c>
      <c r="AH310">
        <v>0</v>
      </c>
      <c r="AI310" s="2">
        <v>1559.92</v>
      </c>
      <c r="AJ310">
        <v>442.53</v>
      </c>
      <c r="AK310">
        <v>442.53</v>
      </c>
      <c r="AL310" t="str">
        <f>"$"</f>
        <v>$</v>
      </c>
    </row>
    <row r="311" spans="1:38" x14ac:dyDescent="0.3">
      <c r="A311" t="str">
        <f>"SO20000201"</f>
        <v>SO20000201</v>
      </c>
      <c r="B311" t="str">
        <f>"E000311250"</f>
        <v>E000311250</v>
      </c>
      <c r="C311" t="str">
        <f>"בוצעה"</f>
        <v>בוצעה</v>
      </c>
      <c r="E311" s="3">
        <v>43970</v>
      </c>
      <c r="F311" s="3">
        <v>44346</v>
      </c>
      <c r="G311" t="str">
        <f>"700065"</f>
        <v>700065</v>
      </c>
      <c r="H311" t="str">
        <f>"אלתא מערכות בע""מ"</f>
        <v>אלתא מערכות בע"מ</v>
      </c>
      <c r="I311" t="str">
        <f>"ערן שלו"</f>
        <v>ערן שלו</v>
      </c>
      <c r="J311" t="str">
        <f>"000"</f>
        <v>000</v>
      </c>
      <c r="K311" s="1" t="str">
        <f>"תוספת לייצור ג'יג עבור 2019F7"</f>
        <v>תוספת לייצור ג'יג עבור 2019F7</v>
      </c>
      <c r="L311">
        <v>1</v>
      </c>
      <c r="M311" t="str">
        <f>"PR20000348"</f>
        <v>PR20000348</v>
      </c>
      <c r="N311" t="str">
        <f>"CONTROL AND DATA PED TO AFT. COM"</f>
        <v>CONTROL AND DATA PED TO AFT. COM</v>
      </c>
      <c r="O311">
        <v>643.5</v>
      </c>
      <c r="P311" t="str">
        <f>"$"</f>
        <v>$</v>
      </c>
      <c r="Q311" t="str">
        <f>"117"</f>
        <v>117</v>
      </c>
      <c r="R311" t="str">
        <f>"רתמות"</f>
        <v>רתמות</v>
      </c>
      <c r="S311" t="str">
        <f>"034"</f>
        <v>034</v>
      </c>
      <c r="T311" t="str">
        <f>"גנם הודיה"</f>
        <v>גנם הודיה</v>
      </c>
      <c r="U311">
        <v>0</v>
      </c>
      <c r="V311">
        <v>0</v>
      </c>
      <c r="W311">
        <v>643.5</v>
      </c>
      <c r="X311">
        <v>643.5</v>
      </c>
      <c r="Z311" t="str">
        <f>"Y"</f>
        <v>Y</v>
      </c>
      <c r="AA311">
        <v>1</v>
      </c>
      <c r="AC311">
        <v>0</v>
      </c>
      <c r="AE311">
        <v>0</v>
      </c>
      <c r="AF311">
        <v>0</v>
      </c>
      <c r="AG311" s="2">
        <v>2268.34</v>
      </c>
      <c r="AH311">
        <v>0</v>
      </c>
      <c r="AI311" s="2">
        <v>2268.34</v>
      </c>
      <c r="AJ311">
        <v>643.5</v>
      </c>
      <c r="AK311">
        <v>643.5</v>
      </c>
      <c r="AL311" t="str">
        <f>"$"</f>
        <v>$</v>
      </c>
    </row>
    <row r="312" spans="1:38" x14ac:dyDescent="0.3">
      <c r="A312" t="str">
        <f>"SO20000204"</f>
        <v>SO20000204</v>
      </c>
      <c r="B312" t="str">
        <f>"E000313121"</f>
        <v>E000313121</v>
      </c>
      <c r="C312" t="str">
        <f>"בוצעה"</f>
        <v>בוצעה</v>
      </c>
      <c r="E312" s="3">
        <v>43975</v>
      </c>
      <c r="F312" s="3">
        <v>44076</v>
      </c>
      <c r="G312" t="str">
        <f>"700065"</f>
        <v>700065</v>
      </c>
      <c r="H312" t="str">
        <f>"אלתא מערכות בע""מ"</f>
        <v>אלתא מערכות בע"מ</v>
      </c>
      <c r="I312" t="str">
        <f>"ערן שלו"</f>
        <v>ערן שלו</v>
      </c>
      <c r="J312" t="str">
        <f>"cust00951"</f>
        <v>cust00951</v>
      </c>
      <c r="K312" s="1" t="str">
        <f>"AC PCU CONTROL BOX אלתא"</f>
        <v>AC PCU CONTROL BOX אלתא</v>
      </c>
      <c r="L312">
        <v>1</v>
      </c>
      <c r="M312" t="str">
        <f>"PR20000356"</f>
        <v>PR20000356</v>
      </c>
      <c r="N312" t="str">
        <f>"תיקון מגירה AC PCU 467"</f>
        <v>תיקון מגירה AC PCU 467</v>
      </c>
      <c r="O312">
        <v>0</v>
      </c>
      <c r="P312" t="str">
        <f>"$"</f>
        <v>$</v>
      </c>
      <c r="Q312" t="str">
        <f>"000"</f>
        <v>000</v>
      </c>
      <c r="R312" t="str">
        <f>"כללית"</f>
        <v>כללית</v>
      </c>
      <c r="S312" t="str">
        <f>"034"</f>
        <v>034</v>
      </c>
      <c r="T312" t="str">
        <f>"גנם הודיה"</f>
        <v>גנם הודיה</v>
      </c>
      <c r="U312">
        <v>0</v>
      </c>
      <c r="V312">
        <v>0</v>
      </c>
      <c r="W312">
        <v>0</v>
      </c>
      <c r="X312">
        <v>0</v>
      </c>
      <c r="Z312" t="str">
        <f>"Y"</f>
        <v>Y</v>
      </c>
      <c r="AA312">
        <v>0</v>
      </c>
      <c r="AC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t="str">
        <f>"$"</f>
        <v>$</v>
      </c>
    </row>
    <row r="313" spans="1:38" x14ac:dyDescent="0.3">
      <c r="A313" t="str">
        <f>"SO20000205"</f>
        <v>SO20000205</v>
      </c>
      <c r="B313" t="str">
        <f>"E000312042"</f>
        <v>E000312042</v>
      </c>
      <c r="C313" t="str">
        <f>"בוצעה"</f>
        <v>בוצעה</v>
      </c>
      <c r="E313" s="3">
        <v>43975</v>
      </c>
      <c r="F313" s="3">
        <v>44028</v>
      </c>
      <c r="G313" t="str">
        <f>"700065"</f>
        <v>700065</v>
      </c>
      <c r="H313" t="str">
        <f>"אלתא מערכות בע""מ"</f>
        <v>אלתא מערכות בע"מ</v>
      </c>
      <c r="I313" t="str">
        <f>"ערן שלו"</f>
        <v>ערן שלו</v>
      </c>
      <c r="J313" t="str">
        <f>"cust00943"</f>
        <v>cust00943</v>
      </c>
      <c r="K313" s="1" t="str">
        <f>"UPS 6K-SINGEL LINE אלתא"</f>
        <v>UPS 6K-SINGEL LINE אלתא</v>
      </c>
      <c r="L313">
        <v>1</v>
      </c>
      <c r="M313" t="str">
        <f>"PR20000349"</f>
        <v>PR20000349</v>
      </c>
      <c r="N313" t="str">
        <f>"תיקון UPS - 6K - SINGEL LINE"</f>
        <v>תיקון UPS - 6K - SINGEL LINE</v>
      </c>
      <c r="O313">
        <v>0</v>
      </c>
      <c r="P313" t="str">
        <f>"$"</f>
        <v>$</v>
      </c>
      <c r="Q313" t="str">
        <f>"000"</f>
        <v>000</v>
      </c>
      <c r="R313" t="str">
        <f>"כללית"</f>
        <v>כללית</v>
      </c>
      <c r="S313" t="str">
        <f>"034"</f>
        <v>034</v>
      </c>
      <c r="T313" t="str">
        <f>"גנם הודיה"</f>
        <v>גנם הודיה</v>
      </c>
      <c r="U313">
        <v>0</v>
      </c>
      <c r="V313">
        <v>0</v>
      </c>
      <c r="W313">
        <v>0</v>
      </c>
      <c r="X313">
        <v>0</v>
      </c>
      <c r="Z313" t="str">
        <f>"Y"</f>
        <v>Y</v>
      </c>
      <c r="AA313">
        <v>0</v>
      </c>
      <c r="AC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t="str">
        <f>"$"</f>
        <v>$</v>
      </c>
    </row>
    <row r="314" spans="1:38" x14ac:dyDescent="0.3">
      <c r="A314" t="str">
        <f>"SO20000214"</f>
        <v>SO20000214</v>
      </c>
      <c r="B314" t="str">
        <f>"E000313296"</f>
        <v>E000313296</v>
      </c>
      <c r="C314" t="str">
        <f>"בוצעה"</f>
        <v>בוצעה</v>
      </c>
      <c r="E314" s="3">
        <v>43978</v>
      </c>
      <c r="F314" s="3">
        <v>44063</v>
      </c>
      <c r="G314" t="str">
        <f>"700065"</f>
        <v>700065</v>
      </c>
      <c r="H314" t="str">
        <f>"אלתא מערכות בע""מ"</f>
        <v>אלתא מערכות בע"מ</v>
      </c>
      <c r="I314" t="str">
        <f>"ערן שלו"</f>
        <v>ערן שלו</v>
      </c>
      <c r="J314" t="str">
        <f>"OP-AR01823"</f>
        <v>OP-AR01823</v>
      </c>
      <c r="K314" s="1" t="str">
        <f>"1036H251-001 HARNESS WC251 - ETHERNET CABLE"</f>
        <v>1036H251-001 HARNESS WC251 - ETHERNET CABLE</v>
      </c>
      <c r="L314">
        <v>1</v>
      </c>
      <c r="M314" t="str">
        <f>"PR20000354"</f>
        <v>PR20000354</v>
      </c>
      <c r="N314" t="str">
        <f>"HARNESS WC251"</f>
        <v>HARNESS WC251</v>
      </c>
      <c r="O314">
        <v>442.26</v>
      </c>
      <c r="P314" t="str">
        <f>"$"</f>
        <v>$</v>
      </c>
      <c r="Q314" t="str">
        <f>"000"</f>
        <v>000</v>
      </c>
      <c r="R314" t="str">
        <f>"כללית"</f>
        <v>כללית</v>
      </c>
      <c r="S314" t="str">
        <f>"034"</f>
        <v>034</v>
      </c>
      <c r="T314" t="str">
        <f>"חן בזק"</f>
        <v>חן בזק</v>
      </c>
      <c r="U314">
        <v>0</v>
      </c>
      <c r="V314">
        <v>0</v>
      </c>
      <c r="W314">
        <v>442.26</v>
      </c>
      <c r="X314">
        <v>442.26</v>
      </c>
      <c r="Z314" t="str">
        <f>"Y"</f>
        <v>Y</v>
      </c>
      <c r="AA314">
        <v>0</v>
      </c>
      <c r="AC314">
        <v>0</v>
      </c>
      <c r="AE314">
        <v>0</v>
      </c>
      <c r="AF314">
        <v>0</v>
      </c>
      <c r="AG314" s="2">
        <v>1547.47</v>
      </c>
      <c r="AH314">
        <v>0</v>
      </c>
      <c r="AI314" s="2">
        <v>1547.47</v>
      </c>
      <c r="AJ314">
        <v>442.26</v>
      </c>
      <c r="AK314">
        <v>442.26</v>
      </c>
      <c r="AL314" t="str">
        <f>"$"</f>
        <v>$</v>
      </c>
    </row>
    <row r="315" spans="1:38" x14ac:dyDescent="0.3">
      <c r="A315" t="str">
        <f>"SO20000215"</f>
        <v>SO20000215</v>
      </c>
      <c r="B315" t="str">
        <f>"E000313522"</f>
        <v>E000313522</v>
      </c>
      <c r="C315" t="str">
        <f>"בוצעה"</f>
        <v>בוצעה</v>
      </c>
      <c r="E315" s="3">
        <v>43978</v>
      </c>
      <c r="F315" s="3">
        <v>44070</v>
      </c>
      <c r="G315" t="str">
        <f>"700065"</f>
        <v>700065</v>
      </c>
      <c r="H315" t="str">
        <f>"אלתא מערכות בע""מ"</f>
        <v>אלתא מערכות בע"מ</v>
      </c>
      <c r="I315" t="str">
        <f>"ערן שלו"</f>
        <v>ערן שלו</v>
      </c>
      <c r="J315" t="str">
        <f>"cust00952"</f>
        <v>cust00952</v>
      </c>
      <c r="K315" s="1" t="str">
        <f>"1038U960-001 אלתא"</f>
        <v>1038U960-001 אלתא</v>
      </c>
      <c r="L315">
        <v>1</v>
      </c>
      <c r="O315">
        <v>0</v>
      </c>
      <c r="P315" t="str">
        <f>"$"</f>
        <v>$</v>
      </c>
      <c r="Q315" t="str">
        <f>"000"</f>
        <v>000</v>
      </c>
      <c r="R315" t="str">
        <f>"כללית"</f>
        <v>כללית</v>
      </c>
      <c r="S315" t="str">
        <f>"034"</f>
        <v>034</v>
      </c>
      <c r="T315" t="str">
        <f>"חן בזק"</f>
        <v>חן בזק</v>
      </c>
      <c r="U315">
        <v>0</v>
      </c>
      <c r="V315">
        <v>0</v>
      </c>
      <c r="W315">
        <v>0</v>
      </c>
      <c r="X315">
        <v>0</v>
      </c>
      <c r="Z315" t="str">
        <f>"Y"</f>
        <v>Y</v>
      </c>
      <c r="AA315">
        <v>0</v>
      </c>
      <c r="AC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t="str">
        <f>"$"</f>
        <v>$</v>
      </c>
    </row>
    <row r="316" spans="1:38" x14ac:dyDescent="0.3">
      <c r="A316" t="str">
        <f>"SO20000215"</f>
        <v>SO20000215</v>
      </c>
      <c r="B316" t="str">
        <f>"E000313522"</f>
        <v>E000313522</v>
      </c>
      <c r="C316" t="str">
        <f>"בוצעה"</f>
        <v>בוצעה</v>
      </c>
      <c r="E316" s="3">
        <v>43978</v>
      </c>
      <c r="F316" s="3">
        <v>44070</v>
      </c>
      <c r="G316" t="str">
        <f>"700065"</f>
        <v>700065</v>
      </c>
      <c r="H316" t="str">
        <f>"אלתא מערכות בע""מ"</f>
        <v>אלתא מערכות בע"מ</v>
      </c>
      <c r="I316" t="str">
        <f>"ערן שלו"</f>
        <v>ערן שלו</v>
      </c>
      <c r="J316" t="str">
        <f>"cust00952"</f>
        <v>cust00952</v>
      </c>
      <c r="K316" s="1" t="str">
        <f>"1038U960-001 אלתא"</f>
        <v>1038U960-001 אלתא</v>
      </c>
      <c r="L316">
        <v>1</v>
      </c>
      <c r="O316">
        <v>0</v>
      </c>
      <c r="P316" t="str">
        <f>"$"</f>
        <v>$</v>
      </c>
      <c r="Q316" t="str">
        <f>"000"</f>
        <v>000</v>
      </c>
      <c r="R316" t="str">
        <f>"כללית"</f>
        <v>כללית</v>
      </c>
      <c r="S316" t="str">
        <f>"034"</f>
        <v>034</v>
      </c>
      <c r="T316" t="str">
        <f>"חן בזק"</f>
        <v>חן בזק</v>
      </c>
      <c r="U316">
        <v>0</v>
      </c>
      <c r="V316">
        <v>0</v>
      </c>
      <c r="W316">
        <v>0</v>
      </c>
      <c r="X316">
        <v>0</v>
      </c>
      <c r="Z316" t="str">
        <f>"Y"</f>
        <v>Y</v>
      </c>
      <c r="AA316">
        <v>0</v>
      </c>
      <c r="AC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t="str">
        <f>"$"</f>
        <v>$</v>
      </c>
    </row>
    <row r="317" spans="1:38" x14ac:dyDescent="0.3">
      <c r="A317" t="str">
        <f>"SO20000215"</f>
        <v>SO20000215</v>
      </c>
      <c r="B317" t="str">
        <f>"E000313522"</f>
        <v>E000313522</v>
      </c>
      <c r="C317" t="str">
        <f>"בוצעה"</f>
        <v>בוצעה</v>
      </c>
      <c r="E317" s="3">
        <v>43978</v>
      </c>
      <c r="F317" s="3">
        <v>44070</v>
      </c>
      <c r="G317" t="str">
        <f>"700065"</f>
        <v>700065</v>
      </c>
      <c r="H317" t="str">
        <f>"אלתא מערכות בע""מ"</f>
        <v>אלתא מערכות בע"מ</v>
      </c>
      <c r="I317" t="str">
        <f>"ערן שלו"</f>
        <v>ערן שלו</v>
      </c>
      <c r="J317" t="str">
        <f>"cust00952"</f>
        <v>cust00952</v>
      </c>
      <c r="K317" s="1" t="str">
        <f>"1038U960-001 אלתא"</f>
        <v>1038U960-001 אלתא</v>
      </c>
      <c r="L317">
        <v>1</v>
      </c>
      <c r="M317" t="str">
        <f>"PR20000338"</f>
        <v>PR20000338</v>
      </c>
      <c r="N317" t="str">
        <f>"חטיבת CU שידרוג ותוספות"</f>
        <v>חטיבת CU שידרוג ותוספות</v>
      </c>
      <c r="O317">
        <v>0</v>
      </c>
      <c r="P317" t="str">
        <f>"$"</f>
        <v>$</v>
      </c>
      <c r="Q317" t="str">
        <f>"000"</f>
        <v>000</v>
      </c>
      <c r="R317" t="str">
        <f>"כללית"</f>
        <v>כללית</v>
      </c>
      <c r="S317" t="str">
        <f>"034"</f>
        <v>034</v>
      </c>
      <c r="T317" t="str">
        <f>"חן בזק"</f>
        <v>חן בזק</v>
      </c>
      <c r="U317">
        <v>0</v>
      </c>
      <c r="V317">
        <v>0</v>
      </c>
      <c r="W317">
        <v>0</v>
      </c>
      <c r="X317">
        <v>0</v>
      </c>
      <c r="Z317" t="str">
        <f>"Y"</f>
        <v>Y</v>
      </c>
      <c r="AA317">
        <v>0</v>
      </c>
      <c r="AC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t="str">
        <f>"$"</f>
        <v>$</v>
      </c>
    </row>
    <row r="318" spans="1:38" x14ac:dyDescent="0.3">
      <c r="A318" t="str">
        <f>"SO20000215"</f>
        <v>SO20000215</v>
      </c>
      <c r="B318" t="str">
        <f>"E000313522"</f>
        <v>E000313522</v>
      </c>
      <c r="C318" t="str">
        <f>"בוצעה"</f>
        <v>בוצעה</v>
      </c>
      <c r="E318" s="3">
        <v>43978</v>
      </c>
      <c r="F318" s="3">
        <v>44047</v>
      </c>
      <c r="G318" t="str">
        <f>"700065"</f>
        <v>700065</v>
      </c>
      <c r="H318" t="str">
        <f>"אלתא מערכות בע""מ"</f>
        <v>אלתא מערכות בע"מ</v>
      </c>
      <c r="I318" t="str">
        <f>"ערן שלו"</f>
        <v>ערן שלו</v>
      </c>
      <c r="J318" t="str">
        <f>"cust00952"</f>
        <v>cust00952</v>
      </c>
      <c r="K318" s="1" t="str">
        <f>"1038U960-001 אלתא"</f>
        <v>1038U960-001 אלתא</v>
      </c>
      <c r="L318">
        <v>1</v>
      </c>
      <c r="O318">
        <v>0</v>
      </c>
      <c r="P318" t="str">
        <f>"$"</f>
        <v>$</v>
      </c>
      <c r="Q318" t="str">
        <f>"000"</f>
        <v>000</v>
      </c>
      <c r="R318" t="str">
        <f>"כללית"</f>
        <v>כללית</v>
      </c>
      <c r="S318" t="str">
        <f>"034"</f>
        <v>034</v>
      </c>
      <c r="T318" t="str">
        <f>"חן בזק"</f>
        <v>חן בזק</v>
      </c>
      <c r="U318">
        <v>0</v>
      </c>
      <c r="V318">
        <v>0</v>
      </c>
      <c r="W318">
        <v>0</v>
      </c>
      <c r="X318">
        <v>0</v>
      </c>
      <c r="Z318" t="str">
        <f>"Y"</f>
        <v>Y</v>
      </c>
      <c r="AA318">
        <v>0</v>
      </c>
      <c r="AC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t="str">
        <f>"$"</f>
        <v>$</v>
      </c>
    </row>
    <row r="319" spans="1:38" x14ac:dyDescent="0.3">
      <c r="A319" t="str">
        <f>"SO20000215"</f>
        <v>SO20000215</v>
      </c>
      <c r="B319" t="str">
        <f>"E000313522"</f>
        <v>E000313522</v>
      </c>
      <c r="C319" t="str">
        <f>"בוצעה"</f>
        <v>בוצעה</v>
      </c>
      <c r="E319" s="3">
        <v>43978</v>
      </c>
      <c r="F319" s="3">
        <v>44047</v>
      </c>
      <c r="G319" t="str">
        <f>"700065"</f>
        <v>700065</v>
      </c>
      <c r="H319" t="str">
        <f>"אלתא מערכות בע""מ"</f>
        <v>אלתא מערכות בע"מ</v>
      </c>
      <c r="I319" t="str">
        <f>"ערן שלו"</f>
        <v>ערן שלו</v>
      </c>
      <c r="J319" t="str">
        <f>"cust00952"</f>
        <v>cust00952</v>
      </c>
      <c r="K319" s="1" t="str">
        <f>"1038U960-001 אלתא"</f>
        <v>1038U960-001 אלתא</v>
      </c>
      <c r="L319">
        <v>1</v>
      </c>
      <c r="O319">
        <v>0</v>
      </c>
      <c r="P319" t="str">
        <f>"$"</f>
        <v>$</v>
      </c>
      <c r="Q319" t="str">
        <f>"000"</f>
        <v>000</v>
      </c>
      <c r="R319" t="str">
        <f>"כללית"</f>
        <v>כללית</v>
      </c>
      <c r="S319" t="str">
        <f>"034"</f>
        <v>034</v>
      </c>
      <c r="T319" t="str">
        <f>"חן בזק"</f>
        <v>חן בזק</v>
      </c>
      <c r="U319">
        <v>0</v>
      </c>
      <c r="V319">
        <v>0</v>
      </c>
      <c r="W319">
        <v>0</v>
      </c>
      <c r="X319">
        <v>0</v>
      </c>
      <c r="Z319" t="str">
        <f>"Y"</f>
        <v>Y</v>
      </c>
      <c r="AA319">
        <v>0</v>
      </c>
      <c r="AC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t="str">
        <f>"$"</f>
        <v>$</v>
      </c>
    </row>
    <row r="320" spans="1:38" x14ac:dyDescent="0.3">
      <c r="A320" t="str">
        <f>"SO20000216"</f>
        <v>SO20000216</v>
      </c>
      <c r="B320" t="str">
        <f>"E000310975"</f>
        <v>E000310975</v>
      </c>
      <c r="C320" t="str">
        <f>"בוצעה"</f>
        <v>בוצעה</v>
      </c>
      <c r="E320" s="3">
        <v>43978</v>
      </c>
      <c r="F320" s="3">
        <v>44143</v>
      </c>
      <c r="G320" t="str">
        <f>"700065"</f>
        <v>700065</v>
      </c>
      <c r="H320" t="str">
        <f>"אלתא מערכות בע""מ"</f>
        <v>אלתא מערכות בע"מ</v>
      </c>
      <c r="I320" t="str">
        <f>"ערן שלו"</f>
        <v>ערן שלו</v>
      </c>
      <c r="J320" t="str">
        <f>"OP-AR01824"</f>
        <v>OP-AR01824</v>
      </c>
      <c r="K320" s="1" t="str">
        <f>"1029K764-001 PED/ANT. GROUND CABLE"</f>
        <v>1029K764-001 PED/ANT. GROUND CABLE</v>
      </c>
      <c r="L320">
        <v>4</v>
      </c>
      <c r="M320" t="str">
        <f>"PR20000355"</f>
        <v>PR20000355</v>
      </c>
      <c r="N320" t="str">
        <f>"PED/ANT. GROUND CABLE"</f>
        <v>PED/ANT. GROUND CABLE</v>
      </c>
      <c r="O320">
        <v>180</v>
      </c>
      <c r="P320" t="str">
        <f>"$"</f>
        <v>$</v>
      </c>
      <c r="Q320" t="str">
        <f>"000"</f>
        <v>000</v>
      </c>
      <c r="R320" t="str">
        <f>"כללית"</f>
        <v>כללית</v>
      </c>
      <c r="S320" t="str">
        <f>"034"</f>
        <v>034</v>
      </c>
      <c r="T320" t="str">
        <f>"גנם הודיה"</f>
        <v>גנם הודיה</v>
      </c>
      <c r="U320">
        <v>0</v>
      </c>
      <c r="V320">
        <v>0</v>
      </c>
      <c r="W320">
        <v>180</v>
      </c>
      <c r="X320">
        <v>720</v>
      </c>
      <c r="Z320" t="str">
        <f>"Y"</f>
        <v>Y</v>
      </c>
      <c r="AA320">
        <v>0</v>
      </c>
      <c r="AC320">
        <v>0</v>
      </c>
      <c r="AE320">
        <v>0</v>
      </c>
      <c r="AF320">
        <v>0</v>
      </c>
      <c r="AG320">
        <v>629.82000000000005</v>
      </c>
      <c r="AH320">
        <v>0</v>
      </c>
      <c r="AI320" s="2">
        <v>2519.2800000000002</v>
      </c>
      <c r="AJ320">
        <v>720</v>
      </c>
      <c r="AK320">
        <v>720</v>
      </c>
      <c r="AL320" t="str">
        <f>"$"</f>
        <v>$</v>
      </c>
    </row>
    <row r="321" spans="1:38" x14ac:dyDescent="0.3">
      <c r="A321" t="str">
        <f>"SO20000216"</f>
        <v>SO20000216</v>
      </c>
      <c r="B321" t="str">
        <f>"E000310975"</f>
        <v>E000310975</v>
      </c>
      <c r="C321" t="str">
        <f>"בוצעה"</f>
        <v>בוצעה</v>
      </c>
      <c r="E321" s="3">
        <v>43978</v>
      </c>
      <c r="F321" s="3">
        <v>44143</v>
      </c>
      <c r="G321" t="str">
        <f>"700065"</f>
        <v>700065</v>
      </c>
      <c r="H321" t="str">
        <f>"אלתא מערכות בע""מ"</f>
        <v>אלתא מערכות בע"מ</v>
      </c>
      <c r="I321" t="str">
        <f>"ערן שלו"</f>
        <v>ערן שלו</v>
      </c>
      <c r="J321" t="str">
        <f>"OP-AR01825"</f>
        <v>OP-AR01825</v>
      </c>
      <c r="K321" s="1" t="str">
        <f>"MOQ FOR E000310975"</f>
        <v>MOQ FOR E000310975</v>
      </c>
      <c r="L321">
        <v>1</v>
      </c>
      <c r="M321" t="str">
        <f>"PR20000355"</f>
        <v>PR20000355</v>
      </c>
      <c r="N321" t="str">
        <f>"PED/ANT. GROUND CABLE"</f>
        <v>PED/ANT. GROUND CABLE</v>
      </c>
      <c r="O321">
        <v>364</v>
      </c>
      <c r="P321" t="str">
        <f>"$"</f>
        <v>$</v>
      </c>
      <c r="Q321" t="str">
        <f>"000"</f>
        <v>000</v>
      </c>
      <c r="R321" t="str">
        <f>"כללית"</f>
        <v>כללית</v>
      </c>
      <c r="S321" t="str">
        <f>"034"</f>
        <v>034</v>
      </c>
      <c r="T321" t="str">
        <f>"גנם הודיה"</f>
        <v>גנם הודיה</v>
      </c>
      <c r="U321">
        <v>0</v>
      </c>
      <c r="V321">
        <v>0</v>
      </c>
      <c r="W321">
        <v>364</v>
      </c>
      <c r="X321">
        <v>364</v>
      </c>
      <c r="Z321" t="str">
        <f>"Y"</f>
        <v>Y</v>
      </c>
      <c r="AA321">
        <v>1</v>
      </c>
      <c r="AC321">
        <v>0</v>
      </c>
      <c r="AE321">
        <v>0</v>
      </c>
      <c r="AF321">
        <v>0</v>
      </c>
      <c r="AG321" s="2">
        <v>1273.6400000000001</v>
      </c>
      <c r="AH321">
        <v>0</v>
      </c>
      <c r="AI321" s="2">
        <v>1273.6400000000001</v>
      </c>
      <c r="AJ321">
        <v>364</v>
      </c>
      <c r="AK321">
        <v>364</v>
      </c>
      <c r="AL321" t="str">
        <f>"$"</f>
        <v>$</v>
      </c>
    </row>
    <row r="322" spans="1:38" x14ac:dyDescent="0.3">
      <c r="A322" t="str">
        <f>"SO20000218"</f>
        <v>SO20000218</v>
      </c>
      <c r="B322" t="str">
        <f>"E000312785"</f>
        <v>E000312785</v>
      </c>
      <c r="C322" t="str">
        <f>"בוצעה"</f>
        <v>בוצעה</v>
      </c>
      <c r="E322" s="3">
        <v>43982</v>
      </c>
      <c r="F322" s="3">
        <v>44449</v>
      </c>
      <c r="G322" t="str">
        <f>"700065"</f>
        <v>700065</v>
      </c>
      <c r="H322" t="str">
        <f>"אלתא מערכות בע""מ"</f>
        <v>אלתא מערכות בע"מ</v>
      </c>
      <c r="I322" t="str">
        <f>"ערן שלו"</f>
        <v>ערן שלו</v>
      </c>
      <c r="J322" t="str">
        <f>"OP-ML00179"</f>
        <v>OP-ML00179</v>
      </c>
      <c r="K322" s="1" t="str">
        <f>"1038C906-001 Radar Power Unit (RPU) Platform"</f>
        <v>1038C906-001 Radar Power Unit (RPU) Platform</v>
      </c>
      <c r="L322">
        <v>1</v>
      </c>
      <c r="M322" t="str">
        <f>"PR20000698"</f>
        <v>PR20000698</v>
      </c>
      <c r="N322" t="str">
        <f>"1038C906-001 RPU1"</f>
        <v>1038C906-001 RPU1</v>
      </c>
      <c r="O322" s="2">
        <v>284970</v>
      </c>
      <c r="P322" t="str">
        <f>"$"</f>
        <v>$</v>
      </c>
      <c r="Q322" t="str">
        <f>"119"</f>
        <v>119</v>
      </c>
      <c r="R322" t="str">
        <f>"פלטפורמות"</f>
        <v>פלטפורמות</v>
      </c>
      <c r="S322" t="str">
        <f>"034"</f>
        <v>034</v>
      </c>
      <c r="T322" t="str">
        <f>"גנם הודיה"</f>
        <v>גנם הודיה</v>
      </c>
      <c r="U322">
        <v>0</v>
      </c>
      <c r="V322">
        <v>0</v>
      </c>
      <c r="W322" s="2">
        <v>284970</v>
      </c>
      <c r="X322" s="2">
        <v>284970</v>
      </c>
      <c r="Z322" t="str">
        <f>"Y"</f>
        <v>Y</v>
      </c>
      <c r="AA322">
        <v>0</v>
      </c>
      <c r="AC322">
        <v>0</v>
      </c>
      <c r="AE322">
        <v>0</v>
      </c>
      <c r="AF322">
        <v>0</v>
      </c>
      <c r="AG322" s="2">
        <v>997964.94</v>
      </c>
      <c r="AH322">
        <v>0</v>
      </c>
      <c r="AI322" s="2">
        <v>997964.94</v>
      </c>
      <c r="AJ322" s="2">
        <v>284970</v>
      </c>
      <c r="AK322" s="2">
        <v>284970</v>
      </c>
      <c r="AL322" t="str">
        <f>"$"</f>
        <v>$</v>
      </c>
    </row>
    <row r="323" spans="1:38" x14ac:dyDescent="0.3">
      <c r="A323" t="str">
        <f>"SO20000218"</f>
        <v>SO20000218</v>
      </c>
      <c r="B323" t="str">
        <f>"E000312785"</f>
        <v>E000312785</v>
      </c>
      <c r="C323" t="str">
        <f>"בוצעה"</f>
        <v>בוצעה</v>
      </c>
      <c r="E323" s="3">
        <v>43982</v>
      </c>
      <c r="F323" s="3">
        <v>44620</v>
      </c>
      <c r="G323" t="str">
        <f>"700065"</f>
        <v>700065</v>
      </c>
      <c r="H323" t="str">
        <f>"אלתא מערכות בע""מ"</f>
        <v>אלתא מערכות בע"מ</v>
      </c>
      <c r="I323" t="str">
        <f>"ערן שלו"</f>
        <v>ערן שלו</v>
      </c>
      <c r="J323" t="str">
        <f>"OP-ML00179"</f>
        <v>OP-ML00179</v>
      </c>
      <c r="K323" s="1" t="str">
        <f>"1038C906-001 Radar Power Unit (RPU) Platform"</f>
        <v>1038C906-001 Radar Power Unit (RPU) Platform</v>
      </c>
      <c r="L323">
        <v>1</v>
      </c>
      <c r="M323" t="str">
        <f>"PR20000699"</f>
        <v>PR20000699</v>
      </c>
      <c r="N323" t="str">
        <f>"1038C906-001 RPU2"</f>
        <v>1038C906-001 RPU2</v>
      </c>
      <c r="O323" s="2">
        <v>284970</v>
      </c>
      <c r="P323" t="str">
        <f>"$"</f>
        <v>$</v>
      </c>
      <c r="Q323" t="str">
        <f>"119"</f>
        <v>119</v>
      </c>
      <c r="R323" t="str">
        <f>"פלטפורמות"</f>
        <v>פלטפורמות</v>
      </c>
      <c r="S323" t="str">
        <f>"034"</f>
        <v>034</v>
      </c>
      <c r="T323" t="str">
        <f>"גנם הודיה"</f>
        <v>גנם הודיה</v>
      </c>
      <c r="U323">
        <v>0</v>
      </c>
      <c r="V323">
        <v>0</v>
      </c>
      <c r="W323" s="2">
        <v>284970</v>
      </c>
      <c r="X323" s="2">
        <v>284970</v>
      </c>
      <c r="Z323" t="str">
        <f>"Y"</f>
        <v>Y</v>
      </c>
      <c r="AA323">
        <v>0</v>
      </c>
      <c r="AC323">
        <v>0</v>
      </c>
      <c r="AE323">
        <v>0</v>
      </c>
      <c r="AF323">
        <v>0</v>
      </c>
      <c r="AG323" s="2">
        <v>997964.94</v>
      </c>
      <c r="AH323">
        <v>0</v>
      </c>
      <c r="AI323" s="2">
        <v>997964.94</v>
      </c>
      <c r="AJ323" s="2">
        <v>284970</v>
      </c>
      <c r="AK323" s="2">
        <v>284970</v>
      </c>
      <c r="AL323" t="str">
        <f>"$"</f>
        <v>$</v>
      </c>
    </row>
    <row r="324" spans="1:38" x14ac:dyDescent="0.3">
      <c r="A324" t="str">
        <f>"SO20000218"</f>
        <v>SO20000218</v>
      </c>
      <c r="B324" t="str">
        <f>"E000312785"</f>
        <v>E000312785</v>
      </c>
      <c r="C324" t="str">
        <f>"בוצעה"</f>
        <v>בוצעה</v>
      </c>
      <c r="E324" s="3">
        <v>43982</v>
      </c>
      <c r="F324" s="3">
        <v>44742</v>
      </c>
      <c r="G324" t="str">
        <f>"700065"</f>
        <v>700065</v>
      </c>
      <c r="H324" t="str">
        <f>"אלתא מערכות בע""מ"</f>
        <v>אלתא מערכות בע"מ</v>
      </c>
      <c r="I324" t="str">
        <f>"ערן שלו"</f>
        <v>ערן שלו</v>
      </c>
      <c r="J324" t="str">
        <f>"OP-ML00179"</f>
        <v>OP-ML00179</v>
      </c>
      <c r="K324" s="1" t="str">
        <f>"1038C906-001 Radar Power Unit (RPU) Platform"</f>
        <v>1038C906-001 Radar Power Unit (RPU) Platform</v>
      </c>
      <c r="L324">
        <v>1</v>
      </c>
      <c r="M324" t="str">
        <f>"PR20000700"</f>
        <v>PR20000700</v>
      </c>
      <c r="N324" t="str">
        <f>"1038C906-001 RPU3"</f>
        <v>1038C906-001 RPU3</v>
      </c>
      <c r="O324" s="2">
        <v>284970</v>
      </c>
      <c r="P324" t="str">
        <f>"$"</f>
        <v>$</v>
      </c>
      <c r="Q324" t="str">
        <f>"119"</f>
        <v>119</v>
      </c>
      <c r="R324" t="str">
        <f>"פלטפורמות"</f>
        <v>פלטפורמות</v>
      </c>
      <c r="S324" t="str">
        <f>"034"</f>
        <v>034</v>
      </c>
      <c r="T324" t="str">
        <f>"גנם הודיה"</f>
        <v>גנם הודיה</v>
      </c>
      <c r="U324">
        <v>0</v>
      </c>
      <c r="V324">
        <v>0</v>
      </c>
      <c r="W324" s="2">
        <v>284970</v>
      </c>
      <c r="X324" s="2">
        <v>284970</v>
      </c>
      <c r="Z324" t="str">
        <f>"Y"</f>
        <v>Y</v>
      </c>
      <c r="AA324">
        <v>0</v>
      </c>
      <c r="AC324">
        <v>0</v>
      </c>
      <c r="AE324">
        <v>0</v>
      </c>
      <c r="AF324">
        <v>0</v>
      </c>
      <c r="AG324" s="2">
        <v>997964.94</v>
      </c>
      <c r="AH324">
        <v>0</v>
      </c>
      <c r="AI324" s="2">
        <v>997964.94</v>
      </c>
      <c r="AJ324" s="2">
        <v>284970</v>
      </c>
      <c r="AK324" s="2">
        <v>284970</v>
      </c>
      <c r="AL324" t="str">
        <f>"$"</f>
        <v>$</v>
      </c>
    </row>
    <row r="325" spans="1:38" x14ac:dyDescent="0.3">
      <c r="A325" t="str">
        <f>"SO20000218"</f>
        <v>SO20000218</v>
      </c>
      <c r="B325" t="str">
        <f>"E000312785"</f>
        <v>E000312785</v>
      </c>
      <c r="C325" t="str">
        <f>"בוצעה"</f>
        <v>בוצעה</v>
      </c>
      <c r="E325" s="3">
        <v>43982</v>
      </c>
      <c r="F325" s="3">
        <v>44772</v>
      </c>
      <c r="G325" t="str">
        <f>"700065"</f>
        <v>700065</v>
      </c>
      <c r="H325" t="str">
        <f>"אלתא מערכות בע""מ"</f>
        <v>אלתא מערכות בע"מ</v>
      </c>
      <c r="I325" t="str">
        <f>"ערן שלו"</f>
        <v>ערן שלו</v>
      </c>
      <c r="J325" t="str">
        <f>"OP-ML00179"</f>
        <v>OP-ML00179</v>
      </c>
      <c r="K325" s="1" t="str">
        <f>"1038C906-001 Radar Power Unit (RPU) Platform"</f>
        <v>1038C906-001 Radar Power Unit (RPU) Platform</v>
      </c>
      <c r="L325">
        <v>1</v>
      </c>
      <c r="M325" t="str">
        <f>"PR20000701"</f>
        <v>PR20000701</v>
      </c>
      <c r="N325" t="str">
        <f>"108C906-001 RPU4"</f>
        <v>108C906-001 RPU4</v>
      </c>
      <c r="O325" s="2">
        <v>284970</v>
      </c>
      <c r="P325" t="str">
        <f>"$"</f>
        <v>$</v>
      </c>
      <c r="Q325" t="str">
        <f>"119"</f>
        <v>119</v>
      </c>
      <c r="R325" t="str">
        <f>"פלטפורמות"</f>
        <v>פלטפורמות</v>
      </c>
      <c r="S325" t="str">
        <f>"034"</f>
        <v>034</v>
      </c>
      <c r="T325" t="str">
        <f>"גנם הודיה"</f>
        <v>גנם הודיה</v>
      </c>
      <c r="U325">
        <v>0</v>
      </c>
      <c r="V325">
        <v>0</v>
      </c>
      <c r="W325" s="2">
        <v>284970</v>
      </c>
      <c r="X325" s="2">
        <v>284970</v>
      </c>
      <c r="Z325" t="str">
        <f>"Y"</f>
        <v>Y</v>
      </c>
      <c r="AA325">
        <v>0</v>
      </c>
      <c r="AC325">
        <v>0</v>
      </c>
      <c r="AE325">
        <v>0</v>
      </c>
      <c r="AF325">
        <v>0</v>
      </c>
      <c r="AG325" s="2">
        <v>997964.94</v>
      </c>
      <c r="AH325">
        <v>0</v>
      </c>
      <c r="AI325" s="2">
        <v>997964.94</v>
      </c>
      <c r="AJ325" s="2">
        <v>284970</v>
      </c>
      <c r="AK325" s="2">
        <v>284970</v>
      </c>
      <c r="AL325" t="str">
        <f>"$"</f>
        <v>$</v>
      </c>
    </row>
    <row r="326" spans="1:38" x14ac:dyDescent="0.3">
      <c r="A326" t="str">
        <f>"SO20000218"</f>
        <v>SO20000218</v>
      </c>
      <c r="B326" t="str">
        <f>"E000312785"</f>
        <v>E000312785</v>
      </c>
      <c r="C326" t="str">
        <f>"בוצעה"</f>
        <v>בוצעה</v>
      </c>
      <c r="E326" s="3">
        <v>43982</v>
      </c>
      <c r="F326" s="3">
        <v>44803</v>
      </c>
      <c r="G326" t="str">
        <f>"700065"</f>
        <v>700065</v>
      </c>
      <c r="H326" t="str">
        <f>"אלתא מערכות בע""מ"</f>
        <v>אלתא מערכות בע"מ</v>
      </c>
      <c r="I326" t="str">
        <f>"ערן שלו"</f>
        <v>ערן שלו</v>
      </c>
      <c r="J326" t="str">
        <f>"OP-ML00179"</f>
        <v>OP-ML00179</v>
      </c>
      <c r="K326" s="1" t="str">
        <f>"1038C906-001 Radar Power Unit (RPU) Platform"</f>
        <v>1038C906-001 Radar Power Unit (RPU) Platform</v>
      </c>
      <c r="L326">
        <v>1</v>
      </c>
      <c r="M326" t="str">
        <f>"PR20000702"</f>
        <v>PR20000702</v>
      </c>
      <c r="N326" t="str">
        <f>"108C906-001 RPU5"</f>
        <v>108C906-001 RPU5</v>
      </c>
      <c r="O326" s="2">
        <v>284970</v>
      </c>
      <c r="P326" t="str">
        <f>"$"</f>
        <v>$</v>
      </c>
      <c r="Q326" t="str">
        <f>"119"</f>
        <v>119</v>
      </c>
      <c r="R326" t="str">
        <f>"פלטפורמות"</f>
        <v>פלטפורמות</v>
      </c>
      <c r="S326" t="str">
        <f>"034"</f>
        <v>034</v>
      </c>
      <c r="T326" t="str">
        <f>"גנם הודיה"</f>
        <v>גנם הודיה</v>
      </c>
      <c r="U326">
        <v>0</v>
      </c>
      <c r="V326">
        <v>0</v>
      </c>
      <c r="W326" s="2">
        <v>284970</v>
      </c>
      <c r="X326" s="2">
        <v>284970</v>
      </c>
      <c r="Z326" t="str">
        <f>"Y"</f>
        <v>Y</v>
      </c>
      <c r="AA326">
        <v>0</v>
      </c>
      <c r="AC326">
        <v>0</v>
      </c>
      <c r="AE326">
        <v>0</v>
      </c>
      <c r="AF326">
        <v>0</v>
      </c>
      <c r="AG326" s="2">
        <v>997964.94</v>
      </c>
      <c r="AH326">
        <v>0</v>
      </c>
      <c r="AI326" s="2">
        <v>997964.94</v>
      </c>
      <c r="AJ326" s="2">
        <v>284970</v>
      </c>
      <c r="AK326" s="2">
        <v>284970</v>
      </c>
      <c r="AL326" t="str">
        <f>"$"</f>
        <v>$</v>
      </c>
    </row>
    <row r="327" spans="1:38" x14ac:dyDescent="0.3">
      <c r="A327" t="str">
        <f>"SO20000218"</f>
        <v>SO20000218</v>
      </c>
      <c r="B327" t="str">
        <f>"E000312785"</f>
        <v>E000312785</v>
      </c>
      <c r="C327" t="str">
        <f>"בוצעה"</f>
        <v>בוצעה</v>
      </c>
      <c r="E327" s="3">
        <v>43982</v>
      </c>
      <c r="F327" s="3">
        <v>44905</v>
      </c>
      <c r="G327" t="str">
        <f>"700065"</f>
        <v>700065</v>
      </c>
      <c r="H327" t="str">
        <f>"אלתא מערכות בע""מ"</f>
        <v>אלתא מערכות בע"מ</v>
      </c>
      <c r="I327" t="str">
        <f>"ערן שלו"</f>
        <v>ערן שלו</v>
      </c>
      <c r="J327" t="str">
        <f>"OP-ML00179"</f>
        <v>OP-ML00179</v>
      </c>
      <c r="K327" s="1" t="str">
        <f>"1038C906-001 Radar Power Unit (RPU) Platform"</f>
        <v>1038C906-001 Radar Power Unit (RPU) Platform</v>
      </c>
      <c r="L327">
        <v>1</v>
      </c>
      <c r="M327" t="str">
        <f>"PR20000703"</f>
        <v>PR20000703</v>
      </c>
      <c r="N327" t="str">
        <f>"108C906-001 RPU6"</f>
        <v>108C906-001 RPU6</v>
      </c>
      <c r="O327" s="2">
        <v>284970</v>
      </c>
      <c r="P327" t="str">
        <f>"$"</f>
        <v>$</v>
      </c>
      <c r="Q327" t="str">
        <f>"119"</f>
        <v>119</v>
      </c>
      <c r="R327" t="str">
        <f>"פלטפורמות"</f>
        <v>פלטפורמות</v>
      </c>
      <c r="S327" t="str">
        <f>"034"</f>
        <v>034</v>
      </c>
      <c r="T327" t="str">
        <f>"גנם הודיה"</f>
        <v>גנם הודיה</v>
      </c>
      <c r="U327">
        <v>0</v>
      </c>
      <c r="V327">
        <v>0</v>
      </c>
      <c r="W327" s="2">
        <v>284970</v>
      </c>
      <c r="X327" s="2">
        <v>284970</v>
      </c>
      <c r="Z327" t="str">
        <f>"Y"</f>
        <v>Y</v>
      </c>
      <c r="AA327">
        <v>1</v>
      </c>
      <c r="AC327">
        <v>0</v>
      </c>
      <c r="AE327">
        <v>0</v>
      </c>
      <c r="AF327">
        <v>0</v>
      </c>
      <c r="AG327" s="2">
        <v>997964.94</v>
      </c>
      <c r="AH327">
        <v>0</v>
      </c>
      <c r="AI327" s="2">
        <v>997964.94</v>
      </c>
      <c r="AJ327" s="2">
        <v>284970</v>
      </c>
      <c r="AK327" s="2">
        <v>284970</v>
      </c>
      <c r="AL327" t="str">
        <f>"$"</f>
        <v>$</v>
      </c>
    </row>
    <row r="328" spans="1:38" x14ac:dyDescent="0.3">
      <c r="A328" t="str">
        <f>"SO20000218"</f>
        <v>SO20000218</v>
      </c>
      <c r="B328" t="str">
        <f>"E000312785"</f>
        <v>E000312785</v>
      </c>
      <c r="C328" t="str">
        <f>"בוצעה"</f>
        <v>בוצעה</v>
      </c>
      <c r="E328" s="3">
        <v>43982</v>
      </c>
      <c r="F328" s="3">
        <v>44864</v>
      </c>
      <c r="G328" t="str">
        <f>"700065"</f>
        <v>700065</v>
      </c>
      <c r="H328" t="str">
        <f>"אלתא מערכות בע""מ"</f>
        <v>אלתא מערכות בע"מ</v>
      </c>
      <c r="I328" t="str">
        <f>"ערן שלו"</f>
        <v>ערן שלו</v>
      </c>
      <c r="J328" t="str">
        <f>"OP-ML00179"</f>
        <v>OP-ML00179</v>
      </c>
      <c r="K328" s="1" t="str">
        <f>"(7) 1038C906-001 Radar Power Unit (RPU) Platform"</f>
        <v>(7) 1038C906-001 Radar Power Unit (RPU) Platform</v>
      </c>
      <c r="L328">
        <v>1</v>
      </c>
      <c r="M328" t="str">
        <f>"PR20000704"</f>
        <v>PR20000704</v>
      </c>
      <c r="N328" t="str">
        <f>"108C906-001 RPU7"</f>
        <v>108C906-001 RPU7</v>
      </c>
      <c r="O328" s="2">
        <v>284970</v>
      </c>
      <c r="P328" t="str">
        <f>"$"</f>
        <v>$</v>
      </c>
      <c r="Q328" t="str">
        <f>"119"</f>
        <v>119</v>
      </c>
      <c r="R328" t="str">
        <f>"פלטפורמות"</f>
        <v>פלטפורמות</v>
      </c>
      <c r="S328" t="str">
        <f>"034"</f>
        <v>034</v>
      </c>
      <c r="T328" t="str">
        <f>"גנם הודיה"</f>
        <v>גנם הודיה</v>
      </c>
      <c r="U328">
        <v>0</v>
      </c>
      <c r="V328">
        <v>0</v>
      </c>
      <c r="W328" s="2">
        <v>284970</v>
      </c>
      <c r="X328" s="2">
        <v>284970</v>
      </c>
      <c r="Z328" t="str">
        <f>"Y"</f>
        <v>Y</v>
      </c>
      <c r="AA328">
        <v>0</v>
      </c>
      <c r="AC328">
        <v>0</v>
      </c>
      <c r="AE328">
        <v>0</v>
      </c>
      <c r="AF328">
        <v>0</v>
      </c>
      <c r="AG328" s="2">
        <v>997964.94</v>
      </c>
      <c r="AH328">
        <v>0</v>
      </c>
      <c r="AI328" s="2">
        <v>997964.94</v>
      </c>
      <c r="AJ328" s="2">
        <v>284970</v>
      </c>
      <c r="AK328" s="2">
        <v>284970</v>
      </c>
      <c r="AL328" t="str">
        <f>"$"</f>
        <v>$</v>
      </c>
    </row>
    <row r="329" spans="1:38" x14ac:dyDescent="0.3">
      <c r="A329" t="str">
        <f>"SO20000218"</f>
        <v>SO20000218</v>
      </c>
      <c r="B329" t="str">
        <f>"E000312785"</f>
        <v>E000312785</v>
      </c>
      <c r="C329" t="str">
        <f>"בוצעה"</f>
        <v>בוצעה</v>
      </c>
      <c r="E329" s="3">
        <v>43982</v>
      </c>
      <c r="F329" s="3">
        <v>44895</v>
      </c>
      <c r="G329" t="str">
        <f>"700065"</f>
        <v>700065</v>
      </c>
      <c r="H329" t="str">
        <f>"אלתא מערכות בע""מ"</f>
        <v>אלתא מערכות בע"מ</v>
      </c>
      <c r="I329" t="str">
        <f>"ערן שלו"</f>
        <v>ערן שלו</v>
      </c>
      <c r="J329" t="str">
        <f>"OP-ML00179"</f>
        <v>OP-ML00179</v>
      </c>
      <c r="K329" s="1" t="str">
        <f>"6) 1038C906-001 Radar Power Unit (RPU) Platform)ת.משלוח"</f>
        <v>6) 1038C906-001 Radar Power Unit (RPU) Platform)ת.משלוח</v>
      </c>
      <c r="L329">
        <v>1</v>
      </c>
      <c r="M329" t="str">
        <f>"PR20000703"</f>
        <v>PR20000703</v>
      </c>
      <c r="N329" t="str">
        <f>"108C906-001 RPU6"</f>
        <v>108C906-001 RPU6</v>
      </c>
      <c r="O329">
        <v>0</v>
      </c>
      <c r="P329" t="str">
        <f>"$"</f>
        <v>$</v>
      </c>
      <c r="Q329" t="str">
        <f>"119"</f>
        <v>119</v>
      </c>
      <c r="R329" t="str">
        <f>"פלטפורמות"</f>
        <v>פלטפורמות</v>
      </c>
      <c r="S329" t="str">
        <f>"034"</f>
        <v>034</v>
      </c>
      <c r="T329" t="str">
        <f>"גנם הודיה"</f>
        <v>גנם הודיה</v>
      </c>
      <c r="U329">
        <v>0</v>
      </c>
      <c r="V329">
        <v>0</v>
      </c>
      <c r="W329">
        <v>0</v>
      </c>
      <c r="X329">
        <v>0</v>
      </c>
      <c r="Z329" t="str">
        <f>"Y"</f>
        <v>Y</v>
      </c>
      <c r="AA329">
        <v>0</v>
      </c>
      <c r="AC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t="str">
        <f>"$"</f>
        <v>$</v>
      </c>
    </row>
    <row r="330" spans="1:38" x14ac:dyDescent="0.3">
      <c r="A330" t="str">
        <f>"SO20000218"</f>
        <v>SO20000218</v>
      </c>
      <c r="B330" t="str">
        <f>"E000312785"</f>
        <v>E000312785</v>
      </c>
      <c r="C330" t="str">
        <f>"בוצעה"</f>
        <v>בוצעה</v>
      </c>
      <c r="E330" s="3">
        <v>43982</v>
      </c>
      <c r="F330" s="3">
        <v>44987</v>
      </c>
      <c r="G330" t="str">
        <f>"700065"</f>
        <v>700065</v>
      </c>
      <c r="H330" t="str">
        <f>"אלתא מערכות בע""מ"</f>
        <v>אלתא מערכות בע"מ</v>
      </c>
      <c r="I330" t="str">
        <f>"ערן שלו"</f>
        <v>ערן שלו</v>
      </c>
      <c r="J330" t="str">
        <f>"OP-ML00179"</f>
        <v>OP-ML00179</v>
      </c>
      <c r="K330" s="1" t="str">
        <f>"1038C906-001 Radar Power Unit (RPU) (8) Platform"</f>
        <v>1038C906-001 Radar Power Unit (RPU) (8) Platform</v>
      </c>
      <c r="L330">
        <v>1</v>
      </c>
      <c r="M330" t="str">
        <f>"PR20000705"</f>
        <v>PR20000705</v>
      </c>
      <c r="N330" t="str">
        <f>"108C906-001 RPU8"</f>
        <v>108C906-001 RPU8</v>
      </c>
      <c r="O330" s="2">
        <v>284970</v>
      </c>
      <c r="P330" t="str">
        <f>"$"</f>
        <v>$</v>
      </c>
      <c r="Q330" t="str">
        <f>"119"</f>
        <v>119</v>
      </c>
      <c r="R330" t="str">
        <f>"פלטפורמות"</f>
        <v>פלטפורמות</v>
      </c>
      <c r="S330" t="str">
        <f>"034"</f>
        <v>034</v>
      </c>
      <c r="T330" t="str">
        <f>"גנם הודיה"</f>
        <v>גנם הודיה</v>
      </c>
      <c r="U330">
        <v>0</v>
      </c>
      <c r="V330">
        <v>0</v>
      </c>
      <c r="W330" s="2">
        <v>284970</v>
      </c>
      <c r="X330" s="2">
        <v>284970</v>
      </c>
      <c r="Z330" t="str">
        <f>"Y"</f>
        <v>Y</v>
      </c>
      <c r="AA330">
        <v>0</v>
      </c>
      <c r="AC330">
        <v>0</v>
      </c>
      <c r="AE330">
        <v>0</v>
      </c>
      <c r="AF330">
        <v>0</v>
      </c>
      <c r="AG330" s="2">
        <v>997964.94</v>
      </c>
      <c r="AH330">
        <v>0</v>
      </c>
      <c r="AI330" s="2">
        <v>997964.94</v>
      </c>
      <c r="AJ330" s="2">
        <v>284970</v>
      </c>
      <c r="AK330" s="2">
        <v>284970</v>
      </c>
      <c r="AL330" t="str">
        <f>"$"</f>
        <v>$</v>
      </c>
    </row>
    <row r="331" spans="1:38" x14ac:dyDescent="0.3">
      <c r="A331" t="str">
        <f>"SO20000218"</f>
        <v>SO20000218</v>
      </c>
      <c r="B331" t="str">
        <f>"E000312785"</f>
        <v>E000312785</v>
      </c>
      <c r="C331" t="str">
        <f>"בוצעה"</f>
        <v>בוצעה</v>
      </c>
      <c r="E331" s="3">
        <v>43982</v>
      </c>
      <c r="F331" s="3">
        <v>44438</v>
      </c>
      <c r="G331" t="str">
        <f>"700065"</f>
        <v>700065</v>
      </c>
      <c r="H331" t="str">
        <f>"אלתא מערכות בע""מ"</f>
        <v>אלתא מערכות בע"מ</v>
      </c>
      <c r="I331" t="str">
        <f>"ערן שלו"</f>
        <v>ערן שלו</v>
      </c>
      <c r="J331" t="str">
        <f>"OP-ML00190"</f>
        <v>OP-ML00190</v>
      </c>
      <c r="K331" s="1" t="str">
        <f>"RPU RECTIFIER RACK"</f>
        <v>RPU RECTIFIER RACK</v>
      </c>
      <c r="L331">
        <v>1</v>
      </c>
      <c r="O331">
        <v>0</v>
      </c>
      <c r="P331" t="str">
        <f>"$"</f>
        <v>$</v>
      </c>
      <c r="Q331" t="str">
        <f>"119"</f>
        <v>119</v>
      </c>
      <c r="R331" t="str">
        <f>"פלטפורמות"</f>
        <v>פלטפורמות</v>
      </c>
      <c r="S331" t="str">
        <f>"034"</f>
        <v>034</v>
      </c>
      <c r="T331" t="str">
        <f>"גנם הודיה"</f>
        <v>גנם הודיה</v>
      </c>
      <c r="U331">
        <v>0</v>
      </c>
      <c r="V331">
        <v>0</v>
      </c>
      <c r="W331">
        <v>0</v>
      </c>
      <c r="X331">
        <v>0</v>
      </c>
      <c r="Z331" t="str">
        <f>"Y"</f>
        <v>Y</v>
      </c>
      <c r="AA331">
        <v>0</v>
      </c>
      <c r="AC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t="str">
        <f>"$"</f>
        <v>$</v>
      </c>
    </row>
    <row r="332" spans="1:38" x14ac:dyDescent="0.3">
      <c r="A332" t="str">
        <f>"SO20000218"</f>
        <v>SO20000218</v>
      </c>
      <c r="B332" t="str">
        <f>"E000312785"</f>
        <v>E000312785</v>
      </c>
      <c r="C332" t="str">
        <f>"בוצעה"</f>
        <v>בוצעה</v>
      </c>
      <c r="E332" s="3">
        <v>43982</v>
      </c>
      <c r="F332" s="3">
        <v>44866</v>
      </c>
      <c r="G332" t="str">
        <f>"700065"</f>
        <v>700065</v>
      </c>
      <c r="H332" t="str">
        <f>"אלתא מערכות בע""מ"</f>
        <v>אלתא מערכות בע"מ</v>
      </c>
      <c r="I332" t="str">
        <f>"ערן שלו"</f>
        <v>ערן שלו</v>
      </c>
      <c r="J332" t="str">
        <f>"OP-ML00190"</f>
        <v>OP-ML00190</v>
      </c>
      <c r="K332" s="1" t="str">
        <f>"RPU RECTIFIER RACK"</f>
        <v>RPU RECTIFIER RACK</v>
      </c>
      <c r="L332">
        <v>8</v>
      </c>
      <c r="O332">
        <v>0</v>
      </c>
      <c r="P332" t="str">
        <f>"$"</f>
        <v>$</v>
      </c>
      <c r="Q332" t="str">
        <f>"119"</f>
        <v>119</v>
      </c>
      <c r="R332" t="str">
        <f>"פלטפורמות"</f>
        <v>פלטפורמות</v>
      </c>
      <c r="S332" t="str">
        <f>"034"</f>
        <v>034</v>
      </c>
      <c r="T332" t="str">
        <f>"גנם הודיה"</f>
        <v>גנם הודיה</v>
      </c>
      <c r="U332">
        <v>0</v>
      </c>
      <c r="V332">
        <v>0</v>
      </c>
      <c r="W332">
        <v>0</v>
      </c>
      <c r="X332">
        <v>0</v>
      </c>
      <c r="Z332" t="str">
        <f>"Y"</f>
        <v>Y</v>
      </c>
      <c r="AA332">
        <v>7</v>
      </c>
      <c r="AC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t="str">
        <f>"$"</f>
        <v>$</v>
      </c>
    </row>
    <row r="333" spans="1:38" x14ac:dyDescent="0.3">
      <c r="A333" t="str">
        <f>"SO20000218"</f>
        <v>SO20000218</v>
      </c>
      <c r="B333" t="str">
        <f>"E000312785"</f>
        <v>E000312785</v>
      </c>
      <c r="C333" t="str">
        <f>"בוצעה"</f>
        <v>בוצעה</v>
      </c>
      <c r="E333" s="3">
        <v>43982</v>
      </c>
      <c r="F333" s="3">
        <v>44538</v>
      </c>
      <c r="G333" t="str">
        <f>"700065"</f>
        <v>700065</v>
      </c>
      <c r="H333" t="str">
        <f>"אלתא מערכות בע""מ"</f>
        <v>אלתא מערכות בע"מ</v>
      </c>
      <c r="I333" t="str">
        <f>"ערן שלו"</f>
        <v>ערן שלו</v>
      </c>
      <c r="J333" t="str">
        <f>"PA1001789"</f>
        <v>PA1001789</v>
      </c>
      <c r="K333" s="1" t="str">
        <f>"GTC030R40-5S"</f>
        <v>GTC030R40-5S</v>
      </c>
      <c r="L333">
        <v>2</v>
      </c>
      <c r="O333">
        <v>0</v>
      </c>
      <c r="P333" t="str">
        <f>"$"</f>
        <v>$</v>
      </c>
      <c r="Q333" t="str">
        <f>"119"</f>
        <v>119</v>
      </c>
      <c r="R333" t="str">
        <f>"פלטפורמות"</f>
        <v>פלטפורמות</v>
      </c>
      <c r="S333" t="str">
        <f>"034"</f>
        <v>034</v>
      </c>
      <c r="T333" t="str">
        <f>"גנם הודיה"</f>
        <v>גנם הודיה</v>
      </c>
      <c r="U333">
        <v>0</v>
      </c>
      <c r="V333">
        <v>0</v>
      </c>
      <c r="W333">
        <v>0</v>
      </c>
      <c r="X333">
        <v>0</v>
      </c>
      <c r="Z333" t="str">
        <f>"Y"</f>
        <v>Y</v>
      </c>
      <c r="AA333">
        <v>0</v>
      </c>
      <c r="AC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t="str">
        <f>"$"</f>
        <v>$</v>
      </c>
    </row>
    <row r="334" spans="1:38" x14ac:dyDescent="0.3">
      <c r="A334" t="str">
        <f>"SO20000218"</f>
        <v>SO20000218</v>
      </c>
      <c r="B334" t="str">
        <f>"E000312785"</f>
        <v>E000312785</v>
      </c>
      <c r="C334" t="str">
        <f>"בוצעה"</f>
        <v>בוצעה</v>
      </c>
      <c r="E334" s="3">
        <v>43982</v>
      </c>
      <c r="F334" s="3">
        <v>44571</v>
      </c>
      <c r="G334" t="str">
        <f>"700065"</f>
        <v>700065</v>
      </c>
      <c r="H334" t="str">
        <f>"אלתא מערכות בע""מ"</f>
        <v>אלתא מערכות בע"מ</v>
      </c>
      <c r="I334" t="str">
        <f>"ערן שלו"</f>
        <v>ערן שלו</v>
      </c>
      <c r="J334" t="str">
        <f>"cust001174"</f>
        <v>cust001174</v>
      </c>
      <c r="K334" s="1" t="str">
        <f>"1038C906-001 אלתא"</f>
        <v>1038C906-001 אלתא</v>
      </c>
      <c r="L334">
        <v>1</v>
      </c>
      <c r="M334" t="str">
        <f>"PR20000698"</f>
        <v>PR20000698</v>
      </c>
      <c r="N334" t="str">
        <f>"1038C906-001 RPU1"</f>
        <v>1038C906-001 RPU1</v>
      </c>
      <c r="O334">
        <v>0</v>
      </c>
      <c r="P334" t="str">
        <f>"$"</f>
        <v>$</v>
      </c>
      <c r="Q334" t="str">
        <f>"119"</f>
        <v>119</v>
      </c>
      <c r="R334" t="str">
        <f>"פלטפורמות"</f>
        <v>פלטפורמות</v>
      </c>
      <c r="S334" t="str">
        <f>"034"</f>
        <v>034</v>
      </c>
      <c r="T334" t="str">
        <f>"גנם הודיה"</f>
        <v>גנם הודיה</v>
      </c>
      <c r="U334">
        <v>0</v>
      </c>
      <c r="V334">
        <v>0</v>
      </c>
      <c r="W334">
        <v>0</v>
      </c>
      <c r="X334">
        <v>0</v>
      </c>
      <c r="Z334" t="str">
        <f>"Y"</f>
        <v>Y</v>
      </c>
      <c r="AA334">
        <v>0</v>
      </c>
      <c r="AC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t="str">
        <f>"$"</f>
        <v>$</v>
      </c>
    </row>
    <row r="335" spans="1:38" x14ac:dyDescent="0.3">
      <c r="A335" t="str">
        <f>"SO20000218"</f>
        <v>SO20000218</v>
      </c>
      <c r="B335" t="str">
        <f>"E000312785"</f>
        <v>E000312785</v>
      </c>
      <c r="C335" t="str">
        <f>"בוצעה"</f>
        <v>בוצעה</v>
      </c>
      <c r="E335" s="3">
        <v>43982</v>
      </c>
      <c r="F335" s="3">
        <v>44573</v>
      </c>
      <c r="G335" t="str">
        <f>"700065"</f>
        <v>700065</v>
      </c>
      <c r="H335" t="str">
        <f>"אלתא מערכות בע""מ"</f>
        <v>אלתא מערכות בע"מ</v>
      </c>
      <c r="I335" t="str">
        <f>"ערן שלו"</f>
        <v>ערן שלו</v>
      </c>
      <c r="J335" t="str">
        <f>"OP-AR01981"</f>
        <v>OP-AR01981</v>
      </c>
      <c r="K335" s="1" t="str">
        <f>"כבל הזנהRPU TO PDB1 1#"</f>
        <v>כבל הזנהRPU TO PDB1 1#</v>
      </c>
      <c r="L335">
        <v>1</v>
      </c>
      <c r="O335">
        <v>0</v>
      </c>
      <c r="P335" t="str">
        <f>"$"</f>
        <v>$</v>
      </c>
      <c r="Q335" t="str">
        <f>"119"</f>
        <v>119</v>
      </c>
      <c r="R335" t="str">
        <f>"פלטפורמות"</f>
        <v>פלטפורמות</v>
      </c>
      <c r="S335" t="str">
        <f>"034"</f>
        <v>034</v>
      </c>
      <c r="T335" t="str">
        <f>"גנם הודיה"</f>
        <v>גנם הודיה</v>
      </c>
      <c r="U335">
        <v>0</v>
      </c>
      <c r="V335">
        <v>0</v>
      </c>
      <c r="W335">
        <v>0</v>
      </c>
      <c r="X335">
        <v>0</v>
      </c>
      <c r="Z335" t="str">
        <f>"Y"</f>
        <v>Y</v>
      </c>
      <c r="AA335">
        <v>0</v>
      </c>
      <c r="AC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t="str">
        <f>"$"</f>
        <v>$</v>
      </c>
    </row>
    <row r="336" spans="1:38" x14ac:dyDescent="0.3">
      <c r="A336" t="str">
        <f>"SO20000218"</f>
        <v>SO20000218</v>
      </c>
      <c r="B336" t="str">
        <f>"E000312785"</f>
        <v>E000312785</v>
      </c>
      <c r="C336" t="str">
        <f>"בוצעה"</f>
        <v>בוצעה</v>
      </c>
      <c r="E336" s="3">
        <v>43982</v>
      </c>
      <c r="F336" s="3">
        <v>44581</v>
      </c>
      <c r="G336" t="str">
        <f>"700065"</f>
        <v>700065</v>
      </c>
      <c r="H336" t="str">
        <f>"אלתא מערכות בע""מ"</f>
        <v>אלתא מערכות בע"מ</v>
      </c>
      <c r="I336" t="str">
        <f>"ערן שלו"</f>
        <v>ערן שלו</v>
      </c>
      <c r="J336" t="str">
        <f>"OP-ML00190"</f>
        <v>OP-ML00190</v>
      </c>
      <c r="K336" s="1" t="str">
        <f>"RPU RECTIFIER RACK"</f>
        <v>RPU RECTIFIER RACK</v>
      </c>
      <c r="L336">
        <v>1</v>
      </c>
      <c r="O336">
        <v>0</v>
      </c>
      <c r="P336" t="str">
        <f>"$"</f>
        <v>$</v>
      </c>
      <c r="Q336" t="str">
        <f>"119"</f>
        <v>119</v>
      </c>
      <c r="R336" t="str">
        <f>"פלטפורמות"</f>
        <v>פלטפורמות</v>
      </c>
      <c r="S336" t="str">
        <f>"034"</f>
        <v>034</v>
      </c>
      <c r="T336" t="str">
        <f>"גנם הודיה"</f>
        <v>גנם הודיה</v>
      </c>
      <c r="U336">
        <v>0</v>
      </c>
      <c r="V336">
        <v>0</v>
      </c>
      <c r="W336">
        <v>0</v>
      </c>
      <c r="X336">
        <v>0</v>
      </c>
      <c r="Z336" t="str">
        <f>"Y"</f>
        <v>Y</v>
      </c>
      <c r="AA336">
        <v>0</v>
      </c>
      <c r="AC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t="str">
        <f>"$"</f>
        <v>$</v>
      </c>
    </row>
    <row r="337" spans="1:38" x14ac:dyDescent="0.3">
      <c r="A337" t="str">
        <f>"SO20000218"</f>
        <v>SO20000218</v>
      </c>
      <c r="B337" t="str">
        <f>"E000312785"</f>
        <v>E000312785</v>
      </c>
      <c r="C337" t="str">
        <f>"בוצעה"</f>
        <v>בוצעה</v>
      </c>
      <c r="E337" s="3">
        <v>43982</v>
      </c>
      <c r="F337" s="3">
        <v>44593</v>
      </c>
      <c r="G337" t="str">
        <f>"700065"</f>
        <v>700065</v>
      </c>
      <c r="H337" t="str">
        <f>"אלתא מערכות בע""מ"</f>
        <v>אלתא מערכות בע"מ</v>
      </c>
      <c r="I337" t="str">
        <f>"ערן שלו"</f>
        <v>ערן שלו</v>
      </c>
      <c r="J337" t="str">
        <f>"ZV0200125"</f>
        <v>ZV0200125</v>
      </c>
      <c r="K337" s="1" t="str">
        <f>"מארז כוח מיישרים 320VDC"</f>
        <v>מארז כוח מיישרים 320VDC</v>
      </c>
      <c r="L337">
        <v>1</v>
      </c>
      <c r="M337" t="str">
        <f>"PR20000699"</f>
        <v>PR20000699</v>
      </c>
      <c r="N337" t="str">
        <f>"1038C906-001 RPU2"</f>
        <v>1038C906-001 RPU2</v>
      </c>
      <c r="O337">
        <v>0</v>
      </c>
      <c r="P337" t="str">
        <f>"$"</f>
        <v>$</v>
      </c>
      <c r="Q337" t="str">
        <f>"119"</f>
        <v>119</v>
      </c>
      <c r="R337" t="str">
        <f>"פלטפורמות"</f>
        <v>פלטפורמות</v>
      </c>
      <c r="S337" t="str">
        <f>"034"</f>
        <v>034</v>
      </c>
      <c r="T337" t="str">
        <f>"גנם הודיה"</f>
        <v>גנם הודיה</v>
      </c>
      <c r="U337">
        <v>0</v>
      </c>
      <c r="V337">
        <v>0</v>
      </c>
      <c r="W337">
        <v>0</v>
      </c>
      <c r="X337">
        <v>0</v>
      </c>
      <c r="Z337" t="str">
        <f>"Y"</f>
        <v>Y</v>
      </c>
      <c r="AA337">
        <v>0</v>
      </c>
      <c r="AC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t="str">
        <f>"$"</f>
        <v>$</v>
      </c>
    </row>
    <row r="338" spans="1:38" x14ac:dyDescent="0.3">
      <c r="A338" t="str">
        <f>"SO20000218"</f>
        <v>SO20000218</v>
      </c>
      <c r="B338" t="str">
        <f>"E000312785"</f>
        <v>E000312785</v>
      </c>
      <c r="C338" t="str">
        <f>"בוצעה"</f>
        <v>בוצעה</v>
      </c>
      <c r="E338" s="3">
        <v>43982</v>
      </c>
      <c r="F338" s="3">
        <v>44594</v>
      </c>
      <c r="G338" t="str">
        <f>"700065"</f>
        <v>700065</v>
      </c>
      <c r="H338" t="str">
        <f>"אלתא מערכות בע""מ"</f>
        <v>אלתא מערכות בע"מ</v>
      </c>
      <c r="I338" t="str">
        <f>"ערן שלו"</f>
        <v>ערן שלו</v>
      </c>
      <c r="J338" t="str">
        <f>"000"</f>
        <v>000</v>
      </c>
      <c r="K338" s="1" t="str">
        <f>"RPU RECTIFIER RACK"</f>
        <v>RPU RECTIFIER RACK</v>
      </c>
      <c r="L338">
        <v>1</v>
      </c>
      <c r="M338" t="str">
        <f>"PR21000417"</f>
        <v>PR21000417</v>
      </c>
      <c r="N338" t="str">
        <f>"01 COMPUTER RACK"</f>
        <v>01 COMPUTER RACK</v>
      </c>
      <c r="O338">
        <v>0</v>
      </c>
      <c r="P338" t="str">
        <f>"$"</f>
        <v>$</v>
      </c>
      <c r="Q338" t="str">
        <f>"119"</f>
        <v>119</v>
      </c>
      <c r="R338" t="str">
        <f>"פלטפורמות"</f>
        <v>פלטפורמות</v>
      </c>
      <c r="S338" t="str">
        <f>"034"</f>
        <v>034</v>
      </c>
      <c r="T338" t="str">
        <f>"גנם הודיה"</f>
        <v>גנם הודיה</v>
      </c>
      <c r="U338">
        <v>0</v>
      </c>
      <c r="V338">
        <v>0</v>
      </c>
      <c r="W338">
        <v>0</v>
      </c>
      <c r="X338">
        <v>0</v>
      </c>
      <c r="Z338" t="str">
        <f>"Y"</f>
        <v>Y</v>
      </c>
      <c r="AA338">
        <v>0</v>
      </c>
      <c r="AC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t="str">
        <f>"$"</f>
        <v>$</v>
      </c>
    </row>
    <row r="339" spans="1:38" x14ac:dyDescent="0.3">
      <c r="A339" t="str">
        <f>"SO20000218"</f>
        <v>SO20000218</v>
      </c>
      <c r="B339" t="str">
        <f>"E000312785"</f>
        <v>E000312785</v>
      </c>
      <c r="C339" t="str">
        <f>"בוצעה"</f>
        <v>בוצעה</v>
      </c>
      <c r="E339" s="3">
        <v>43982</v>
      </c>
      <c r="F339" s="3">
        <v>44594</v>
      </c>
      <c r="G339" t="str">
        <f>"700065"</f>
        <v>700065</v>
      </c>
      <c r="H339" t="str">
        <f>"אלתא מערכות בע""מ"</f>
        <v>אלתא מערכות בע"מ</v>
      </c>
      <c r="I339" t="str">
        <f>"ערן שלו"</f>
        <v>ערן שלו</v>
      </c>
      <c r="J339" t="str">
        <f>"000"</f>
        <v>000</v>
      </c>
      <c r="K339" s="1" t="str">
        <f>"RPU COMPUTER RACK"</f>
        <v>RPU COMPUTER RACK</v>
      </c>
      <c r="L339">
        <v>1</v>
      </c>
      <c r="M339" t="str">
        <f>"PR21000417"</f>
        <v>PR21000417</v>
      </c>
      <c r="N339" t="str">
        <f>"01 COMPUTER RACK"</f>
        <v>01 COMPUTER RACK</v>
      </c>
      <c r="O339">
        <v>0</v>
      </c>
      <c r="P339" t="str">
        <f>"$"</f>
        <v>$</v>
      </c>
      <c r="Q339" t="str">
        <f>"119"</f>
        <v>119</v>
      </c>
      <c r="R339" t="str">
        <f>"פלטפורמות"</f>
        <v>פלטפורמות</v>
      </c>
      <c r="S339" t="str">
        <f>"034"</f>
        <v>034</v>
      </c>
      <c r="T339" t="str">
        <f>"גנם הודיה"</f>
        <v>גנם הודיה</v>
      </c>
      <c r="U339">
        <v>0</v>
      </c>
      <c r="V339">
        <v>0</v>
      </c>
      <c r="W339">
        <v>0</v>
      </c>
      <c r="X339">
        <v>0</v>
      </c>
      <c r="Z339" t="str">
        <f>"Y"</f>
        <v>Y</v>
      </c>
      <c r="AA339">
        <v>0</v>
      </c>
      <c r="AC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t="str">
        <f>"$"</f>
        <v>$</v>
      </c>
    </row>
    <row r="340" spans="1:38" x14ac:dyDescent="0.3">
      <c r="A340" t="str">
        <f>"SO20000218"</f>
        <v>SO20000218</v>
      </c>
      <c r="B340" t="str">
        <f>"E000312785"</f>
        <v>E000312785</v>
      </c>
      <c r="C340" t="str">
        <f>"בוצעה"</f>
        <v>בוצעה</v>
      </c>
      <c r="E340" s="3">
        <v>43982</v>
      </c>
      <c r="F340" s="3">
        <v>44866</v>
      </c>
      <c r="G340" t="str">
        <f>"700065"</f>
        <v>700065</v>
      </c>
      <c r="H340" t="str">
        <f>"אלתא מערכות בע""מ"</f>
        <v>אלתא מערכות בע"מ</v>
      </c>
      <c r="I340" t="str">
        <f>"ערן שלו"</f>
        <v>ערן שלו</v>
      </c>
      <c r="J340" t="str">
        <f>"000"</f>
        <v>000</v>
      </c>
      <c r="K340" s="1" t="str">
        <f>"NRE FOR 1038C906-001"</f>
        <v>NRE FOR 1038C906-001</v>
      </c>
      <c r="L340">
        <v>1</v>
      </c>
      <c r="M340" t="str">
        <f>"PR20000698"</f>
        <v>PR20000698</v>
      </c>
      <c r="N340" t="str">
        <f>"1038C906-001 RPU1"</f>
        <v>1038C906-001 RPU1</v>
      </c>
      <c r="O340" s="2">
        <v>16252.5</v>
      </c>
      <c r="P340" t="str">
        <f>"$"</f>
        <v>$</v>
      </c>
      <c r="Q340" t="str">
        <f>"119"</f>
        <v>119</v>
      </c>
      <c r="R340" t="str">
        <f>"פלטפורמות"</f>
        <v>פלטפורמות</v>
      </c>
      <c r="S340" t="str">
        <f>"034"</f>
        <v>034</v>
      </c>
      <c r="T340" t="str">
        <f>"גנם הודיה"</f>
        <v>גנם הודיה</v>
      </c>
      <c r="U340">
        <v>0</v>
      </c>
      <c r="V340">
        <v>0</v>
      </c>
      <c r="W340" s="2">
        <v>16252.5</v>
      </c>
      <c r="X340" s="2">
        <v>16252.5</v>
      </c>
      <c r="Z340" t="str">
        <f>"Y"</f>
        <v>Y</v>
      </c>
      <c r="AA340">
        <v>1</v>
      </c>
      <c r="AC340">
        <v>0</v>
      </c>
      <c r="AE340">
        <v>0</v>
      </c>
      <c r="AF340">
        <v>0</v>
      </c>
      <c r="AG340" s="2">
        <v>56916.26</v>
      </c>
      <c r="AH340">
        <v>0</v>
      </c>
      <c r="AI340" s="2">
        <v>56916.26</v>
      </c>
      <c r="AJ340" s="2">
        <v>16252.5</v>
      </c>
      <c r="AK340" s="2">
        <v>16252.5</v>
      </c>
      <c r="AL340" t="str">
        <f>"$"</f>
        <v>$</v>
      </c>
    </row>
    <row r="341" spans="1:38" x14ac:dyDescent="0.3">
      <c r="A341" t="str">
        <f>"SO20000218"</f>
        <v>SO20000218</v>
      </c>
      <c r="B341" t="str">
        <f>"E000312785"</f>
        <v>E000312785</v>
      </c>
      <c r="C341" t="str">
        <f>"בוצעה"</f>
        <v>בוצעה</v>
      </c>
      <c r="E341" s="3">
        <v>43982</v>
      </c>
      <c r="F341" s="3">
        <v>44866</v>
      </c>
      <c r="G341" t="str">
        <f>"700065"</f>
        <v>700065</v>
      </c>
      <c r="H341" t="str">
        <f>"אלתא מערכות בע""מ"</f>
        <v>אלתא מערכות בע"מ</v>
      </c>
      <c r="I341" t="str">
        <f>"ערן שלו"</f>
        <v>ערן שלו</v>
      </c>
      <c r="J341" t="str">
        <f>"000"</f>
        <v>000</v>
      </c>
      <c r="K341" s="1" t="str">
        <f>"NRE FOR 1038C906-001"</f>
        <v>NRE FOR 1038C906-001</v>
      </c>
      <c r="L341">
        <v>1</v>
      </c>
      <c r="M341" t="str">
        <f>"PR20000699"</f>
        <v>PR20000699</v>
      </c>
      <c r="N341" t="str">
        <f>"1038C906-001 RPU2"</f>
        <v>1038C906-001 RPU2</v>
      </c>
      <c r="O341" s="2">
        <v>16252.5</v>
      </c>
      <c r="P341" t="str">
        <f>"$"</f>
        <v>$</v>
      </c>
      <c r="Q341" t="str">
        <f>"119"</f>
        <v>119</v>
      </c>
      <c r="R341" t="str">
        <f>"פלטפורמות"</f>
        <v>פלטפורמות</v>
      </c>
      <c r="S341" t="str">
        <f>"034"</f>
        <v>034</v>
      </c>
      <c r="T341" t="str">
        <f>"גנם הודיה"</f>
        <v>גנם הודיה</v>
      </c>
      <c r="U341">
        <v>0</v>
      </c>
      <c r="V341">
        <v>0</v>
      </c>
      <c r="W341" s="2">
        <v>16252.5</v>
      </c>
      <c r="X341" s="2">
        <v>16252.5</v>
      </c>
      <c r="Z341" t="str">
        <f>"Y"</f>
        <v>Y</v>
      </c>
      <c r="AA341">
        <v>0</v>
      </c>
      <c r="AC341">
        <v>0</v>
      </c>
      <c r="AE341">
        <v>0</v>
      </c>
      <c r="AF341">
        <v>0</v>
      </c>
      <c r="AG341" s="2">
        <v>56916.26</v>
      </c>
      <c r="AH341">
        <v>0</v>
      </c>
      <c r="AI341" s="2">
        <v>56916.26</v>
      </c>
      <c r="AJ341" s="2">
        <v>16252.5</v>
      </c>
      <c r="AK341" s="2">
        <v>16252.5</v>
      </c>
      <c r="AL341" t="str">
        <f>"$"</f>
        <v>$</v>
      </c>
    </row>
    <row r="342" spans="1:38" x14ac:dyDescent="0.3">
      <c r="A342" t="str">
        <f>"SO20000218"</f>
        <v>SO20000218</v>
      </c>
      <c r="B342" t="str">
        <f>"E000312785"</f>
        <v>E000312785</v>
      </c>
      <c r="C342" t="str">
        <f>"בוצעה"</f>
        <v>בוצעה</v>
      </c>
      <c r="E342" s="3">
        <v>43982</v>
      </c>
      <c r="F342" s="3">
        <v>44742</v>
      </c>
      <c r="G342" t="str">
        <f>"700065"</f>
        <v>700065</v>
      </c>
      <c r="H342" t="str">
        <f>"אלתא מערכות בע""מ"</f>
        <v>אלתא מערכות בע"מ</v>
      </c>
      <c r="I342" t="str">
        <f>"ערן שלו"</f>
        <v>ערן שלו</v>
      </c>
      <c r="J342" t="str">
        <f>"000"</f>
        <v>000</v>
      </c>
      <c r="K342" s="1" t="str">
        <f>"NRE FOR 1038C906-001"</f>
        <v>NRE FOR 1038C906-001</v>
      </c>
      <c r="L342">
        <v>1</v>
      </c>
      <c r="M342" t="str">
        <f>"PR20000700"</f>
        <v>PR20000700</v>
      </c>
      <c r="N342" t="str">
        <f>"1038C906-001 RPU3"</f>
        <v>1038C906-001 RPU3</v>
      </c>
      <c r="O342" s="2">
        <v>16252.5</v>
      </c>
      <c r="P342" t="str">
        <f>"$"</f>
        <v>$</v>
      </c>
      <c r="Q342" t="str">
        <f>"119"</f>
        <v>119</v>
      </c>
      <c r="R342" t="str">
        <f>"פלטפורמות"</f>
        <v>פלטפורמות</v>
      </c>
      <c r="S342" t="str">
        <f>"034"</f>
        <v>034</v>
      </c>
      <c r="T342" t="str">
        <f>"גנם הודיה"</f>
        <v>גנם הודיה</v>
      </c>
      <c r="U342">
        <v>0</v>
      </c>
      <c r="V342">
        <v>0</v>
      </c>
      <c r="W342" s="2">
        <v>16252.5</v>
      </c>
      <c r="X342" s="2">
        <v>16252.5</v>
      </c>
      <c r="Z342" t="str">
        <f>"Y"</f>
        <v>Y</v>
      </c>
      <c r="AA342">
        <v>1</v>
      </c>
      <c r="AC342">
        <v>0</v>
      </c>
      <c r="AE342">
        <v>0</v>
      </c>
      <c r="AF342">
        <v>0</v>
      </c>
      <c r="AG342" s="2">
        <v>56916.26</v>
      </c>
      <c r="AH342">
        <v>0</v>
      </c>
      <c r="AI342" s="2">
        <v>56916.26</v>
      </c>
      <c r="AJ342" s="2">
        <v>16252.5</v>
      </c>
      <c r="AK342" s="2">
        <v>16252.5</v>
      </c>
      <c r="AL342" t="str">
        <f>"$"</f>
        <v>$</v>
      </c>
    </row>
    <row r="343" spans="1:38" x14ac:dyDescent="0.3">
      <c r="A343" t="str">
        <f>"SO20000218"</f>
        <v>SO20000218</v>
      </c>
      <c r="B343" t="str">
        <f>"E000312785"</f>
        <v>E000312785</v>
      </c>
      <c r="C343" t="str">
        <f>"בוצעה"</f>
        <v>בוצעה</v>
      </c>
      <c r="E343" s="3">
        <v>43982</v>
      </c>
      <c r="F343" s="3">
        <v>44772</v>
      </c>
      <c r="G343" t="str">
        <f>"700065"</f>
        <v>700065</v>
      </c>
      <c r="H343" t="str">
        <f>"אלתא מערכות בע""מ"</f>
        <v>אלתא מערכות בע"מ</v>
      </c>
      <c r="I343" t="str">
        <f>"ערן שלו"</f>
        <v>ערן שלו</v>
      </c>
      <c r="J343" t="str">
        <f>"000"</f>
        <v>000</v>
      </c>
      <c r="K343" s="1" t="str">
        <f>"NRE FOR 1038C906-001"</f>
        <v>NRE FOR 1038C906-001</v>
      </c>
      <c r="L343">
        <v>1</v>
      </c>
      <c r="M343" t="str">
        <f>"PR20000701"</f>
        <v>PR20000701</v>
      </c>
      <c r="N343" t="str">
        <f>"108C906-001 RPU4"</f>
        <v>108C906-001 RPU4</v>
      </c>
      <c r="O343" s="2">
        <v>16252.5</v>
      </c>
      <c r="P343" t="str">
        <f>"$"</f>
        <v>$</v>
      </c>
      <c r="Q343" t="str">
        <f>"119"</f>
        <v>119</v>
      </c>
      <c r="R343" t="str">
        <f>"פלטפורמות"</f>
        <v>פלטפורמות</v>
      </c>
      <c r="S343" t="str">
        <f>"034"</f>
        <v>034</v>
      </c>
      <c r="T343" t="str">
        <f>"גנם הודיה"</f>
        <v>גנם הודיה</v>
      </c>
      <c r="U343">
        <v>0</v>
      </c>
      <c r="V343">
        <v>0</v>
      </c>
      <c r="W343" s="2">
        <v>16252.5</v>
      </c>
      <c r="X343" s="2">
        <v>16252.5</v>
      </c>
      <c r="Z343" t="str">
        <f>"Y"</f>
        <v>Y</v>
      </c>
      <c r="AA343">
        <v>1</v>
      </c>
      <c r="AC343">
        <v>0</v>
      </c>
      <c r="AE343">
        <v>0</v>
      </c>
      <c r="AF343">
        <v>0</v>
      </c>
      <c r="AG343" s="2">
        <v>56916.26</v>
      </c>
      <c r="AH343">
        <v>0</v>
      </c>
      <c r="AI343" s="2">
        <v>56916.26</v>
      </c>
      <c r="AJ343" s="2">
        <v>16252.5</v>
      </c>
      <c r="AK343" s="2">
        <v>16252.5</v>
      </c>
      <c r="AL343" t="str">
        <f>"$"</f>
        <v>$</v>
      </c>
    </row>
    <row r="344" spans="1:38" x14ac:dyDescent="0.3">
      <c r="A344" t="str">
        <f>"SO20000218"</f>
        <v>SO20000218</v>
      </c>
      <c r="B344" t="str">
        <f>"E000312785"</f>
        <v>E000312785</v>
      </c>
      <c r="C344" t="str">
        <f>"בוצעה"</f>
        <v>בוצעה</v>
      </c>
      <c r="E344" s="3">
        <v>43982</v>
      </c>
      <c r="F344" s="3">
        <v>44803</v>
      </c>
      <c r="G344" t="str">
        <f>"700065"</f>
        <v>700065</v>
      </c>
      <c r="H344" t="str">
        <f>"אלתא מערכות בע""מ"</f>
        <v>אלתא מערכות בע"מ</v>
      </c>
      <c r="I344" t="str">
        <f>"ערן שלו"</f>
        <v>ערן שלו</v>
      </c>
      <c r="J344" t="str">
        <f>"000"</f>
        <v>000</v>
      </c>
      <c r="K344" s="1" t="str">
        <f>"NRE FOR 1038C906-001"</f>
        <v>NRE FOR 1038C906-001</v>
      </c>
      <c r="L344">
        <v>1</v>
      </c>
      <c r="M344" t="str">
        <f>"PR20000702"</f>
        <v>PR20000702</v>
      </c>
      <c r="N344" t="str">
        <f>"108C906-001 RPU5"</f>
        <v>108C906-001 RPU5</v>
      </c>
      <c r="O344" s="2">
        <v>16252.5</v>
      </c>
      <c r="P344" t="str">
        <f>"$"</f>
        <v>$</v>
      </c>
      <c r="Q344" t="str">
        <f>"119"</f>
        <v>119</v>
      </c>
      <c r="R344" t="str">
        <f>"פלטפורמות"</f>
        <v>פלטפורמות</v>
      </c>
      <c r="S344" t="str">
        <f>"034"</f>
        <v>034</v>
      </c>
      <c r="T344" t="str">
        <f>"גנם הודיה"</f>
        <v>גנם הודיה</v>
      </c>
      <c r="U344">
        <v>0</v>
      </c>
      <c r="V344">
        <v>0</v>
      </c>
      <c r="W344" s="2">
        <v>16252.5</v>
      </c>
      <c r="X344" s="2">
        <v>16252.5</v>
      </c>
      <c r="Z344" t="str">
        <f>"Y"</f>
        <v>Y</v>
      </c>
      <c r="AA344">
        <v>1</v>
      </c>
      <c r="AC344">
        <v>0</v>
      </c>
      <c r="AE344">
        <v>0</v>
      </c>
      <c r="AF344">
        <v>0</v>
      </c>
      <c r="AG344" s="2">
        <v>56916.26</v>
      </c>
      <c r="AH344">
        <v>0</v>
      </c>
      <c r="AI344" s="2">
        <v>56916.26</v>
      </c>
      <c r="AJ344" s="2">
        <v>16252.5</v>
      </c>
      <c r="AK344" s="2">
        <v>16252.5</v>
      </c>
      <c r="AL344" t="str">
        <f>"$"</f>
        <v>$</v>
      </c>
    </row>
    <row r="345" spans="1:38" x14ac:dyDescent="0.3">
      <c r="A345" t="str">
        <f>"SO20000218"</f>
        <v>SO20000218</v>
      </c>
      <c r="B345" t="str">
        <f>"E000312785"</f>
        <v>E000312785</v>
      </c>
      <c r="C345" t="str">
        <f>"בוצעה"</f>
        <v>בוצעה</v>
      </c>
      <c r="E345" s="3">
        <v>43982</v>
      </c>
      <c r="F345" s="3">
        <v>44834</v>
      </c>
      <c r="G345" t="str">
        <f>"700065"</f>
        <v>700065</v>
      </c>
      <c r="H345" t="str">
        <f>"אלתא מערכות בע""מ"</f>
        <v>אלתא מערכות בע"מ</v>
      </c>
      <c r="I345" t="str">
        <f>"ערן שלו"</f>
        <v>ערן שלו</v>
      </c>
      <c r="J345" t="str">
        <f>"000"</f>
        <v>000</v>
      </c>
      <c r="K345" s="1" t="str">
        <f>"5 NRE FOR 1038C906-001"</f>
        <v>5 NRE FOR 1038C906-001</v>
      </c>
      <c r="L345">
        <v>1</v>
      </c>
      <c r="M345" t="str">
        <f>"PR20000703"</f>
        <v>PR20000703</v>
      </c>
      <c r="N345" t="str">
        <f>"108C906-001 RPU6"</f>
        <v>108C906-001 RPU6</v>
      </c>
      <c r="O345" s="2">
        <v>16252.5</v>
      </c>
      <c r="P345" t="str">
        <f>"$"</f>
        <v>$</v>
      </c>
      <c r="Q345" t="str">
        <f>"119"</f>
        <v>119</v>
      </c>
      <c r="R345" t="str">
        <f>"פלטפורמות"</f>
        <v>פלטפורמות</v>
      </c>
      <c r="S345" t="str">
        <f>"034"</f>
        <v>034</v>
      </c>
      <c r="T345" t="str">
        <f>"גנם הודיה"</f>
        <v>גנם הודיה</v>
      </c>
      <c r="U345">
        <v>0</v>
      </c>
      <c r="V345">
        <v>0</v>
      </c>
      <c r="W345" s="2">
        <v>16252.5</v>
      </c>
      <c r="X345" s="2">
        <v>16252.5</v>
      </c>
      <c r="Z345" t="str">
        <f>"Y"</f>
        <v>Y</v>
      </c>
      <c r="AA345">
        <v>1</v>
      </c>
      <c r="AC345">
        <v>0</v>
      </c>
      <c r="AE345">
        <v>0</v>
      </c>
      <c r="AF345">
        <v>0</v>
      </c>
      <c r="AG345" s="2">
        <v>56916.26</v>
      </c>
      <c r="AH345">
        <v>0</v>
      </c>
      <c r="AI345" s="2">
        <v>56916.26</v>
      </c>
      <c r="AJ345" s="2">
        <v>16252.5</v>
      </c>
      <c r="AK345" s="2">
        <v>16252.5</v>
      </c>
      <c r="AL345" t="str">
        <f>"$"</f>
        <v>$</v>
      </c>
    </row>
    <row r="346" spans="1:38" x14ac:dyDescent="0.3">
      <c r="A346" t="str">
        <f>"SO20000218"</f>
        <v>SO20000218</v>
      </c>
      <c r="B346" t="str">
        <f>"E000312785"</f>
        <v>E000312785</v>
      </c>
      <c r="C346" t="str">
        <f>"בוצעה"</f>
        <v>בוצעה</v>
      </c>
      <c r="E346" s="3">
        <v>43982</v>
      </c>
      <c r="F346" s="3">
        <v>44864</v>
      </c>
      <c r="G346" t="str">
        <f>"700065"</f>
        <v>700065</v>
      </c>
      <c r="H346" t="str">
        <f>"אלתא מערכות בע""מ"</f>
        <v>אלתא מערכות בע"מ</v>
      </c>
      <c r="I346" t="str">
        <f>"ערן שלו"</f>
        <v>ערן שלו</v>
      </c>
      <c r="J346" t="str">
        <f>"000"</f>
        <v>000</v>
      </c>
      <c r="K346" s="1" t="str">
        <f>"NRE FOR 1038C906-001"</f>
        <v>NRE FOR 1038C906-001</v>
      </c>
      <c r="L346">
        <v>1</v>
      </c>
      <c r="M346" t="str">
        <f>"PR20000704"</f>
        <v>PR20000704</v>
      </c>
      <c r="N346" t="str">
        <f>"108C906-001 RPU7"</f>
        <v>108C906-001 RPU7</v>
      </c>
      <c r="O346" s="2">
        <v>16252.5</v>
      </c>
      <c r="P346" t="str">
        <f>"$"</f>
        <v>$</v>
      </c>
      <c r="Q346" t="str">
        <f>"119"</f>
        <v>119</v>
      </c>
      <c r="R346" t="str">
        <f>"פלטפורמות"</f>
        <v>פלטפורמות</v>
      </c>
      <c r="S346" t="str">
        <f>"034"</f>
        <v>034</v>
      </c>
      <c r="T346" t="str">
        <f>"גנם הודיה"</f>
        <v>גנם הודיה</v>
      </c>
      <c r="U346">
        <v>0</v>
      </c>
      <c r="V346">
        <v>0</v>
      </c>
      <c r="W346" s="2">
        <v>16252.5</v>
      </c>
      <c r="X346" s="2">
        <v>16252.5</v>
      </c>
      <c r="Z346" t="str">
        <f>"Y"</f>
        <v>Y</v>
      </c>
      <c r="AA346">
        <v>1</v>
      </c>
      <c r="AC346">
        <v>0</v>
      </c>
      <c r="AE346">
        <v>0</v>
      </c>
      <c r="AF346">
        <v>0</v>
      </c>
      <c r="AG346" s="2">
        <v>56916.26</v>
      </c>
      <c r="AH346">
        <v>0</v>
      </c>
      <c r="AI346" s="2">
        <v>56916.26</v>
      </c>
      <c r="AJ346" s="2">
        <v>16252.5</v>
      </c>
      <c r="AK346" s="2">
        <v>16252.5</v>
      </c>
      <c r="AL346" t="str">
        <f>"$"</f>
        <v>$</v>
      </c>
    </row>
    <row r="347" spans="1:38" x14ac:dyDescent="0.3">
      <c r="A347" t="str">
        <f>"SO20000218"</f>
        <v>SO20000218</v>
      </c>
      <c r="B347" t="str">
        <f>"E000312785"</f>
        <v>E000312785</v>
      </c>
      <c r="C347" t="str">
        <f>"בוצעה"</f>
        <v>בוצעה</v>
      </c>
      <c r="E347" s="3">
        <v>43982</v>
      </c>
      <c r="F347" s="3">
        <v>44895</v>
      </c>
      <c r="G347" t="str">
        <f>"700065"</f>
        <v>700065</v>
      </c>
      <c r="H347" t="str">
        <f>"אלתא מערכות בע""מ"</f>
        <v>אלתא מערכות בע"מ</v>
      </c>
      <c r="I347" t="str">
        <f>"ערן שלו"</f>
        <v>ערן שלו</v>
      </c>
      <c r="J347" t="str">
        <f>"000"</f>
        <v>000</v>
      </c>
      <c r="K347" s="1" t="str">
        <f>"NRE FOR 1038C906-001"</f>
        <v>NRE FOR 1038C906-001</v>
      </c>
      <c r="L347">
        <v>1</v>
      </c>
      <c r="M347" t="str">
        <f>"PR20000705"</f>
        <v>PR20000705</v>
      </c>
      <c r="N347" t="str">
        <f>"108C906-001 RPU8"</f>
        <v>108C906-001 RPU8</v>
      </c>
      <c r="O347" s="2">
        <v>16252.5</v>
      </c>
      <c r="P347" t="str">
        <f>"$"</f>
        <v>$</v>
      </c>
      <c r="Q347" t="str">
        <f>"119"</f>
        <v>119</v>
      </c>
      <c r="R347" t="str">
        <f>"פלטפורמות"</f>
        <v>פלטפורמות</v>
      </c>
      <c r="S347" t="str">
        <f>"034"</f>
        <v>034</v>
      </c>
      <c r="T347" t="str">
        <f>"גנם הודיה"</f>
        <v>גנם הודיה</v>
      </c>
      <c r="U347">
        <v>0</v>
      </c>
      <c r="V347">
        <v>0</v>
      </c>
      <c r="W347" s="2">
        <v>16252.5</v>
      </c>
      <c r="X347" s="2">
        <v>16252.5</v>
      </c>
      <c r="Z347" t="str">
        <f>"Y"</f>
        <v>Y</v>
      </c>
      <c r="AA347">
        <v>1</v>
      </c>
      <c r="AC347">
        <v>0</v>
      </c>
      <c r="AE347">
        <v>0</v>
      </c>
      <c r="AF347">
        <v>0</v>
      </c>
      <c r="AG347" s="2">
        <v>56916.26</v>
      </c>
      <c r="AH347">
        <v>0</v>
      </c>
      <c r="AI347" s="2">
        <v>56916.26</v>
      </c>
      <c r="AJ347" s="2">
        <v>16252.5</v>
      </c>
      <c r="AK347" s="2">
        <v>16252.5</v>
      </c>
      <c r="AL347" t="str">
        <f>"$"</f>
        <v>$</v>
      </c>
    </row>
    <row r="348" spans="1:38" x14ac:dyDescent="0.3">
      <c r="A348" t="str">
        <f>"SO20000218"</f>
        <v>SO20000218</v>
      </c>
      <c r="B348" t="str">
        <f>"E000312785"</f>
        <v>E000312785</v>
      </c>
      <c r="C348" t="str">
        <f>"בוצעה"</f>
        <v>בוצעה</v>
      </c>
      <c r="E348" s="3">
        <v>43982</v>
      </c>
      <c r="F348" s="3">
        <v>44612</v>
      </c>
      <c r="G348" t="str">
        <f>"700065"</f>
        <v>700065</v>
      </c>
      <c r="H348" t="str">
        <f>"אלתא מערכות בע""מ"</f>
        <v>אלתא מערכות בע"מ</v>
      </c>
      <c r="I348" t="str">
        <f>"ערן שלו"</f>
        <v>ערן שלו</v>
      </c>
      <c r="J348" t="str">
        <f>"OP-AR01981"</f>
        <v>OP-AR01981</v>
      </c>
      <c r="K348" s="1" t="str">
        <f>"כבל הזנהRPU TO PDB1 1#"</f>
        <v>כבל הזנהRPU TO PDB1 1#</v>
      </c>
      <c r="L348">
        <v>1</v>
      </c>
      <c r="M348" t="str">
        <f>"PR20000698"</f>
        <v>PR20000698</v>
      </c>
      <c r="N348" t="str">
        <f>"1038C906-001 RPU1"</f>
        <v>1038C906-001 RPU1</v>
      </c>
      <c r="O348">
        <v>0</v>
      </c>
      <c r="P348" t="str">
        <f>"$"</f>
        <v>$</v>
      </c>
      <c r="Q348" t="str">
        <f>"119"</f>
        <v>119</v>
      </c>
      <c r="R348" t="str">
        <f>"פלטפורמות"</f>
        <v>פלטפורמות</v>
      </c>
      <c r="S348" t="str">
        <f>"034"</f>
        <v>034</v>
      </c>
      <c r="T348" t="str">
        <f>"גנם הודיה"</f>
        <v>גנם הודיה</v>
      </c>
      <c r="U348">
        <v>0</v>
      </c>
      <c r="V348">
        <v>0</v>
      </c>
      <c r="W348">
        <v>0</v>
      </c>
      <c r="X348">
        <v>0</v>
      </c>
      <c r="Z348" t="str">
        <f>"Y"</f>
        <v>Y</v>
      </c>
      <c r="AA348">
        <v>0</v>
      </c>
      <c r="AC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t="str">
        <f>"$"</f>
        <v>$</v>
      </c>
    </row>
    <row r="349" spans="1:38" x14ac:dyDescent="0.3">
      <c r="A349" t="str">
        <f>"SO20000218"</f>
        <v>SO20000218</v>
      </c>
      <c r="B349" t="str">
        <f>"E000312785"</f>
        <v>E000312785</v>
      </c>
      <c r="C349" t="str">
        <f>"בוצעה"</f>
        <v>בוצעה</v>
      </c>
      <c r="E349" s="3">
        <v>43982</v>
      </c>
      <c r="F349" s="3">
        <v>44623</v>
      </c>
      <c r="G349" t="str">
        <f>"700065"</f>
        <v>700065</v>
      </c>
      <c r="H349" t="str">
        <f>"אלתא מערכות בע""מ"</f>
        <v>אלתא מערכות בע"מ</v>
      </c>
      <c r="I349" t="str">
        <f>"ערן שלו"</f>
        <v>ערן שלו</v>
      </c>
      <c r="J349" t="str">
        <f>"PA1100606"</f>
        <v>PA1100606</v>
      </c>
      <c r="K349" s="1" t="str">
        <f>"GT 40 DUST CAP RECT 10-580902-403"</f>
        <v>GT 40 DUST CAP RECT 10-580902-403</v>
      </c>
      <c r="L349">
        <v>2</v>
      </c>
      <c r="M349" t="str">
        <f>"PR20000358"</f>
        <v>PR20000358</v>
      </c>
      <c r="N349" t="str">
        <f>"הזמנת קרונות RPU לצ'כיה"</f>
        <v>הזמנת קרונות RPU לצ'כיה</v>
      </c>
      <c r="O349">
        <v>0</v>
      </c>
      <c r="P349" t="str">
        <f>"$"</f>
        <v>$</v>
      </c>
      <c r="Q349" t="str">
        <f>"119"</f>
        <v>119</v>
      </c>
      <c r="R349" t="str">
        <f>"פלטפורמות"</f>
        <v>פלטפורמות</v>
      </c>
      <c r="S349" t="str">
        <f>"034"</f>
        <v>034</v>
      </c>
      <c r="T349" t="str">
        <f>"גנם הודיה"</f>
        <v>גנם הודיה</v>
      </c>
      <c r="U349">
        <v>0</v>
      </c>
      <c r="V349">
        <v>0</v>
      </c>
      <c r="W349">
        <v>0</v>
      </c>
      <c r="X349">
        <v>0</v>
      </c>
      <c r="Z349" t="str">
        <f>"Y"</f>
        <v>Y</v>
      </c>
      <c r="AA349">
        <v>0</v>
      </c>
      <c r="AC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t="str">
        <f>"$"</f>
        <v>$</v>
      </c>
    </row>
    <row r="350" spans="1:38" x14ac:dyDescent="0.3">
      <c r="A350" t="str">
        <f>"SO20000218"</f>
        <v>SO20000218</v>
      </c>
      <c r="B350" t="str">
        <f>"E000312785"</f>
        <v>E000312785</v>
      </c>
      <c r="C350" t="str">
        <f>"בוצעה"</f>
        <v>בוצעה</v>
      </c>
      <c r="E350" s="3">
        <v>43982</v>
      </c>
      <c r="F350" s="3">
        <v>44641</v>
      </c>
      <c r="G350" t="str">
        <f>"700065"</f>
        <v>700065</v>
      </c>
      <c r="H350" t="str">
        <f>"אלתא מערכות בע""מ"</f>
        <v>אלתא מערכות בע"מ</v>
      </c>
      <c r="I350" t="str">
        <f>"ערן שלו"</f>
        <v>ערן שלו</v>
      </c>
      <c r="J350" t="str">
        <f>"OP-AR01981"</f>
        <v>OP-AR01981</v>
      </c>
      <c r="K350" s="1" t="str">
        <f>"כבל הזנהRPU TO PDB1 1#"</f>
        <v>כבל הזנהRPU TO PDB1 1#</v>
      </c>
      <c r="L350">
        <v>1</v>
      </c>
      <c r="M350" t="str">
        <f>"PR20000699"</f>
        <v>PR20000699</v>
      </c>
      <c r="N350" t="str">
        <f>"1038C906-001 RPU2"</f>
        <v>1038C906-001 RPU2</v>
      </c>
      <c r="O350">
        <v>0</v>
      </c>
      <c r="P350" t="str">
        <f>"$"</f>
        <v>$</v>
      </c>
      <c r="Q350" t="str">
        <f>"119"</f>
        <v>119</v>
      </c>
      <c r="R350" t="str">
        <f>"פלטפורמות"</f>
        <v>פלטפורמות</v>
      </c>
      <c r="S350" t="str">
        <f>"034"</f>
        <v>034</v>
      </c>
      <c r="T350" t="str">
        <f>"גנם הודיה"</f>
        <v>גנם הודיה</v>
      </c>
      <c r="U350">
        <v>0</v>
      </c>
      <c r="V350">
        <v>0</v>
      </c>
      <c r="W350">
        <v>0</v>
      </c>
      <c r="X350">
        <v>0</v>
      </c>
      <c r="Z350" t="str">
        <f>"Y"</f>
        <v>Y</v>
      </c>
      <c r="AA350">
        <v>0</v>
      </c>
      <c r="AC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t="str">
        <f>"$"</f>
        <v>$</v>
      </c>
    </row>
    <row r="351" spans="1:38" x14ac:dyDescent="0.3">
      <c r="A351" t="str">
        <f>"SO20000218"</f>
        <v>SO20000218</v>
      </c>
      <c r="B351" t="str">
        <f>"E000312785"</f>
        <v>E000312785</v>
      </c>
      <c r="C351" t="str">
        <f>"בוצעה"</f>
        <v>בוצעה</v>
      </c>
      <c r="E351" s="3">
        <v>43982</v>
      </c>
      <c r="F351" s="3">
        <v>44676</v>
      </c>
      <c r="G351" t="str">
        <f>"700065"</f>
        <v>700065</v>
      </c>
      <c r="H351" t="str">
        <f>"אלתא מערכות בע""מ"</f>
        <v>אלתא מערכות בע"מ</v>
      </c>
      <c r="I351" t="str">
        <f>"ערן שלו"</f>
        <v>ערן שלו</v>
      </c>
      <c r="J351" t="str">
        <f>"PS9900047"</f>
        <v>PS9900047</v>
      </c>
      <c r="K351" s="1" t="str">
        <f>"Flatpack 2 380/3000 HE"</f>
        <v>Flatpack 2 380/3000 HE</v>
      </c>
      <c r="L351">
        <v>8</v>
      </c>
      <c r="O351">
        <v>0</v>
      </c>
      <c r="P351" t="str">
        <f>"$"</f>
        <v>$</v>
      </c>
      <c r="Q351" t="str">
        <f>"119"</f>
        <v>119</v>
      </c>
      <c r="R351" t="str">
        <f>"פלטפורמות"</f>
        <v>פלטפורמות</v>
      </c>
      <c r="S351" t="str">
        <f>"034"</f>
        <v>034</v>
      </c>
      <c r="T351" t="str">
        <f>"גנם הודיה"</f>
        <v>גנם הודיה</v>
      </c>
      <c r="U351">
        <v>0</v>
      </c>
      <c r="V351">
        <v>0</v>
      </c>
      <c r="W351">
        <v>0</v>
      </c>
      <c r="X351">
        <v>0</v>
      </c>
      <c r="Z351" t="str">
        <f>"Y"</f>
        <v>Y</v>
      </c>
      <c r="AA351">
        <v>0</v>
      </c>
      <c r="AC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t="str">
        <f>"$"</f>
        <v>$</v>
      </c>
    </row>
    <row r="352" spans="1:38" x14ac:dyDescent="0.3">
      <c r="A352" t="str">
        <f>"SO20000218"</f>
        <v>SO20000218</v>
      </c>
      <c r="B352" t="str">
        <f>"E000312785"</f>
        <v>E000312785</v>
      </c>
      <c r="C352" t="str">
        <f>"בוצעה"</f>
        <v>בוצעה</v>
      </c>
      <c r="E352" s="3">
        <v>43982</v>
      </c>
      <c r="F352" s="3">
        <v>44763</v>
      </c>
      <c r="G352" t="str">
        <f>"700065"</f>
        <v>700065</v>
      </c>
      <c r="H352" t="str">
        <f>"אלתא מערכות בע""מ"</f>
        <v>אלתא מערכות בע"מ</v>
      </c>
      <c r="I352" t="str">
        <f>"ערן שלו"</f>
        <v>ערן שלו</v>
      </c>
      <c r="J352" t="str">
        <f>"OP-AR02332"</f>
        <v>OP-AR02332</v>
      </c>
      <c r="K352" s="1" t="str">
        <f>"RLCC 100M PWR CABLE"</f>
        <v>RLCC 100M PWR CABLE</v>
      </c>
      <c r="L352">
        <v>2</v>
      </c>
      <c r="M352" t="str">
        <f>"PR20000700"</f>
        <v>PR20000700</v>
      </c>
      <c r="N352" t="str">
        <f>"1038C906-001 RPU3"</f>
        <v>1038C906-001 RPU3</v>
      </c>
      <c r="O352">
        <v>0</v>
      </c>
      <c r="P352" t="str">
        <f>"$"</f>
        <v>$</v>
      </c>
      <c r="Q352" t="str">
        <f>"119"</f>
        <v>119</v>
      </c>
      <c r="R352" t="str">
        <f>"פלטפורמות"</f>
        <v>פלטפורמות</v>
      </c>
      <c r="S352" t="str">
        <f>"034"</f>
        <v>034</v>
      </c>
      <c r="T352" t="str">
        <f>"גנם הודיה"</f>
        <v>גנם הודיה</v>
      </c>
      <c r="U352">
        <v>0</v>
      </c>
      <c r="V352">
        <v>0</v>
      </c>
      <c r="W352">
        <v>0</v>
      </c>
      <c r="X352">
        <v>0</v>
      </c>
      <c r="Z352" t="str">
        <f>"Y"</f>
        <v>Y</v>
      </c>
      <c r="AA352">
        <v>0</v>
      </c>
      <c r="AC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t="str">
        <f>"$"</f>
        <v>$</v>
      </c>
    </row>
    <row r="353" spans="1:38" x14ac:dyDescent="0.3">
      <c r="A353" t="str">
        <f>"SO20000219"</f>
        <v>SO20000219</v>
      </c>
      <c r="B353" t="str">
        <f>"E000312759"</f>
        <v>E000312759</v>
      </c>
      <c r="C353" t="str">
        <f>"בוצעה"</f>
        <v>בוצעה</v>
      </c>
      <c r="E353" s="3">
        <v>43982</v>
      </c>
      <c r="F353" s="3">
        <v>44039</v>
      </c>
      <c r="G353" t="str">
        <f>"700065"</f>
        <v>700065</v>
      </c>
      <c r="H353" t="str">
        <f>"אלתא מערכות בע""מ"</f>
        <v>אלתא מערכות בע"מ</v>
      </c>
      <c r="I353" t="str">
        <f>"ערן שלו"</f>
        <v>ערן שלו</v>
      </c>
      <c r="J353" t="str">
        <f>"999"</f>
        <v>999</v>
      </c>
      <c r="K353" s="1" t="str">
        <f>"עדכוני תכולה עבור חטיבת +CU"</f>
        <v>עדכוני תכולה עבור חטיבת +CU</v>
      </c>
      <c r="L353">
        <v>1</v>
      </c>
      <c r="M353" t="str">
        <f>"PR20000338"</f>
        <v>PR20000338</v>
      </c>
      <c r="N353" t="str">
        <f>"חטיבת CU שידרוג ותוספות"</f>
        <v>חטיבת CU שידרוג ותוספות</v>
      </c>
      <c r="O353" s="2">
        <v>8153.74</v>
      </c>
      <c r="P353" t="str">
        <f>"$"</f>
        <v>$</v>
      </c>
      <c r="Q353" t="str">
        <f>"118"</f>
        <v>118</v>
      </c>
      <c r="R353" t="str">
        <f>"מערכות"</f>
        <v>מערכות</v>
      </c>
      <c r="S353" t="str">
        <f>"034"</f>
        <v>034</v>
      </c>
      <c r="T353" t="str">
        <f>"גנם הודיה"</f>
        <v>גנם הודיה</v>
      </c>
      <c r="U353">
        <v>0</v>
      </c>
      <c r="V353">
        <v>0</v>
      </c>
      <c r="W353" s="2">
        <v>8153.74</v>
      </c>
      <c r="X353" s="2">
        <v>8153.74</v>
      </c>
      <c r="Z353" t="str">
        <f>"Y"</f>
        <v>Y</v>
      </c>
      <c r="AA353">
        <v>1</v>
      </c>
      <c r="AC353">
        <v>0</v>
      </c>
      <c r="AE353">
        <v>0</v>
      </c>
      <c r="AF353">
        <v>0</v>
      </c>
      <c r="AG353" s="2">
        <v>28554.400000000001</v>
      </c>
      <c r="AH353">
        <v>0</v>
      </c>
      <c r="AI353" s="2">
        <v>28554.400000000001</v>
      </c>
      <c r="AJ353" s="2">
        <v>8153.74</v>
      </c>
      <c r="AK353" s="2">
        <v>8153.74</v>
      </c>
      <c r="AL353" t="str">
        <f>"$"</f>
        <v>$</v>
      </c>
    </row>
    <row r="354" spans="1:38" x14ac:dyDescent="0.3">
      <c r="A354" t="str">
        <f>"SO20000219"</f>
        <v>SO20000219</v>
      </c>
      <c r="B354" t="str">
        <f>"E000312759"</f>
        <v>E000312759</v>
      </c>
      <c r="C354" t="str">
        <f>"בוצעה"</f>
        <v>בוצעה</v>
      </c>
      <c r="E354" s="3">
        <v>43982</v>
      </c>
      <c r="F354" s="3">
        <v>44311</v>
      </c>
      <c r="G354" t="str">
        <f>"700065"</f>
        <v>700065</v>
      </c>
      <c r="H354" t="str">
        <f>"אלתא מערכות בע""מ"</f>
        <v>אלתא מערכות בע"מ</v>
      </c>
      <c r="I354" t="str">
        <f>"ערן שלו"</f>
        <v>ערן שלו</v>
      </c>
      <c r="J354" t="str">
        <f>"999"</f>
        <v>999</v>
      </c>
      <c r="K354" s="1" t="str">
        <f>"עדכוני תכולה עבור חטיבת +CU"</f>
        <v>עדכוני תכולה עבור חטיבת +CU</v>
      </c>
      <c r="L354">
        <v>1</v>
      </c>
      <c r="O354" s="2">
        <v>4076.87</v>
      </c>
      <c r="P354" t="str">
        <f>"$"</f>
        <v>$</v>
      </c>
      <c r="Q354" t="str">
        <f>"118"</f>
        <v>118</v>
      </c>
      <c r="R354" t="str">
        <f>"מערכות"</f>
        <v>מערכות</v>
      </c>
      <c r="S354" t="str">
        <f>"034"</f>
        <v>034</v>
      </c>
      <c r="T354" t="str">
        <f>"גנם הודיה"</f>
        <v>גנם הודיה</v>
      </c>
      <c r="U354">
        <v>0</v>
      </c>
      <c r="V354">
        <v>0</v>
      </c>
      <c r="W354" s="2">
        <v>4076.87</v>
      </c>
      <c r="X354" s="2">
        <v>4076.87</v>
      </c>
      <c r="Z354" t="str">
        <f>"Y"</f>
        <v>Y</v>
      </c>
      <c r="AA354">
        <v>1</v>
      </c>
      <c r="AC354">
        <v>0</v>
      </c>
      <c r="AE354">
        <v>0</v>
      </c>
      <c r="AF354">
        <v>0</v>
      </c>
      <c r="AG354" s="2">
        <v>14277.2</v>
      </c>
      <c r="AH354">
        <v>0</v>
      </c>
      <c r="AI354" s="2">
        <v>14277.2</v>
      </c>
      <c r="AJ354" s="2">
        <v>4076.87</v>
      </c>
      <c r="AK354" s="2">
        <v>4076.87</v>
      </c>
      <c r="AL354" t="str">
        <f>"$"</f>
        <v>$</v>
      </c>
    </row>
    <row r="355" spans="1:38" x14ac:dyDescent="0.3">
      <c r="A355" t="str">
        <f>"SO20000219"</f>
        <v>SO20000219</v>
      </c>
      <c r="B355" t="str">
        <f>"E000312759"</f>
        <v>E000312759</v>
      </c>
      <c r="C355" t="str">
        <f>"בוצעה"</f>
        <v>בוצעה</v>
      </c>
      <c r="E355" s="3">
        <v>43982</v>
      </c>
      <c r="F355" s="3">
        <v>44311</v>
      </c>
      <c r="G355" t="str">
        <f>"700065"</f>
        <v>700065</v>
      </c>
      <c r="H355" t="str">
        <f>"אלתא מערכות בע""מ"</f>
        <v>אלתא מערכות בע"מ</v>
      </c>
      <c r="I355" t="str">
        <f>"ערן שלו"</f>
        <v>ערן שלו</v>
      </c>
      <c r="J355" t="str">
        <f>"999"</f>
        <v>999</v>
      </c>
      <c r="K355" s="1" t="str">
        <f>"עדכוני תכולה עבור חטיבת +CU"</f>
        <v>עדכוני תכולה עבור חטיבת +CU</v>
      </c>
      <c r="L355">
        <v>1</v>
      </c>
      <c r="O355" s="2">
        <v>4076.87</v>
      </c>
      <c r="P355" t="str">
        <f>"$"</f>
        <v>$</v>
      </c>
      <c r="Q355" t="str">
        <f>"118"</f>
        <v>118</v>
      </c>
      <c r="R355" t="str">
        <f>"מערכות"</f>
        <v>מערכות</v>
      </c>
      <c r="S355" t="str">
        <f>"034"</f>
        <v>034</v>
      </c>
      <c r="T355" t="str">
        <f>"גנם הודיה"</f>
        <v>גנם הודיה</v>
      </c>
      <c r="U355">
        <v>0</v>
      </c>
      <c r="V355">
        <v>0</v>
      </c>
      <c r="W355" s="2">
        <v>4076.87</v>
      </c>
      <c r="X355" s="2">
        <v>4076.87</v>
      </c>
      <c r="Z355" t="str">
        <f>"Y"</f>
        <v>Y</v>
      </c>
      <c r="AA355">
        <v>1</v>
      </c>
      <c r="AC355">
        <v>0</v>
      </c>
      <c r="AE355">
        <v>0</v>
      </c>
      <c r="AF355">
        <v>0</v>
      </c>
      <c r="AG355" s="2">
        <v>14277.2</v>
      </c>
      <c r="AH355">
        <v>0</v>
      </c>
      <c r="AI355" s="2">
        <v>14277.2</v>
      </c>
      <c r="AJ355" s="2">
        <v>4076.87</v>
      </c>
      <c r="AK355" s="2">
        <v>4076.87</v>
      </c>
      <c r="AL355" t="str">
        <f>"$"</f>
        <v>$</v>
      </c>
    </row>
    <row r="356" spans="1:38" x14ac:dyDescent="0.3">
      <c r="A356" t="str">
        <f>"SO20000219"</f>
        <v>SO20000219</v>
      </c>
      <c r="B356" t="str">
        <f>"E000312759"</f>
        <v>E000312759</v>
      </c>
      <c r="C356" t="str">
        <f>"בוצעה"</f>
        <v>בוצעה</v>
      </c>
      <c r="E356" s="3">
        <v>43982</v>
      </c>
      <c r="F356" s="3">
        <v>44182</v>
      </c>
      <c r="G356" t="str">
        <f>"700065"</f>
        <v>700065</v>
      </c>
      <c r="H356" t="str">
        <f>"אלתא מערכות בע""מ"</f>
        <v>אלתא מערכות בע"מ</v>
      </c>
      <c r="I356" t="str">
        <f>"ערן שלו"</f>
        <v>ערן שלו</v>
      </c>
      <c r="J356" t="str">
        <f>"cust00952"</f>
        <v>cust00952</v>
      </c>
      <c r="K356" s="1" t="str">
        <f>"1038U960-001 אלתא"</f>
        <v>1038U960-001 אלתא</v>
      </c>
      <c r="L356">
        <v>1</v>
      </c>
      <c r="M356" t="str">
        <f>"PR20000338"</f>
        <v>PR20000338</v>
      </c>
      <c r="N356" t="str">
        <f>"חטיבת CU שידרוג ותוספות"</f>
        <v>חטיבת CU שידרוג ותוספות</v>
      </c>
      <c r="O356">
        <v>0</v>
      </c>
      <c r="P356" t="str">
        <f>"$"</f>
        <v>$</v>
      </c>
      <c r="Q356" t="str">
        <f>"118"</f>
        <v>118</v>
      </c>
      <c r="R356" t="str">
        <f>"מערכות"</f>
        <v>מערכות</v>
      </c>
      <c r="S356" t="str">
        <f>"034"</f>
        <v>034</v>
      </c>
      <c r="T356" t="str">
        <f>"גנם הודיה"</f>
        <v>גנם הודיה</v>
      </c>
      <c r="U356">
        <v>0</v>
      </c>
      <c r="V356">
        <v>0</v>
      </c>
      <c r="W356">
        <v>0</v>
      </c>
      <c r="X356">
        <v>0</v>
      </c>
      <c r="Z356" t="str">
        <f>"Y"</f>
        <v>Y</v>
      </c>
      <c r="AA356">
        <v>0</v>
      </c>
      <c r="AC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t="str">
        <f>"$"</f>
        <v>$</v>
      </c>
    </row>
    <row r="357" spans="1:38" x14ac:dyDescent="0.3">
      <c r="A357" t="str">
        <f>"SO20000220"</f>
        <v>SO20000220</v>
      </c>
      <c r="B357" t="str">
        <f>"E000313337"</f>
        <v>E000313337</v>
      </c>
      <c r="C357" t="str">
        <f>"בוצעה"</f>
        <v>בוצעה</v>
      </c>
      <c r="E357" s="3">
        <v>43983</v>
      </c>
      <c r="F357" s="3">
        <v>44180</v>
      </c>
      <c r="G357" t="str">
        <f>"700065"</f>
        <v>700065</v>
      </c>
      <c r="H357" t="str">
        <f>"אלתא מערכות בע""מ"</f>
        <v>אלתא מערכות בע"מ</v>
      </c>
      <c r="I357" t="str">
        <f>"ערן שלו"</f>
        <v>ערן שלו</v>
      </c>
      <c r="J357" t="str">
        <f>"OP-AR01088"</f>
        <v>OP-AR01088</v>
      </c>
      <c r="K357" s="1" t="str">
        <f>"1038H185-001 SRASR POWER DISTRIUTION UNIT"</f>
        <v>1038H185-001 SRASR POWER DISTRIUTION UNIT</v>
      </c>
      <c r="L357">
        <v>3</v>
      </c>
      <c r="M357" t="str">
        <f>"PR20000318"</f>
        <v>PR20000318</v>
      </c>
      <c r="N357" t="str">
        <f>"PDU  ליטא 5 יח"</f>
        <v>PDU  ליטא 5 יח</v>
      </c>
      <c r="O357" s="2">
        <v>12505</v>
      </c>
      <c r="P357" t="str">
        <f>"$"</f>
        <v>$</v>
      </c>
      <c r="Q357" t="str">
        <f>"000"</f>
        <v>000</v>
      </c>
      <c r="R357" t="str">
        <f>"כללית"</f>
        <v>כללית</v>
      </c>
      <c r="S357" t="str">
        <f>"034"</f>
        <v>034</v>
      </c>
      <c r="T357" t="str">
        <f>"חן בזק"</f>
        <v>חן בזק</v>
      </c>
      <c r="U357">
        <v>0</v>
      </c>
      <c r="V357">
        <v>0</v>
      </c>
      <c r="W357" s="2">
        <v>12505</v>
      </c>
      <c r="X357" s="2">
        <v>37515</v>
      </c>
      <c r="Z357" t="str">
        <f>"Y"</f>
        <v>Y</v>
      </c>
      <c r="AA357">
        <v>0</v>
      </c>
      <c r="AC357">
        <v>0</v>
      </c>
      <c r="AE357">
        <v>0</v>
      </c>
      <c r="AF357">
        <v>0</v>
      </c>
      <c r="AG357" s="2">
        <v>43880.05</v>
      </c>
      <c r="AH357">
        <v>0</v>
      </c>
      <c r="AI357" s="2">
        <v>131640.14000000001</v>
      </c>
      <c r="AJ357" s="2">
        <v>37515</v>
      </c>
      <c r="AK357" s="2">
        <v>37515</v>
      </c>
      <c r="AL357" t="str">
        <f>"$"</f>
        <v>$</v>
      </c>
    </row>
    <row r="358" spans="1:38" x14ac:dyDescent="0.3">
      <c r="A358" t="str">
        <f>"SO20000220"</f>
        <v>SO20000220</v>
      </c>
      <c r="B358" t="str">
        <f>"E000313337"</f>
        <v>E000313337</v>
      </c>
      <c r="C358" t="str">
        <f>"בוצעה"</f>
        <v>בוצעה</v>
      </c>
      <c r="E358" s="3">
        <v>43983</v>
      </c>
      <c r="F358" s="3">
        <v>44211</v>
      </c>
      <c r="G358" t="str">
        <f>"700065"</f>
        <v>700065</v>
      </c>
      <c r="H358" t="str">
        <f>"אלתא מערכות בע""מ"</f>
        <v>אלתא מערכות בע"מ</v>
      </c>
      <c r="I358" t="str">
        <f>"ערן שלו"</f>
        <v>ערן שלו</v>
      </c>
      <c r="J358" t="str">
        <f>"OP-AR01088"</f>
        <v>OP-AR01088</v>
      </c>
      <c r="K358" s="1" t="str">
        <f>"1038H185-001 SRASR POWER DISTRIUTION UNIT"</f>
        <v>1038H185-001 SRASR POWER DISTRIUTION UNIT</v>
      </c>
      <c r="L358">
        <v>2</v>
      </c>
      <c r="M358" t="str">
        <f>"PR20000318"</f>
        <v>PR20000318</v>
      </c>
      <c r="N358" t="str">
        <f>"PDU  ליטא 5 יח"</f>
        <v>PDU  ליטא 5 יח</v>
      </c>
      <c r="O358" s="2">
        <v>12505</v>
      </c>
      <c r="P358" t="str">
        <f>"$"</f>
        <v>$</v>
      </c>
      <c r="Q358" t="str">
        <f>"000"</f>
        <v>000</v>
      </c>
      <c r="R358" t="str">
        <f>"כללית"</f>
        <v>כללית</v>
      </c>
      <c r="S358" t="str">
        <f>"034"</f>
        <v>034</v>
      </c>
      <c r="T358" t="str">
        <f>"חן בזק"</f>
        <v>חן בזק</v>
      </c>
      <c r="U358">
        <v>0</v>
      </c>
      <c r="V358">
        <v>0</v>
      </c>
      <c r="W358" s="2">
        <v>12505</v>
      </c>
      <c r="X358" s="2">
        <v>25010</v>
      </c>
      <c r="Z358" t="str">
        <f>"Y"</f>
        <v>Y</v>
      </c>
      <c r="AA358">
        <v>0</v>
      </c>
      <c r="AC358">
        <v>0</v>
      </c>
      <c r="AE358">
        <v>0</v>
      </c>
      <c r="AF358">
        <v>0</v>
      </c>
      <c r="AG358" s="2">
        <v>43880.05</v>
      </c>
      <c r="AH358">
        <v>0</v>
      </c>
      <c r="AI358" s="2">
        <v>87760.09</v>
      </c>
      <c r="AJ358" s="2">
        <v>25010</v>
      </c>
      <c r="AK358" s="2">
        <v>25010</v>
      </c>
      <c r="AL358" t="str">
        <f>"$"</f>
        <v>$</v>
      </c>
    </row>
    <row r="359" spans="1:38" x14ac:dyDescent="0.3">
      <c r="A359" t="str">
        <f>"SO20000220"</f>
        <v>SO20000220</v>
      </c>
      <c r="B359" t="str">
        <f>"E000313337"</f>
        <v>E000313337</v>
      </c>
      <c r="C359" t="str">
        <f>"בוצעה"</f>
        <v>בוצעה</v>
      </c>
      <c r="E359" s="3">
        <v>43983</v>
      </c>
      <c r="F359" s="3">
        <v>44211</v>
      </c>
      <c r="G359" t="str">
        <f>"700065"</f>
        <v>700065</v>
      </c>
      <c r="H359" t="str">
        <f>"אלתא מערכות בע""מ"</f>
        <v>אלתא מערכות בע"מ</v>
      </c>
      <c r="I359" t="str">
        <f>"ערן שלו"</f>
        <v>ערן שלו</v>
      </c>
      <c r="J359" t="str">
        <f>"OP-AR01088"</f>
        <v>OP-AR01088</v>
      </c>
      <c r="K359" s="1" t="str">
        <f>"1038H185-001 SRASR POWER DISTRIUTION UNIT"</f>
        <v>1038H185-001 SRASR POWER DISTRIUTION UNIT</v>
      </c>
      <c r="L359">
        <v>1</v>
      </c>
      <c r="M359" t="str">
        <f>"PR20000317"</f>
        <v>PR20000317</v>
      </c>
      <c r="N359" t="str">
        <f>"PDU ליטא 5 יח"</f>
        <v>PDU ליטא 5 יח</v>
      </c>
      <c r="O359" s="2">
        <v>12505</v>
      </c>
      <c r="P359" t="str">
        <f>"$"</f>
        <v>$</v>
      </c>
      <c r="Q359" t="str">
        <f>"000"</f>
        <v>000</v>
      </c>
      <c r="R359" t="str">
        <f>"כללית"</f>
        <v>כללית</v>
      </c>
      <c r="S359" t="str">
        <f>"034"</f>
        <v>034</v>
      </c>
      <c r="T359" t="str">
        <f>"חן בזק"</f>
        <v>חן בזק</v>
      </c>
      <c r="U359">
        <v>0</v>
      </c>
      <c r="V359">
        <v>0</v>
      </c>
      <c r="W359" s="2">
        <v>12505</v>
      </c>
      <c r="X359" s="2">
        <v>12505</v>
      </c>
      <c r="Z359" t="str">
        <f>"Y"</f>
        <v>Y</v>
      </c>
      <c r="AA359">
        <v>0</v>
      </c>
      <c r="AC359">
        <v>0</v>
      </c>
      <c r="AE359">
        <v>0</v>
      </c>
      <c r="AF359">
        <v>0</v>
      </c>
      <c r="AG359" s="2">
        <v>43880.05</v>
      </c>
      <c r="AH359">
        <v>0</v>
      </c>
      <c r="AI359" s="2">
        <v>43880.05</v>
      </c>
      <c r="AJ359" s="2">
        <v>12505</v>
      </c>
      <c r="AK359" s="2">
        <v>12505</v>
      </c>
      <c r="AL359" t="str">
        <f>"$"</f>
        <v>$</v>
      </c>
    </row>
    <row r="360" spans="1:38" x14ac:dyDescent="0.3">
      <c r="A360" t="str">
        <f>"SO20000220"</f>
        <v>SO20000220</v>
      </c>
      <c r="B360" t="str">
        <f>"E000313337"</f>
        <v>E000313337</v>
      </c>
      <c r="C360" t="str">
        <f>"בוצעה"</f>
        <v>בוצעה</v>
      </c>
      <c r="E360" s="3">
        <v>43983</v>
      </c>
      <c r="F360" s="3">
        <v>44226</v>
      </c>
      <c r="G360" t="str">
        <f>"700065"</f>
        <v>700065</v>
      </c>
      <c r="H360" t="str">
        <f>"אלתא מערכות בע""מ"</f>
        <v>אלתא מערכות בע"מ</v>
      </c>
      <c r="I360" t="str">
        <f>"ערן שלו"</f>
        <v>ערן שלו</v>
      </c>
      <c r="J360" t="str">
        <f>"OP-AR01088"</f>
        <v>OP-AR01088</v>
      </c>
      <c r="K360" s="1" t="str">
        <f>"1038H185-001 SRASR POWER DISTRIUTION UNIT"</f>
        <v>1038H185-001 SRASR POWER DISTRIUTION UNIT</v>
      </c>
      <c r="L360">
        <v>3</v>
      </c>
      <c r="M360" t="str">
        <f>"PR20000317"</f>
        <v>PR20000317</v>
      </c>
      <c r="N360" t="str">
        <f>"PDU ליטא 5 יח"</f>
        <v>PDU ליטא 5 יח</v>
      </c>
      <c r="O360" s="2">
        <v>12505</v>
      </c>
      <c r="P360" t="str">
        <f>"$"</f>
        <v>$</v>
      </c>
      <c r="Q360" t="str">
        <f>"000"</f>
        <v>000</v>
      </c>
      <c r="R360" t="str">
        <f>"כללית"</f>
        <v>כללית</v>
      </c>
      <c r="S360" t="str">
        <f>"034"</f>
        <v>034</v>
      </c>
      <c r="T360" t="str">
        <f>"חן בזק"</f>
        <v>חן בזק</v>
      </c>
      <c r="U360">
        <v>0</v>
      </c>
      <c r="V360">
        <v>0</v>
      </c>
      <c r="W360" s="2">
        <v>12505</v>
      </c>
      <c r="X360" s="2">
        <v>37515</v>
      </c>
      <c r="Z360" t="str">
        <f>"Y"</f>
        <v>Y</v>
      </c>
      <c r="AA360">
        <v>0</v>
      </c>
      <c r="AC360">
        <v>0</v>
      </c>
      <c r="AE360">
        <v>0</v>
      </c>
      <c r="AF360">
        <v>0</v>
      </c>
      <c r="AG360" s="2">
        <v>43880.05</v>
      </c>
      <c r="AH360">
        <v>0</v>
      </c>
      <c r="AI360" s="2">
        <v>131640.14000000001</v>
      </c>
      <c r="AJ360" s="2">
        <v>37515</v>
      </c>
      <c r="AK360" s="2">
        <v>37515</v>
      </c>
      <c r="AL360" t="str">
        <f>"$"</f>
        <v>$</v>
      </c>
    </row>
    <row r="361" spans="1:38" x14ac:dyDescent="0.3">
      <c r="A361" t="str">
        <f>"SO20000234"</f>
        <v>SO20000234</v>
      </c>
      <c r="B361" t="str">
        <f>"E000313933"</f>
        <v>E000313933</v>
      </c>
      <c r="C361" t="str">
        <f>"בוצעה"</f>
        <v>בוצעה</v>
      </c>
      <c r="E361" s="3">
        <v>43990</v>
      </c>
      <c r="F361" s="3">
        <v>44129</v>
      </c>
      <c r="G361" t="str">
        <f>"700065"</f>
        <v>700065</v>
      </c>
      <c r="H361" t="str">
        <f>"אלתא מערכות בע""מ"</f>
        <v>אלתא מערכות בע"מ</v>
      </c>
      <c r="I361" t="str">
        <f>"ערן שלו"</f>
        <v>ערן שלו</v>
      </c>
      <c r="J361" t="str">
        <f>"OP-AR00468"</f>
        <v>OP-AR00468</v>
      </c>
      <c r="K361" s="1" t="str">
        <f>"208V/25A/3PH AC PCU CONTROL BOX"</f>
        <v>208V/25A/3PH AC PCU CONTROL BOX</v>
      </c>
      <c r="L361">
        <v>1</v>
      </c>
      <c r="M361" t="str">
        <f>"PR20000374"</f>
        <v>PR20000374</v>
      </c>
      <c r="N361" t="str">
        <f>"208V/25A/3PH AC PCU CONTROL BOX"</f>
        <v>208V/25A/3PH AC PCU CONTROL BOX</v>
      </c>
      <c r="O361" s="2">
        <v>4250</v>
      </c>
      <c r="P361" t="str">
        <f>"$"</f>
        <v>$</v>
      </c>
      <c r="Q361" t="str">
        <f>"000"</f>
        <v>000</v>
      </c>
      <c r="R361" t="str">
        <f>"כללית"</f>
        <v>כללית</v>
      </c>
      <c r="S361" t="str">
        <f>"034"</f>
        <v>034</v>
      </c>
      <c r="T361" t="str">
        <f>"חן בזק"</f>
        <v>חן בזק</v>
      </c>
      <c r="U361">
        <v>0</v>
      </c>
      <c r="V361">
        <v>0</v>
      </c>
      <c r="W361" s="2">
        <v>4250</v>
      </c>
      <c r="X361" s="2">
        <v>4250</v>
      </c>
      <c r="Z361" t="str">
        <f>"Y"</f>
        <v>Y</v>
      </c>
      <c r="AA361">
        <v>0</v>
      </c>
      <c r="AC361">
        <v>0</v>
      </c>
      <c r="AE361">
        <v>0</v>
      </c>
      <c r="AF361">
        <v>0</v>
      </c>
      <c r="AG361" s="2">
        <v>14713.5</v>
      </c>
      <c r="AH361">
        <v>0</v>
      </c>
      <c r="AI361" s="2">
        <v>14713.5</v>
      </c>
      <c r="AJ361" s="2">
        <v>4250</v>
      </c>
      <c r="AK361" s="2">
        <v>4250</v>
      </c>
      <c r="AL361" t="str">
        <f>"$"</f>
        <v>$</v>
      </c>
    </row>
    <row r="362" spans="1:38" x14ac:dyDescent="0.3">
      <c r="A362" t="str">
        <f>"SO20000234"</f>
        <v>SO20000234</v>
      </c>
      <c r="B362" t="str">
        <f>"E000313933"</f>
        <v>E000313933</v>
      </c>
      <c r="C362" t="str">
        <f>"בוצעה"</f>
        <v>בוצעה</v>
      </c>
      <c r="E362" s="3">
        <v>43990</v>
      </c>
      <c r="F362" s="3">
        <v>44129</v>
      </c>
      <c r="G362" t="str">
        <f>"700065"</f>
        <v>700065</v>
      </c>
      <c r="H362" t="str">
        <f>"אלתא מערכות בע""מ"</f>
        <v>אלתא מערכות בע"מ</v>
      </c>
      <c r="I362" t="str">
        <f>"ערן שלו"</f>
        <v>ערן שלו</v>
      </c>
      <c r="J362" t="str">
        <f>"OP-AR00467"</f>
        <v>OP-AR00467</v>
      </c>
      <c r="K362" s="1" t="str">
        <f>"AC PCU CONTROL BOX"</f>
        <v>AC PCU CONTROL BOX</v>
      </c>
      <c r="L362">
        <v>1</v>
      </c>
      <c r="M362" t="str">
        <f>"PR20000373"</f>
        <v>PR20000373</v>
      </c>
      <c r="N362" t="str">
        <f>"AC PCU CONTROL BOX"</f>
        <v>AC PCU CONTROL BOX</v>
      </c>
      <c r="O362" s="2">
        <v>4250</v>
      </c>
      <c r="P362" t="str">
        <f>"$"</f>
        <v>$</v>
      </c>
      <c r="Q362" t="str">
        <f>"000"</f>
        <v>000</v>
      </c>
      <c r="R362" t="str">
        <f>"כללית"</f>
        <v>כללית</v>
      </c>
      <c r="S362" t="str">
        <f>"034"</f>
        <v>034</v>
      </c>
      <c r="T362" t="str">
        <f>"חן בזק"</f>
        <v>חן בזק</v>
      </c>
      <c r="U362">
        <v>0</v>
      </c>
      <c r="V362">
        <v>0</v>
      </c>
      <c r="W362" s="2">
        <v>4250</v>
      </c>
      <c r="X362" s="2">
        <v>4250</v>
      </c>
      <c r="Z362" t="str">
        <f>"Y"</f>
        <v>Y</v>
      </c>
      <c r="AA362">
        <v>0</v>
      </c>
      <c r="AC362">
        <v>0</v>
      </c>
      <c r="AE362">
        <v>0</v>
      </c>
      <c r="AF362">
        <v>0</v>
      </c>
      <c r="AG362" s="2">
        <v>14713.5</v>
      </c>
      <c r="AH362">
        <v>0</v>
      </c>
      <c r="AI362" s="2">
        <v>14713.5</v>
      </c>
      <c r="AJ362" s="2">
        <v>4250</v>
      </c>
      <c r="AK362" s="2">
        <v>4250</v>
      </c>
      <c r="AL362" t="str">
        <f>"$"</f>
        <v>$</v>
      </c>
    </row>
    <row r="363" spans="1:38" x14ac:dyDescent="0.3">
      <c r="A363" t="str">
        <f>"SO20000235"</f>
        <v>SO20000235</v>
      </c>
      <c r="B363" t="str">
        <f>"E000314064"</f>
        <v>E000314064</v>
      </c>
      <c r="C363" t="str">
        <f>"בוצעה"</f>
        <v>בוצעה</v>
      </c>
      <c r="E363" s="3">
        <v>43990</v>
      </c>
      <c r="F363" s="3">
        <v>44124</v>
      </c>
      <c r="G363" t="str">
        <f>"700065"</f>
        <v>700065</v>
      </c>
      <c r="H363" t="str">
        <f>"אלתא מערכות בע""מ"</f>
        <v>אלתא מערכות בע"מ</v>
      </c>
      <c r="I363" t="str">
        <f>"ערן שלו"</f>
        <v>ערן שלו</v>
      </c>
      <c r="J363" t="str">
        <f>"OP-AR01828"</f>
        <v>OP-AR01828</v>
      </c>
      <c r="K363" s="1" t="str">
        <f>"2114B423-002 BFUW103 BFU CABLE ASSY"</f>
        <v>2114B423-002 BFUW103 BFU CABLE ASSY</v>
      </c>
      <c r="L363">
        <v>3</v>
      </c>
      <c r="M363" t="str">
        <f>"PR20000377"</f>
        <v>PR20000377</v>
      </c>
      <c r="N363" t="str">
        <f>"BFUW103 BFU CABLE ASSY"</f>
        <v>BFUW103 BFU CABLE ASSY</v>
      </c>
      <c r="O363" s="2">
        <v>1099.67</v>
      </c>
      <c r="P363" t="str">
        <f>"$"</f>
        <v>$</v>
      </c>
      <c r="Q363" t="str">
        <f>"117"</f>
        <v>117</v>
      </c>
      <c r="R363" t="str">
        <f>"רתמות"</f>
        <v>רתמות</v>
      </c>
      <c r="S363" t="str">
        <f>"034"</f>
        <v>034</v>
      </c>
      <c r="T363" t="str">
        <f>"חן בזק"</f>
        <v>חן בזק</v>
      </c>
      <c r="U363">
        <v>0</v>
      </c>
      <c r="V363">
        <v>0</v>
      </c>
      <c r="W363" s="2">
        <v>1099.67</v>
      </c>
      <c r="X363" s="2">
        <v>3299.01</v>
      </c>
      <c r="Z363" t="str">
        <f>"Y"</f>
        <v>Y</v>
      </c>
      <c r="AA363">
        <v>0</v>
      </c>
      <c r="AC363">
        <v>0</v>
      </c>
      <c r="AE363">
        <v>0</v>
      </c>
      <c r="AF363">
        <v>0</v>
      </c>
      <c r="AG363" s="2">
        <v>3807.06</v>
      </c>
      <c r="AH363">
        <v>0</v>
      </c>
      <c r="AI363" s="2">
        <v>11421.17</v>
      </c>
      <c r="AJ363" s="2">
        <v>3299.01</v>
      </c>
      <c r="AK363" s="2">
        <v>3299.01</v>
      </c>
      <c r="AL363" t="str">
        <f>"$"</f>
        <v>$</v>
      </c>
    </row>
    <row r="364" spans="1:38" x14ac:dyDescent="0.3">
      <c r="A364" t="str">
        <f>"SO20000235"</f>
        <v>SO20000235</v>
      </c>
      <c r="B364" t="str">
        <f>"E000314064"</f>
        <v>E000314064</v>
      </c>
      <c r="C364" t="str">
        <f>"בוצעה"</f>
        <v>בוצעה</v>
      </c>
      <c r="E364" s="3">
        <v>43990</v>
      </c>
      <c r="F364" s="3">
        <v>44270</v>
      </c>
      <c r="G364" t="str">
        <f>"700065"</f>
        <v>700065</v>
      </c>
      <c r="H364" t="str">
        <f>"אלתא מערכות בע""מ"</f>
        <v>אלתא מערכות בע"מ</v>
      </c>
      <c r="I364" t="str">
        <f>"ערן שלו"</f>
        <v>ערן שלו</v>
      </c>
      <c r="J364" t="str">
        <f>"OP-AR01829"</f>
        <v>OP-AR01829</v>
      </c>
      <c r="K364" s="1" t="str">
        <f>"NRE FOR E000314064"</f>
        <v>NRE FOR E000314064</v>
      </c>
      <c r="L364">
        <v>1</v>
      </c>
      <c r="M364" t="str">
        <f>"PR20000377"</f>
        <v>PR20000377</v>
      </c>
      <c r="N364" t="str">
        <f>"BFUW103 BFU CABLE ASSY"</f>
        <v>BFUW103 BFU CABLE ASSY</v>
      </c>
      <c r="O364">
        <v>225</v>
      </c>
      <c r="P364" t="str">
        <f>"$"</f>
        <v>$</v>
      </c>
      <c r="Q364" t="str">
        <f>"117"</f>
        <v>117</v>
      </c>
      <c r="R364" t="str">
        <f>"רתמות"</f>
        <v>רתמות</v>
      </c>
      <c r="S364" t="str">
        <f>"034"</f>
        <v>034</v>
      </c>
      <c r="T364" t="str">
        <f>"חן בזק"</f>
        <v>חן בזק</v>
      </c>
      <c r="U364">
        <v>0</v>
      </c>
      <c r="V364">
        <v>0</v>
      </c>
      <c r="W364">
        <v>225</v>
      </c>
      <c r="X364">
        <v>225</v>
      </c>
      <c r="Z364" t="str">
        <f>"Y"</f>
        <v>Y</v>
      </c>
      <c r="AA364">
        <v>1</v>
      </c>
      <c r="AC364">
        <v>0</v>
      </c>
      <c r="AE364">
        <v>0</v>
      </c>
      <c r="AF364">
        <v>0</v>
      </c>
      <c r="AG364">
        <v>778.95</v>
      </c>
      <c r="AH364">
        <v>0</v>
      </c>
      <c r="AI364">
        <v>778.95</v>
      </c>
      <c r="AJ364">
        <v>225</v>
      </c>
      <c r="AK364">
        <v>225</v>
      </c>
      <c r="AL364" t="str">
        <f>"$"</f>
        <v>$</v>
      </c>
    </row>
    <row r="365" spans="1:38" x14ac:dyDescent="0.3">
      <c r="A365" t="str">
        <f>"SO20000235"</f>
        <v>SO20000235</v>
      </c>
      <c r="B365" t="str">
        <f>"E000314064"</f>
        <v>E000314064</v>
      </c>
      <c r="C365" t="str">
        <f>"בוצעה"</f>
        <v>בוצעה</v>
      </c>
      <c r="E365" s="3">
        <v>43990</v>
      </c>
      <c r="F365" s="3">
        <v>44124</v>
      </c>
      <c r="G365" t="str">
        <f>"700065"</f>
        <v>700065</v>
      </c>
      <c r="H365" t="str">
        <f>"אלתא מערכות בע""מ"</f>
        <v>אלתא מערכות בע"מ</v>
      </c>
      <c r="I365" t="str">
        <f>"ערן שלו"</f>
        <v>ערן שלו</v>
      </c>
      <c r="J365" t="str">
        <f>"OP-AR01828"</f>
        <v>OP-AR01828</v>
      </c>
      <c r="K365" s="1" t="str">
        <f>"2114B423-002 BFUW103 BFU CABLE ASSY"</f>
        <v>2114B423-002 BFUW103 BFU CABLE ASSY</v>
      </c>
      <c r="L365">
        <v>1</v>
      </c>
      <c r="M365" t="str">
        <f>"PR20000377"</f>
        <v>PR20000377</v>
      </c>
      <c r="N365" t="str">
        <f>"BFUW103 BFU CABLE ASSY"</f>
        <v>BFUW103 BFU CABLE ASSY</v>
      </c>
      <c r="O365" s="2">
        <v>1099.67</v>
      </c>
      <c r="P365" t="str">
        <f>"$"</f>
        <v>$</v>
      </c>
      <c r="Q365" t="str">
        <f>"117"</f>
        <v>117</v>
      </c>
      <c r="R365" t="str">
        <f>"רתמות"</f>
        <v>רתמות</v>
      </c>
      <c r="S365" t="str">
        <f>"034"</f>
        <v>034</v>
      </c>
      <c r="T365" t="str">
        <f>"חן בזק"</f>
        <v>חן בזק</v>
      </c>
      <c r="U365">
        <v>0</v>
      </c>
      <c r="V365">
        <v>0</v>
      </c>
      <c r="W365" s="2">
        <v>1099.67</v>
      </c>
      <c r="X365" s="2">
        <v>1099.67</v>
      </c>
      <c r="Z365" t="str">
        <f>"Y"</f>
        <v>Y</v>
      </c>
      <c r="AA365">
        <v>0</v>
      </c>
      <c r="AC365">
        <v>0</v>
      </c>
      <c r="AE365">
        <v>0</v>
      </c>
      <c r="AF365">
        <v>0</v>
      </c>
      <c r="AG365" s="2">
        <v>3807.06</v>
      </c>
      <c r="AH365">
        <v>0</v>
      </c>
      <c r="AI365" s="2">
        <v>3807.06</v>
      </c>
      <c r="AJ365" s="2">
        <v>1099.67</v>
      </c>
      <c r="AK365" s="2">
        <v>1099.67</v>
      </c>
      <c r="AL365" t="str">
        <f>"$"</f>
        <v>$</v>
      </c>
    </row>
    <row r="366" spans="1:38" x14ac:dyDescent="0.3">
      <c r="A366" t="str">
        <f>"SO20000236"</f>
        <v>SO20000236</v>
      </c>
      <c r="B366" t="str">
        <f>"E000313208"</f>
        <v>E000313208</v>
      </c>
      <c r="C366" t="str">
        <f>"בוצעה"</f>
        <v>בוצעה</v>
      </c>
      <c r="E366" s="3">
        <v>43990</v>
      </c>
      <c r="F366" s="3">
        <v>44033</v>
      </c>
      <c r="G366" t="str">
        <f>"700065"</f>
        <v>700065</v>
      </c>
      <c r="H366" t="str">
        <f>"אלתא מערכות בע""מ"</f>
        <v>אלתא מערכות בע"מ</v>
      </c>
      <c r="I366" t="str">
        <f>"ערן שלו"</f>
        <v>ערן שלו</v>
      </c>
      <c r="J366" t="str">
        <f>"cust00949"</f>
        <v>cust00949</v>
      </c>
      <c r="K366" s="1" t="str">
        <f>"9004W743-001 אלתא"</f>
        <v>9004W743-001 אלתא</v>
      </c>
      <c r="L366">
        <v>2</v>
      </c>
      <c r="O366">
        <v>0</v>
      </c>
      <c r="P366" t="str">
        <f>"$"</f>
        <v>$</v>
      </c>
      <c r="Q366" t="str">
        <f>"000"</f>
        <v>000</v>
      </c>
      <c r="R366" t="str">
        <f>"כללית"</f>
        <v>כללית</v>
      </c>
      <c r="S366" t="str">
        <f>"034"</f>
        <v>034</v>
      </c>
      <c r="T366" t="str">
        <f>"חן בזק"</f>
        <v>חן בזק</v>
      </c>
      <c r="U366">
        <v>0</v>
      </c>
      <c r="V366">
        <v>0</v>
      </c>
      <c r="W366">
        <v>0</v>
      </c>
      <c r="X366">
        <v>0</v>
      </c>
      <c r="Z366" t="str">
        <f>"Y"</f>
        <v>Y</v>
      </c>
      <c r="AA366">
        <v>0</v>
      </c>
      <c r="AC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 t="str">
        <f>"$"</f>
        <v>$</v>
      </c>
    </row>
    <row r="367" spans="1:38" x14ac:dyDescent="0.3">
      <c r="A367" t="str">
        <f>"SO20000236"</f>
        <v>SO20000236</v>
      </c>
      <c r="B367" t="str">
        <f>"E000313208"</f>
        <v>E000313208</v>
      </c>
      <c r="C367" t="str">
        <f>"בוצעה"</f>
        <v>בוצעה</v>
      </c>
      <c r="E367" s="3">
        <v>43990</v>
      </c>
      <c r="F367" s="3">
        <v>44033</v>
      </c>
      <c r="G367" t="str">
        <f>"700065"</f>
        <v>700065</v>
      </c>
      <c r="H367" t="str">
        <f>"אלתא מערכות בע""מ"</f>
        <v>אלתא מערכות בע"מ</v>
      </c>
      <c r="I367" t="str">
        <f>"ערן שלו"</f>
        <v>ערן שלו</v>
      </c>
      <c r="J367" t="str">
        <f>"cust00950"</f>
        <v>cust00950</v>
      </c>
      <c r="K367" s="1" t="str">
        <f>"9004W750-001 אלתא"</f>
        <v>9004W750-001 אלתא</v>
      </c>
      <c r="L367">
        <v>2</v>
      </c>
      <c r="O367">
        <v>0</v>
      </c>
      <c r="P367" t="str">
        <f>"$"</f>
        <v>$</v>
      </c>
      <c r="Q367" t="str">
        <f>"000"</f>
        <v>000</v>
      </c>
      <c r="R367" t="str">
        <f>"כללית"</f>
        <v>כללית</v>
      </c>
      <c r="S367" t="str">
        <f>"034"</f>
        <v>034</v>
      </c>
      <c r="T367" t="str">
        <f>"חן בזק"</f>
        <v>חן בזק</v>
      </c>
      <c r="U367">
        <v>0</v>
      </c>
      <c r="V367">
        <v>0</v>
      </c>
      <c r="W367">
        <v>0</v>
      </c>
      <c r="X367">
        <v>0</v>
      </c>
      <c r="Z367" t="str">
        <f>"Y"</f>
        <v>Y</v>
      </c>
      <c r="AA367">
        <v>0</v>
      </c>
      <c r="AC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 t="str">
        <f>"$"</f>
        <v>$</v>
      </c>
    </row>
    <row r="368" spans="1:38" x14ac:dyDescent="0.3">
      <c r="A368" t="str">
        <f>"SO20000236"</f>
        <v>SO20000236</v>
      </c>
      <c r="B368" t="str">
        <f>"E000313208"</f>
        <v>E000313208</v>
      </c>
      <c r="C368" t="str">
        <f>"בוצעה"</f>
        <v>בוצעה</v>
      </c>
      <c r="E368" s="3">
        <v>43990</v>
      </c>
      <c r="F368" s="3">
        <v>44033</v>
      </c>
      <c r="G368" t="str">
        <f>"700065"</f>
        <v>700065</v>
      </c>
      <c r="H368" t="str">
        <f>"אלתא מערכות בע""מ"</f>
        <v>אלתא מערכות בע"מ</v>
      </c>
      <c r="I368" t="str">
        <f>"ערן שלו"</f>
        <v>ערן שלו</v>
      </c>
      <c r="J368" t="str">
        <f>"cust00948"</f>
        <v>cust00948</v>
      </c>
      <c r="K368" s="1" t="str">
        <f>"9004W745-001 אלתא"</f>
        <v>9004W745-001 אלתא</v>
      </c>
      <c r="L368">
        <v>2</v>
      </c>
      <c r="O368">
        <v>0</v>
      </c>
      <c r="P368" t="str">
        <f>"$"</f>
        <v>$</v>
      </c>
      <c r="Q368" t="str">
        <f>"000"</f>
        <v>000</v>
      </c>
      <c r="R368" t="str">
        <f>"כללית"</f>
        <v>כללית</v>
      </c>
      <c r="S368" t="str">
        <f>"034"</f>
        <v>034</v>
      </c>
      <c r="T368" t="str">
        <f>"חן בזק"</f>
        <v>חן בזק</v>
      </c>
      <c r="U368">
        <v>0</v>
      </c>
      <c r="V368">
        <v>0</v>
      </c>
      <c r="W368">
        <v>0</v>
      </c>
      <c r="X368">
        <v>0</v>
      </c>
      <c r="Z368" t="str">
        <f>"Y"</f>
        <v>Y</v>
      </c>
      <c r="AA368">
        <v>0</v>
      </c>
      <c r="AC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 t="str">
        <f>"$"</f>
        <v>$</v>
      </c>
    </row>
    <row r="369" spans="1:38" x14ac:dyDescent="0.3">
      <c r="A369" t="str">
        <f>"SO20000236"</f>
        <v>SO20000236</v>
      </c>
      <c r="B369" t="str">
        <f>"E000313208"</f>
        <v>E000313208</v>
      </c>
      <c r="C369" t="str">
        <f>"בוצעה"</f>
        <v>בוצעה</v>
      </c>
      <c r="E369" s="3">
        <v>43990</v>
      </c>
      <c r="F369" s="3">
        <v>44033</v>
      </c>
      <c r="G369" t="str">
        <f>"700065"</f>
        <v>700065</v>
      </c>
      <c r="H369" t="str">
        <f>"אלתא מערכות בע""מ"</f>
        <v>אלתא מערכות בע"מ</v>
      </c>
      <c r="I369" t="str">
        <f>"ערן שלו"</f>
        <v>ערן שלו</v>
      </c>
      <c r="J369" t="str">
        <f>"cust00945"</f>
        <v>cust00945</v>
      </c>
      <c r="K369" s="1" t="str">
        <f>"9004W744-001 אלתא"</f>
        <v>9004W744-001 אלתא</v>
      </c>
      <c r="L369">
        <v>2</v>
      </c>
      <c r="O369">
        <v>0</v>
      </c>
      <c r="P369" t="str">
        <f>"$"</f>
        <v>$</v>
      </c>
      <c r="Q369" t="str">
        <f>"000"</f>
        <v>000</v>
      </c>
      <c r="R369" t="str">
        <f>"כללית"</f>
        <v>כללית</v>
      </c>
      <c r="S369" t="str">
        <f>"034"</f>
        <v>034</v>
      </c>
      <c r="T369" t="str">
        <f>"חן בזק"</f>
        <v>חן בזק</v>
      </c>
      <c r="U369">
        <v>0</v>
      </c>
      <c r="V369">
        <v>0</v>
      </c>
      <c r="W369">
        <v>0</v>
      </c>
      <c r="X369">
        <v>0</v>
      </c>
      <c r="Z369" t="str">
        <f>"Y"</f>
        <v>Y</v>
      </c>
      <c r="AA369">
        <v>0</v>
      </c>
      <c r="AC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 t="str">
        <f>"$"</f>
        <v>$</v>
      </c>
    </row>
    <row r="370" spans="1:38" x14ac:dyDescent="0.3">
      <c r="A370" t="str">
        <f>"SO20000236"</f>
        <v>SO20000236</v>
      </c>
      <c r="B370" t="str">
        <f>"E000313208"</f>
        <v>E000313208</v>
      </c>
      <c r="C370" t="str">
        <f>"בוצעה"</f>
        <v>בוצעה</v>
      </c>
      <c r="E370" s="3">
        <v>43990</v>
      </c>
      <c r="F370" s="3">
        <v>44033</v>
      </c>
      <c r="G370" t="str">
        <f>"700065"</f>
        <v>700065</v>
      </c>
      <c r="H370" t="str">
        <f>"אלתא מערכות בע""מ"</f>
        <v>אלתא מערכות בע"מ</v>
      </c>
      <c r="I370" t="str">
        <f>"ערן שלו"</f>
        <v>ערן שלו</v>
      </c>
      <c r="J370" t="str">
        <f>"cust00946"</f>
        <v>cust00946</v>
      </c>
      <c r="K370" s="1" t="str">
        <f>"9004W747-001 אלתא"</f>
        <v>9004W747-001 אלתא</v>
      </c>
      <c r="L370">
        <v>2</v>
      </c>
      <c r="O370">
        <v>0</v>
      </c>
      <c r="P370" t="str">
        <f>"$"</f>
        <v>$</v>
      </c>
      <c r="Q370" t="str">
        <f>"000"</f>
        <v>000</v>
      </c>
      <c r="R370" t="str">
        <f>"כללית"</f>
        <v>כללית</v>
      </c>
      <c r="S370" t="str">
        <f>"034"</f>
        <v>034</v>
      </c>
      <c r="T370" t="str">
        <f>"חן בזק"</f>
        <v>חן בזק</v>
      </c>
      <c r="U370">
        <v>0</v>
      </c>
      <c r="V370">
        <v>0</v>
      </c>
      <c r="W370">
        <v>0</v>
      </c>
      <c r="X370">
        <v>0</v>
      </c>
      <c r="Z370" t="str">
        <f>"Y"</f>
        <v>Y</v>
      </c>
      <c r="AA370">
        <v>0</v>
      </c>
      <c r="AC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 t="str">
        <f>"$"</f>
        <v>$</v>
      </c>
    </row>
    <row r="371" spans="1:38" x14ac:dyDescent="0.3">
      <c r="A371" t="str">
        <f>"SO20000236"</f>
        <v>SO20000236</v>
      </c>
      <c r="B371" t="str">
        <f>"E000313208"</f>
        <v>E000313208</v>
      </c>
      <c r="C371" t="str">
        <f>"בוצעה"</f>
        <v>בוצעה</v>
      </c>
      <c r="E371" s="3">
        <v>43990</v>
      </c>
      <c r="F371" s="3">
        <v>44033</v>
      </c>
      <c r="G371" t="str">
        <f>"700065"</f>
        <v>700065</v>
      </c>
      <c r="H371" t="str">
        <f>"אלתא מערכות בע""מ"</f>
        <v>אלתא מערכות בע"מ</v>
      </c>
      <c r="I371" t="str">
        <f>"ערן שלו"</f>
        <v>ערן שלו</v>
      </c>
      <c r="J371" t="str">
        <f>"cust00947"</f>
        <v>cust00947</v>
      </c>
      <c r="K371" s="1" t="str">
        <f>"9004W754-001 אלתא"</f>
        <v>9004W754-001 אלתא</v>
      </c>
      <c r="L371">
        <v>2</v>
      </c>
      <c r="O371">
        <v>0</v>
      </c>
      <c r="P371" t="str">
        <f>"$"</f>
        <v>$</v>
      </c>
      <c r="Q371" t="str">
        <f>"000"</f>
        <v>000</v>
      </c>
      <c r="R371" t="str">
        <f>"כללית"</f>
        <v>כללית</v>
      </c>
      <c r="S371" t="str">
        <f>"034"</f>
        <v>034</v>
      </c>
      <c r="T371" t="str">
        <f>"חן בזק"</f>
        <v>חן בזק</v>
      </c>
      <c r="U371">
        <v>0</v>
      </c>
      <c r="V371">
        <v>0</v>
      </c>
      <c r="W371">
        <v>0</v>
      </c>
      <c r="X371">
        <v>0</v>
      </c>
      <c r="Z371" t="str">
        <f>"Y"</f>
        <v>Y</v>
      </c>
      <c r="AA371">
        <v>0</v>
      </c>
      <c r="AC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 t="str">
        <f>"$"</f>
        <v>$</v>
      </c>
    </row>
    <row r="372" spans="1:38" x14ac:dyDescent="0.3">
      <c r="A372" t="str">
        <f>"SO20000238"</f>
        <v>SO20000238</v>
      </c>
      <c r="B372" t="str">
        <f>"E000314131"</f>
        <v>E000314131</v>
      </c>
      <c r="C372" t="str">
        <f>"בוצעה"</f>
        <v>בוצעה</v>
      </c>
      <c r="E372" s="3">
        <v>43990</v>
      </c>
      <c r="F372" s="3">
        <v>44012</v>
      </c>
      <c r="G372" t="str">
        <f>"700065"</f>
        <v>700065</v>
      </c>
      <c r="H372" t="str">
        <f>"אלתא מערכות בע""מ"</f>
        <v>אלתא מערכות בע"מ</v>
      </c>
      <c r="I372" t="str">
        <f>"ערן שלו"</f>
        <v>ערן שלו</v>
      </c>
      <c r="J372" t="str">
        <f>"PS9900047"</f>
        <v>PS9900047</v>
      </c>
      <c r="K372" s="1" t="str">
        <f>"Flatpack 2 380/3000 HE"</f>
        <v>Flatpack 2 380/3000 HE</v>
      </c>
      <c r="L372">
        <v>6</v>
      </c>
      <c r="M372" t="str">
        <f>"PR20000371"</f>
        <v>PR20000371</v>
      </c>
      <c r="N372" t="str">
        <f>"PS9900047"</f>
        <v>PS9900047</v>
      </c>
      <c r="O372">
        <v>0</v>
      </c>
      <c r="P372" t="str">
        <f>"$"</f>
        <v>$</v>
      </c>
      <c r="Q372" t="str">
        <f>"000"</f>
        <v>000</v>
      </c>
      <c r="R372" t="str">
        <f>"כללית"</f>
        <v>כללית</v>
      </c>
      <c r="S372" t="str">
        <f>"034"</f>
        <v>034</v>
      </c>
      <c r="T372" t="str">
        <f>"חן בזק"</f>
        <v>חן בזק</v>
      </c>
      <c r="U372">
        <v>0</v>
      </c>
      <c r="V372">
        <v>0</v>
      </c>
      <c r="W372">
        <v>0</v>
      </c>
      <c r="X372">
        <v>0</v>
      </c>
      <c r="Z372" t="str">
        <f>"Y"</f>
        <v>Y</v>
      </c>
      <c r="AA372">
        <v>2</v>
      </c>
      <c r="AC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 t="str">
        <f>"$"</f>
        <v>$</v>
      </c>
    </row>
    <row r="373" spans="1:38" x14ac:dyDescent="0.3">
      <c r="A373" t="str">
        <f>"SO20000239"</f>
        <v>SO20000239</v>
      </c>
      <c r="B373" t="str">
        <f>"E000313924"</f>
        <v>E000313924</v>
      </c>
      <c r="C373" t="str">
        <f>"בוצעה"</f>
        <v>בוצעה</v>
      </c>
      <c r="E373" s="3">
        <v>43991</v>
      </c>
      <c r="F373" s="3">
        <v>44040</v>
      </c>
      <c r="G373" t="str">
        <f>"700065"</f>
        <v>700065</v>
      </c>
      <c r="H373" t="str">
        <f>"אלתא מערכות בע""מ"</f>
        <v>אלתא מערכות בע"מ</v>
      </c>
      <c r="I373" t="str">
        <f>"ערן שלו"</f>
        <v>ערן שלו</v>
      </c>
      <c r="J373" t="str">
        <f>"OP-AR01826"</f>
        <v>OP-AR01826</v>
      </c>
      <c r="K373" s="1" t="str">
        <f>"1039J590-001 HARNESS WV590 - ROTATING BRAKE"</f>
        <v>1039J590-001 HARNESS WV590 - ROTATING BRAKE</v>
      </c>
      <c r="L373">
        <v>1</v>
      </c>
      <c r="M373" t="str">
        <f>"PR20000375"</f>
        <v>PR20000375</v>
      </c>
      <c r="N373" t="str">
        <f>"HARNESS WV590 - ROTATING BRAKE"</f>
        <v>HARNESS WV590 - ROTATING BRAKE</v>
      </c>
      <c r="O373">
        <v>748</v>
      </c>
      <c r="P373" t="str">
        <f>"$"</f>
        <v>$</v>
      </c>
      <c r="Q373" t="str">
        <f>"000"</f>
        <v>000</v>
      </c>
      <c r="R373" t="str">
        <f>"כללית"</f>
        <v>כללית</v>
      </c>
      <c r="S373" t="str">
        <f>"034"</f>
        <v>034</v>
      </c>
      <c r="T373" t="str">
        <f>"חן בזק"</f>
        <v>חן בזק</v>
      </c>
      <c r="U373">
        <v>0</v>
      </c>
      <c r="V373">
        <v>0</v>
      </c>
      <c r="W373">
        <v>748</v>
      </c>
      <c r="X373">
        <v>748</v>
      </c>
      <c r="Z373" t="str">
        <f>"Y"</f>
        <v>Y</v>
      </c>
      <c r="AA373">
        <v>0</v>
      </c>
      <c r="AC373">
        <v>0</v>
      </c>
      <c r="AE373">
        <v>0</v>
      </c>
      <c r="AF373">
        <v>0</v>
      </c>
      <c r="AG373" s="2">
        <v>2585.84</v>
      </c>
      <c r="AH373">
        <v>0</v>
      </c>
      <c r="AI373" s="2">
        <v>2585.84</v>
      </c>
      <c r="AJ373">
        <v>748</v>
      </c>
      <c r="AK373">
        <v>748</v>
      </c>
      <c r="AL373" t="str">
        <f>"$"</f>
        <v>$</v>
      </c>
    </row>
    <row r="374" spans="1:38" x14ac:dyDescent="0.3">
      <c r="A374" t="str">
        <f>"SO20000239"</f>
        <v>SO20000239</v>
      </c>
      <c r="B374" t="str">
        <f>"E000313924"</f>
        <v>E000313924</v>
      </c>
      <c r="C374" t="str">
        <f>"בוצעה"</f>
        <v>בוצעה</v>
      </c>
      <c r="E374" s="3">
        <v>43991</v>
      </c>
      <c r="F374" s="3">
        <v>44040</v>
      </c>
      <c r="G374" t="str">
        <f>"700065"</f>
        <v>700065</v>
      </c>
      <c r="H374" t="str">
        <f>"אלתא מערכות בע""מ"</f>
        <v>אלתא מערכות בע"מ</v>
      </c>
      <c r="I374" t="str">
        <f>"ערן שלו"</f>
        <v>ערן שלו</v>
      </c>
      <c r="J374" t="str">
        <f>"OP-AR01827"</f>
        <v>OP-AR01827</v>
      </c>
      <c r="K374" s="1" t="str">
        <f>"NRE FOR E000313924"</f>
        <v>NRE FOR E000313924</v>
      </c>
      <c r="L374">
        <v>1</v>
      </c>
      <c r="M374" t="str">
        <f>"PR20000375"</f>
        <v>PR20000375</v>
      </c>
      <c r="N374" t="str">
        <f>"HARNESS WV590 - ROTATING BRAKE"</f>
        <v>HARNESS WV590 - ROTATING BRAKE</v>
      </c>
      <c r="O374">
        <v>150</v>
      </c>
      <c r="P374" t="str">
        <f>"$"</f>
        <v>$</v>
      </c>
      <c r="Q374" t="str">
        <f>"000"</f>
        <v>000</v>
      </c>
      <c r="R374" t="str">
        <f>"כללית"</f>
        <v>כללית</v>
      </c>
      <c r="S374" t="str">
        <f>"034"</f>
        <v>034</v>
      </c>
      <c r="T374" t="str">
        <f>"חן בזק"</f>
        <v>חן בזק</v>
      </c>
      <c r="U374">
        <v>0</v>
      </c>
      <c r="V374">
        <v>0</v>
      </c>
      <c r="W374">
        <v>150</v>
      </c>
      <c r="X374">
        <v>150</v>
      </c>
      <c r="Z374" t="str">
        <f>"Y"</f>
        <v>Y</v>
      </c>
      <c r="AA374">
        <v>1</v>
      </c>
      <c r="AC374">
        <v>0</v>
      </c>
      <c r="AE374">
        <v>0</v>
      </c>
      <c r="AF374">
        <v>0</v>
      </c>
      <c r="AG374">
        <v>518.54999999999995</v>
      </c>
      <c r="AH374">
        <v>0</v>
      </c>
      <c r="AI374">
        <v>518.54999999999995</v>
      </c>
      <c r="AJ374">
        <v>150</v>
      </c>
      <c r="AK374">
        <v>150</v>
      </c>
      <c r="AL374" t="str">
        <f>"$"</f>
        <v>$</v>
      </c>
    </row>
    <row r="375" spans="1:38" x14ac:dyDescent="0.3">
      <c r="A375" t="str">
        <f>"SO20000247"</f>
        <v>SO20000247</v>
      </c>
      <c r="B375" t="str">
        <f>"E000314316"</f>
        <v>E000314316</v>
      </c>
      <c r="C375" t="str">
        <f>"בוצעה"</f>
        <v>בוצעה</v>
      </c>
      <c r="E375" s="3">
        <v>43997</v>
      </c>
      <c r="F375" s="3">
        <v>44094</v>
      </c>
      <c r="G375" t="str">
        <f>"700065"</f>
        <v>700065</v>
      </c>
      <c r="H375" t="str">
        <f>"אלתא מערכות בע""מ"</f>
        <v>אלתא מערכות בע"מ</v>
      </c>
      <c r="I375" t="str">
        <f>"ערן שלו"</f>
        <v>ערן שלו</v>
      </c>
      <c r="J375" t="str">
        <f>"OP-AR01834"</f>
        <v>OP-AR01834</v>
      </c>
      <c r="K375" s="1" t="str">
        <f>"3025Y493-001 POWER CABLE W493"</f>
        <v>3025Y493-001 POWER CABLE W493</v>
      </c>
      <c r="L375">
        <v>1</v>
      </c>
      <c r="M375" t="str">
        <f>"PR20000387"</f>
        <v>PR20000387</v>
      </c>
      <c r="N375" t="str">
        <f>"ABLE W493 - RACK 8 - CONVERTER 1"</f>
        <v>ABLE W493 - RACK 8 - CONVERTER 1</v>
      </c>
      <c r="O375">
        <v>279.8</v>
      </c>
      <c r="P375" t="str">
        <f>"$"</f>
        <v>$</v>
      </c>
      <c r="Q375" t="str">
        <f>"000"</f>
        <v>000</v>
      </c>
      <c r="R375" t="str">
        <f>"כללית"</f>
        <v>כללית</v>
      </c>
      <c r="S375" t="str">
        <f>"034"</f>
        <v>034</v>
      </c>
      <c r="T375" t="str">
        <f>"חן בזק"</f>
        <v>חן בזק</v>
      </c>
      <c r="U375">
        <v>0</v>
      </c>
      <c r="V375">
        <v>0</v>
      </c>
      <c r="W375">
        <v>279.8</v>
      </c>
      <c r="X375">
        <v>279.8</v>
      </c>
      <c r="Z375" t="str">
        <f>"Y"</f>
        <v>Y</v>
      </c>
      <c r="AA375">
        <v>0</v>
      </c>
      <c r="AC375">
        <v>0</v>
      </c>
      <c r="AE375">
        <v>0</v>
      </c>
      <c r="AF375">
        <v>0</v>
      </c>
      <c r="AG375">
        <v>977.9</v>
      </c>
      <c r="AH375">
        <v>0</v>
      </c>
      <c r="AI375">
        <v>977.9</v>
      </c>
      <c r="AJ375">
        <v>279.8</v>
      </c>
      <c r="AK375">
        <v>279.8</v>
      </c>
      <c r="AL375" t="str">
        <f>"$"</f>
        <v>$</v>
      </c>
    </row>
    <row r="376" spans="1:38" x14ac:dyDescent="0.3">
      <c r="A376" t="str">
        <f>"SO20000247"</f>
        <v>SO20000247</v>
      </c>
      <c r="B376" t="str">
        <f>"E000314316"</f>
        <v>E000314316</v>
      </c>
      <c r="C376" t="str">
        <f>"בוצעה"</f>
        <v>בוצעה</v>
      </c>
      <c r="E376" s="3">
        <v>43997</v>
      </c>
      <c r="F376" s="3">
        <v>44094</v>
      </c>
      <c r="G376" t="str">
        <f>"700065"</f>
        <v>700065</v>
      </c>
      <c r="H376" t="str">
        <f>"אלתא מערכות בע""מ"</f>
        <v>אלתא מערכות בע"מ</v>
      </c>
      <c r="I376" t="str">
        <f>"ערן שלו"</f>
        <v>ערן שלו</v>
      </c>
      <c r="J376" t="str">
        <f>"OP-AR01835"</f>
        <v>OP-AR01835</v>
      </c>
      <c r="K376" s="1" t="str">
        <f>"3025Y494-001 GROUND CABLE W494"</f>
        <v>3025Y494-001 GROUND CABLE W494</v>
      </c>
      <c r="L376">
        <v>1</v>
      </c>
      <c r="M376" t="str">
        <f>"PR20000387"</f>
        <v>PR20000387</v>
      </c>
      <c r="N376" t="str">
        <f>"ABLE W493 - RACK 8 - CONVERTER 1"</f>
        <v>ABLE W493 - RACK 8 - CONVERTER 1</v>
      </c>
      <c r="O376">
        <v>285.35000000000002</v>
      </c>
      <c r="P376" t="str">
        <f>"$"</f>
        <v>$</v>
      </c>
      <c r="Q376" t="str">
        <f>"000"</f>
        <v>000</v>
      </c>
      <c r="R376" t="str">
        <f>"כללית"</f>
        <v>כללית</v>
      </c>
      <c r="S376" t="str">
        <f>"034"</f>
        <v>034</v>
      </c>
      <c r="T376" t="str">
        <f>"חן בזק"</f>
        <v>חן בזק</v>
      </c>
      <c r="U376">
        <v>0</v>
      </c>
      <c r="V376">
        <v>0</v>
      </c>
      <c r="W376">
        <v>285.35000000000002</v>
      </c>
      <c r="X376">
        <v>285.35000000000002</v>
      </c>
      <c r="Z376" t="str">
        <f>"Y"</f>
        <v>Y</v>
      </c>
      <c r="AA376">
        <v>0</v>
      </c>
      <c r="AC376">
        <v>0</v>
      </c>
      <c r="AE376">
        <v>0</v>
      </c>
      <c r="AF376">
        <v>0</v>
      </c>
      <c r="AG376">
        <v>997.3</v>
      </c>
      <c r="AH376">
        <v>0</v>
      </c>
      <c r="AI376">
        <v>997.3</v>
      </c>
      <c r="AJ376">
        <v>285.35000000000002</v>
      </c>
      <c r="AK376">
        <v>285.35000000000002</v>
      </c>
      <c r="AL376" t="str">
        <f>"$"</f>
        <v>$</v>
      </c>
    </row>
    <row r="377" spans="1:38" x14ac:dyDescent="0.3">
      <c r="A377" t="str">
        <f>"SO20000247"</f>
        <v>SO20000247</v>
      </c>
      <c r="B377" t="str">
        <f>"E000314316"</f>
        <v>E000314316</v>
      </c>
      <c r="C377" t="str">
        <f>"בוצעה"</f>
        <v>בוצעה</v>
      </c>
      <c r="E377" s="3">
        <v>43997</v>
      </c>
      <c r="F377" s="3">
        <v>44094</v>
      </c>
      <c r="G377" t="str">
        <f>"700065"</f>
        <v>700065</v>
      </c>
      <c r="H377" t="str">
        <f>"אלתא מערכות בע""מ"</f>
        <v>אלתא מערכות בע"מ</v>
      </c>
      <c r="I377" t="str">
        <f>"ערן שלו"</f>
        <v>ערן שלו</v>
      </c>
      <c r="J377" t="str">
        <f>"OP-AR01836"</f>
        <v>OP-AR01836</v>
      </c>
      <c r="K377" s="1" t="str">
        <f>"3025Y495-001 ETHERNET CABLE W495"</f>
        <v>3025Y495-001 ETHERNET CABLE W495</v>
      </c>
      <c r="L377">
        <v>1</v>
      </c>
      <c r="M377" t="str">
        <f>"PR20000387"</f>
        <v>PR20000387</v>
      </c>
      <c r="N377" t="str">
        <f>"ABLE W493 - RACK 8 - CONVERTER 1"</f>
        <v>ABLE W493 - RACK 8 - CONVERTER 1</v>
      </c>
      <c r="O377">
        <v>274.86</v>
      </c>
      <c r="P377" t="str">
        <f>"$"</f>
        <v>$</v>
      </c>
      <c r="Q377" t="str">
        <f>"000"</f>
        <v>000</v>
      </c>
      <c r="R377" t="str">
        <f>"כללית"</f>
        <v>כללית</v>
      </c>
      <c r="S377" t="str">
        <f>"034"</f>
        <v>034</v>
      </c>
      <c r="T377" t="str">
        <f>"חן בזק"</f>
        <v>חן בזק</v>
      </c>
      <c r="U377">
        <v>0</v>
      </c>
      <c r="V377">
        <v>0</v>
      </c>
      <c r="W377">
        <v>274.86</v>
      </c>
      <c r="X377">
        <v>274.86</v>
      </c>
      <c r="Z377" t="str">
        <f>"Y"</f>
        <v>Y</v>
      </c>
      <c r="AA377">
        <v>0</v>
      </c>
      <c r="AC377">
        <v>0</v>
      </c>
      <c r="AE377">
        <v>0</v>
      </c>
      <c r="AF377">
        <v>0</v>
      </c>
      <c r="AG377">
        <v>960.64</v>
      </c>
      <c r="AH377">
        <v>0</v>
      </c>
      <c r="AI377">
        <v>960.64</v>
      </c>
      <c r="AJ377">
        <v>274.86</v>
      </c>
      <c r="AK377">
        <v>274.86</v>
      </c>
      <c r="AL377" t="str">
        <f>"$"</f>
        <v>$</v>
      </c>
    </row>
    <row r="378" spans="1:38" x14ac:dyDescent="0.3">
      <c r="A378" t="str">
        <f>"SO20000247"</f>
        <v>SO20000247</v>
      </c>
      <c r="B378" t="str">
        <f>"E000314316"</f>
        <v>E000314316</v>
      </c>
      <c r="C378" t="str">
        <f>"בוצעה"</f>
        <v>בוצעה</v>
      </c>
      <c r="E378" s="3">
        <v>43997</v>
      </c>
      <c r="F378" s="3">
        <v>44131</v>
      </c>
      <c r="G378" t="str">
        <f>"700065"</f>
        <v>700065</v>
      </c>
      <c r="H378" t="str">
        <f>"אלתא מערכות בע""מ"</f>
        <v>אלתא מערכות בע"מ</v>
      </c>
      <c r="I378" t="str">
        <f>"ערן שלו"</f>
        <v>ערן שלו</v>
      </c>
      <c r="J378" t="str">
        <f>"OP-AR01835"</f>
        <v>OP-AR01835</v>
      </c>
      <c r="K378" s="1" t="str">
        <f>"3025Y494-001 GROUND CABLE W494"</f>
        <v>3025Y494-001 GROUND CABLE W494</v>
      </c>
      <c r="L378">
        <v>1</v>
      </c>
      <c r="M378" t="str">
        <f>"PR20000387"</f>
        <v>PR20000387</v>
      </c>
      <c r="N378" t="str">
        <f>"ABLE W493 - RACK 8 - CONVERTER 1"</f>
        <v>ABLE W493 - RACK 8 - CONVERTER 1</v>
      </c>
      <c r="O378">
        <v>0</v>
      </c>
      <c r="P378" t="str">
        <f>"$"</f>
        <v>$</v>
      </c>
      <c r="Q378" t="str">
        <f>"000"</f>
        <v>000</v>
      </c>
      <c r="R378" t="str">
        <f>"כללית"</f>
        <v>כללית</v>
      </c>
      <c r="S378" t="str">
        <f>"034"</f>
        <v>034</v>
      </c>
      <c r="T378" t="str">
        <f>"חן בזק"</f>
        <v>חן בזק</v>
      </c>
      <c r="U378">
        <v>0</v>
      </c>
      <c r="V378">
        <v>0</v>
      </c>
      <c r="W378">
        <v>0</v>
      </c>
      <c r="X378">
        <v>0</v>
      </c>
      <c r="Z378" t="str">
        <f>"Y"</f>
        <v>Y</v>
      </c>
      <c r="AA378">
        <v>0</v>
      </c>
      <c r="AC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 t="str">
        <f>"$"</f>
        <v>$</v>
      </c>
    </row>
    <row r="379" spans="1:38" x14ac:dyDescent="0.3">
      <c r="A379" t="str">
        <f>"SO20000247"</f>
        <v>SO20000247</v>
      </c>
      <c r="B379" t="str">
        <f>"E000314316"</f>
        <v>E000314316</v>
      </c>
      <c r="C379" t="str">
        <f>"בוצעה"</f>
        <v>בוצעה</v>
      </c>
      <c r="E379" s="3">
        <v>43997</v>
      </c>
      <c r="F379" s="3">
        <v>44094</v>
      </c>
      <c r="G379" t="str">
        <f>"700065"</f>
        <v>700065</v>
      </c>
      <c r="H379" t="str">
        <f>"אלתא מערכות בע""מ"</f>
        <v>אלתא מערכות בע"מ</v>
      </c>
      <c r="I379" t="str">
        <f>"ערן שלו"</f>
        <v>ערן שלו</v>
      </c>
      <c r="J379" t="str">
        <f>"OP-AR01837"</f>
        <v>OP-AR01837</v>
      </c>
      <c r="K379" s="1" t="str">
        <f>"3025Y496-001 ETHERNET CABLE W496"</f>
        <v>3025Y496-001 ETHERNET CABLE W496</v>
      </c>
      <c r="L379">
        <v>1</v>
      </c>
      <c r="M379" t="str">
        <f>"PR20000387"</f>
        <v>PR20000387</v>
      </c>
      <c r="N379" t="str">
        <f>"ABLE W493 - RACK 8 - CONVERTER 1"</f>
        <v>ABLE W493 - RACK 8 - CONVERTER 1</v>
      </c>
      <c r="O379">
        <v>274.86</v>
      </c>
      <c r="P379" t="str">
        <f>"$"</f>
        <v>$</v>
      </c>
      <c r="Q379" t="str">
        <f>"000"</f>
        <v>000</v>
      </c>
      <c r="R379" t="str">
        <f>"כללית"</f>
        <v>כללית</v>
      </c>
      <c r="S379" t="str">
        <f>"034"</f>
        <v>034</v>
      </c>
      <c r="T379" t="str">
        <f>"חן בזק"</f>
        <v>חן בזק</v>
      </c>
      <c r="U379">
        <v>0</v>
      </c>
      <c r="V379">
        <v>0</v>
      </c>
      <c r="W379">
        <v>274.86</v>
      </c>
      <c r="X379">
        <v>274.86</v>
      </c>
      <c r="Z379" t="str">
        <f>"Y"</f>
        <v>Y</v>
      </c>
      <c r="AA379">
        <v>0</v>
      </c>
      <c r="AC379">
        <v>0</v>
      </c>
      <c r="AE379">
        <v>0</v>
      </c>
      <c r="AF379">
        <v>0</v>
      </c>
      <c r="AG379">
        <v>960.64</v>
      </c>
      <c r="AH379">
        <v>0</v>
      </c>
      <c r="AI379">
        <v>960.64</v>
      </c>
      <c r="AJ379">
        <v>274.86</v>
      </c>
      <c r="AK379">
        <v>274.86</v>
      </c>
      <c r="AL379" t="str">
        <f>"$"</f>
        <v>$</v>
      </c>
    </row>
    <row r="380" spans="1:38" x14ac:dyDescent="0.3">
      <c r="A380" t="str">
        <f>"SO20000247"</f>
        <v>SO20000247</v>
      </c>
      <c r="B380" t="str">
        <f>"E000314316"</f>
        <v>E000314316</v>
      </c>
      <c r="C380" t="str">
        <f>"בוצעה"</f>
        <v>בוצעה</v>
      </c>
      <c r="E380" s="3">
        <v>43997</v>
      </c>
      <c r="F380" s="3">
        <v>44094</v>
      </c>
      <c r="G380" t="str">
        <f>"700065"</f>
        <v>700065</v>
      </c>
      <c r="H380" t="str">
        <f>"אלתא מערכות בע""מ"</f>
        <v>אלתא מערכות בע"מ</v>
      </c>
      <c r="I380" t="str">
        <f>"ערן שלו"</f>
        <v>ערן שלו</v>
      </c>
      <c r="J380" t="str">
        <f>"OP-AR01838"</f>
        <v>OP-AR01838</v>
      </c>
      <c r="K380" s="1" t="str">
        <f>"3025Y497-001 ETHERNET CABLE W497"</f>
        <v>3025Y497-001 ETHERNET CABLE W497</v>
      </c>
      <c r="L380">
        <v>1</v>
      </c>
      <c r="M380" t="str">
        <f>"PR20000387"</f>
        <v>PR20000387</v>
      </c>
      <c r="N380" t="str">
        <f>"ABLE W493 - RACK 8 - CONVERTER 1"</f>
        <v>ABLE W493 - RACK 8 - CONVERTER 1</v>
      </c>
      <c r="O380">
        <v>274.86</v>
      </c>
      <c r="P380" t="str">
        <f>"$"</f>
        <v>$</v>
      </c>
      <c r="Q380" t="str">
        <f>"000"</f>
        <v>000</v>
      </c>
      <c r="R380" t="str">
        <f>"כללית"</f>
        <v>כללית</v>
      </c>
      <c r="S380" t="str">
        <f>"034"</f>
        <v>034</v>
      </c>
      <c r="T380" t="str">
        <f>"חן בזק"</f>
        <v>חן בזק</v>
      </c>
      <c r="U380">
        <v>0</v>
      </c>
      <c r="V380">
        <v>0</v>
      </c>
      <c r="W380">
        <v>274.86</v>
      </c>
      <c r="X380">
        <v>274.86</v>
      </c>
      <c r="Z380" t="str">
        <f>"Y"</f>
        <v>Y</v>
      </c>
      <c r="AA380">
        <v>0</v>
      </c>
      <c r="AC380">
        <v>0</v>
      </c>
      <c r="AE380">
        <v>0</v>
      </c>
      <c r="AF380">
        <v>0</v>
      </c>
      <c r="AG380">
        <v>960.64</v>
      </c>
      <c r="AH380">
        <v>0</v>
      </c>
      <c r="AI380">
        <v>960.64</v>
      </c>
      <c r="AJ380">
        <v>274.86</v>
      </c>
      <c r="AK380">
        <v>274.86</v>
      </c>
      <c r="AL380" t="str">
        <f>"$"</f>
        <v>$</v>
      </c>
    </row>
    <row r="381" spans="1:38" x14ac:dyDescent="0.3">
      <c r="A381" t="str">
        <f>"SO20000247"</f>
        <v>SO20000247</v>
      </c>
      <c r="B381" t="str">
        <f>"E000314316"</f>
        <v>E000314316</v>
      </c>
      <c r="C381" t="str">
        <f>"בוצעה"</f>
        <v>בוצעה</v>
      </c>
      <c r="E381" s="3">
        <v>43997</v>
      </c>
      <c r="F381" s="3">
        <v>44094</v>
      </c>
      <c r="G381" t="str">
        <f>"700065"</f>
        <v>700065</v>
      </c>
      <c r="H381" t="str">
        <f>"אלתא מערכות בע""מ"</f>
        <v>אלתא מערכות בע"מ</v>
      </c>
      <c r="I381" t="str">
        <f>"ערן שלו"</f>
        <v>ערן שלו</v>
      </c>
      <c r="J381" t="str">
        <f>"OP-AR01839"</f>
        <v>OP-AR01839</v>
      </c>
      <c r="K381" s="1" t="str">
        <f>"3025Y498-001 ETHERNET CABLE W498"</f>
        <v>3025Y498-001 ETHERNET CABLE W498</v>
      </c>
      <c r="L381">
        <v>1</v>
      </c>
      <c r="M381" t="str">
        <f>"PR20000387"</f>
        <v>PR20000387</v>
      </c>
      <c r="N381" t="str">
        <f>"ABLE W493 - RACK 8 - CONVERTER 1"</f>
        <v>ABLE W493 - RACK 8 - CONVERTER 1</v>
      </c>
      <c r="O381">
        <v>274.86</v>
      </c>
      <c r="P381" t="str">
        <f>"$"</f>
        <v>$</v>
      </c>
      <c r="Q381" t="str">
        <f>"000"</f>
        <v>000</v>
      </c>
      <c r="R381" t="str">
        <f>"כללית"</f>
        <v>כללית</v>
      </c>
      <c r="S381" t="str">
        <f>"034"</f>
        <v>034</v>
      </c>
      <c r="T381" t="str">
        <f>"חן בזק"</f>
        <v>חן בזק</v>
      </c>
      <c r="U381">
        <v>0</v>
      </c>
      <c r="V381">
        <v>0</v>
      </c>
      <c r="W381">
        <v>274.86</v>
      </c>
      <c r="X381">
        <v>274.86</v>
      </c>
      <c r="Z381" t="str">
        <f>"Y"</f>
        <v>Y</v>
      </c>
      <c r="AA381">
        <v>0</v>
      </c>
      <c r="AC381">
        <v>0</v>
      </c>
      <c r="AE381">
        <v>0</v>
      </c>
      <c r="AF381">
        <v>0</v>
      </c>
      <c r="AG381">
        <v>960.64</v>
      </c>
      <c r="AH381">
        <v>0</v>
      </c>
      <c r="AI381">
        <v>960.64</v>
      </c>
      <c r="AJ381">
        <v>274.86</v>
      </c>
      <c r="AK381">
        <v>274.86</v>
      </c>
      <c r="AL381" t="str">
        <f>"$"</f>
        <v>$</v>
      </c>
    </row>
    <row r="382" spans="1:38" x14ac:dyDescent="0.3">
      <c r="A382" t="str">
        <f>"SO20000247"</f>
        <v>SO20000247</v>
      </c>
      <c r="B382" t="str">
        <f>"E000314316"</f>
        <v>E000314316</v>
      </c>
      <c r="C382" t="str">
        <f>"בוצעה"</f>
        <v>בוצעה</v>
      </c>
      <c r="E382" s="3">
        <v>43997</v>
      </c>
      <c r="F382" s="3">
        <v>44094</v>
      </c>
      <c r="G382" t="str">
        <f>"700065"</f>
        <v>700065</v>
      </c>
      <c r="H382" t="str">
        <f>"אלתא מערכות בע""מ"</f>
        <v>אלתא מערכות בע"מ</v>
      </c>
      <c r="I382" t="str">
        <f>"ערן שלו"</f>
        <v>ערן שלו</v>
      </c>
      <c r="J382" t="str">
        <f>"OP-AR01840"</f>
        <v>OP-AR01840</v>
      </c>
      <c r="K382" s="1" t="str">
        <f>"NRE FOR E000314316"</f>
        <v>NRE FOR E000314316</v>
      </c>
      <c r="L382">
        <v>1</v>
      </c>
      <c r="M382" t="str">
        <f>"PR20000387"</f>
        <v>PR20000387</v>
      </c>
      <c r="N382" t="str">
        <f>"ABLE W493 - RACK 8 - CONVERTER 1"</f>
        <v>ABLE W493 - RACK 8 - CONVERTER 1</v>
      </c>
      <c r="O382">
        <v>350</v>
      </c>
      <c r="P382" t="str">
        <f>"$"</f>
        <v>$</v>
      </c>
      <c r="Q382" t="str">
        <f>"000"</f>
        <v>000</v>
      </c>
      <c r="R382" t="str">
        <f>"כללית"</f>
        <v>כללית</v>
      </c>
      <c r="S382" t="str">
        <f>"034"</f>
        <v>034</v>
      </c>
      <c r="T382" t="str">
        <f>"חן בזק"</f>
        <v>חן בזק</v>
      </c>
      <c r="U382">
        <v>0</v>
      </c>
      <c r="V382">
        <v>0</v>
      </c>
      <c r="W382">
        <v>350</v>
      </c>
      <c r="X382">
        <v>350</v>
      </c>
      <c r="Z382" t="str">
        <f>"Y"</f>
        <v>Y</v>
      </c>
      <c r="AA382">
        <v>0</v>
      </c>
      <c r="AC382">
        <v>0</v>
      </c>
      <c r="AE382">
        <v>0</v>
      </c>
      <c r="AF382">
        <v>0</v>
      </c>
      <c r="AG382" s="2">
        <v>1223.25</v>
      </c>
      <c r="AH382">
        <v>0</v>
      </c>
      <c r="AI382" s="2">
        <v>1223.25</v>
      </c>
      <c r="AJ382">
        <v>350</v>
      </c>
      <c r="AK382">
        <v>350</v>
      </c>
      <c r="AL382" t="str">
        <f>"$"</f>
        <v>$</v>
      </c>
    </row>
    <row r="383" spans="1:38" x14ac:dyDescent="0.3">
      <c r="A383" t="str">
        <f>"SO20000254"</f>
        <v>SO20000254</v>
      </c>
      <c r="B383" t="str">
        <f>"E000314861"</f>
        <v>E000314861</v>
      </c>
      <c r="C383" t="str">
        <f>"בוצעה"</f>
        <v>בוצעה</v>
      </c>
      <c r="E383" s="3">
        <v>43998</v>
      </c>
      <c r="F383" s="3">
        <v>44195</v>
      </c>
      <c r="G383" t="str">
        <f>"700065"</f>
        <v>700065</v>
      </c>
      <c r="H383" t="str">
        <f>"אלתא מערכות בע""מ"</f>
        <v>אלתא מערכות בע"מ</v>
      </c>
      <c r="I383" t="str">
        <f>"ערן שלו"</f>
        <v>ערן שלו</v>
      </c>
      <c r="J383" t="str">
        <f>"OP-PD03364"</f>
        <v>OP-PD03364</v>
      </c>
      <c r="K383" s="1" t="str">
        <f>"לוח אינטגרצייה ABDS"</f>
        <v>לוח אינטגרצייה ABDS</v>
      </c>
      <c r="L383">
        <v>1</v>
      </c>
      <c r="M383" t="str">
        <f>"PR20000439"</f>
        <v>PR20000439</v>
      </c>
      <c r="N383" t="str">
        <f>"ייצור לוח אינטגרצייה ABDS"</f>
        <v>ייצור לוח אינטגרצייה ABDS</v>
      </c>
      <c r="O383" s="2">
        <v>15408.99</v>
      </c>
      <c r="P383" t="str">
        <f>"ש""ח"</f>
        <v>ש"ח</v>
      </c>
      <c r="Q383" t="str">
        <f>"000"</f>
        <v>000</v>
      </c>
      <c r="R383" t="str">
        <f>"כללית"</f>
        <v>כללית</v>
      </c>
      <c r="S383" t="str">
        <f>"034"</f>
        <v>034</v>
      </c>
      <c r="T383" t="str">
        <f>"חן בזק"</f>
        <v>חן בזק</v>
      </c>
      <c r="U383">
        <v>0</v>
      </c>
      <c r="V383">
        <v>0</v>
      </c>
      <c r="W383" s="2">
        <v>53500</v>
      </c>
      <c r="X383" s="2">
        <v>15408.99</v>
      </c>
      <c r="Z383" t="str">
        <f>"Y"</f>
        <v>Y</v>
      </c>
      <c r="AA383">
        <v>0</v>
      </c>
      <c r="AC383">
        <v>0</v>
      </c>
      <c r="AE383">
        <v>0</v>
      </c>
      <c r="AF383">
        <v>0</v>
      </c>
      <c r="AG383" s="2">
        <v>53500</v>
      </c>
      <c r="AH383">
        <v>0</v>
      </c>
      <c r="AI383" s="2">
        <v>53500</v>
      </c>
      <c r="AJ383" s="2">
        <v>53500</v>
      </c>
      <c r="AK383" s="2">
        <v>53500</v>
      </c>
      <c r="AL383" t="str">
        <f>"ש""ח"</f>
        <v>ש"ח</v>
      </c>
    </row>
    <row r="384" spans="1:38" x14ac:dyDescent="0.3">
      <c r="A384" t="str">
        <f>"SO20000255"</f>
        <v>SO20000255</v>
      </c>
      <c r="B384" t="str">
        <f>"E000313284"</f>
        <v>E000313284</v>
      </c>
      <c r="C384" t="str">
        <f>"בוצעה"</f>
        <v>בוצעה</v>
      </c>
      <c r="E384" s="3">
        <v>43998</v>
      </c>
      <c r="F384" s="3">
        <v>44042</v>
      </c>
      <c r="G384" t="str">
        <f>"700065"</f>
        <v>700065</v>
      </c>
      <c r="H384" t="str">
        <f>"אלתא מערכות בע""מ"</f>
        <v>אלתא מערכות בע"מ</v>
      </c>
      <c r="I384" t="str">
        <f>"ערן שלו"</f>
        <v>ערן שלו</v>
      </c>
      <c r="J384" t="str">
        <f>"OP-AR01297"</f>
        <v>OP-AR01297</v>
      </c>
      <c r="K384" s="1" t="str">
        <f>"שדרוג יחידה LB PDB"</f>
        <v>שדרוג יחידה LB PDB</v>
      </c>
      <c r="L384">
        <v>1</v>
      </c>
      <c r="M384" t="str">
        <f>"PR19000454"</f>
        <v>PR19000454</v>
      </c>
      <c r="N384" t="str">
        <f>"שדרוג יחידות LB PDB"</f>
        <v>שדרוג יחידות LB PDB</v>
      </c>
      <c r="O384" s="2">
        <v>2549</v>
      </c>
      <c r="P384" t="str">
        <f>"$"</f>
        <v>$</v>
      </c>
      <c r="Q384" t="str">
        <f>"000"</f>
        <v>000</v>
      </c>
      <c r="R384" t="str">
        <f>"כללית"</f>
        <v>כללית</v>
      </c>
      <c r="S384" t="str">
        <f>"034"</f>
        <v>034</v>
      </c>
      <c r="T384" t="str">
        <f>"חן בזק"</f>
        <v>חן בזק</v>
      </c>
      <c r="U384">
        <v>0</v>
      </c>
      <c r="V384">
        <v>0</v>
      </c>
      <c r="W384" s="2">
        <v>2549</v>
      </c>
      <c r="X384" s="2">
        <v>2549</v>
      </c>
      <c r="Z384" t="str">
        <f>"Y"</f>
        <v>Y</v>
      </c>
      <c r="AA384">
        <v>0</v>
      </c>
      <c r="AC384">
        <v>0</v>
      </c>
      <c r="AE384">
        <v>0</v>
      </c>
      <c r="AF384">
        <v>0</v>
      </c>
      <c r="AG384" s="2">
        <v>8850.1299999999992</v>
      </c>
      <c r="AH384">
        <v>0</v>
      </c>
      <c r="AI384" s="2">
        <v>8850.1299999999992</v>
      </c>
      <c r="AJ384" s="2">
        <v>2549</v>
      </c>
      <c r="AK384" s="2">
        <v>2549</v>
      </c>
      <c r="AL384" t="str">
        <f>"$"</f>
        <v>$</v>
      </c>
    </row>
    <row r="385" spans="1:38" x14ac:dyDescent="0.3">
      <c r="A385" t="str">
        <f>"SO20000255"</f>
        <v>SO20000255</v>
      </c>
      <c r="B385" t="str">
        <f>"E000313284"</f>
        <v>E000313284</v>
      </c>
      <c r="C385" t="str">
        <f>"בוצעה"</f>
        <v>בוצעה</v>
      </c>
      <c r="E385" s="3">
        <v>43998</v>
      </c>
      <c r="F385" s="3">
        <v>44089</v>
      </c>
      <c r="G385" t="str">
        <f>"700065"</f>
        <v>700065</v>
      </c>
      <c r="H385" t="str">
        <f>"אלתא מערכות בע""מ"</f>
        <v>אלתא מערכות בע"מ</v>
      </c>
      <c r="I385" t="str">
        <f>"ערן שלו"</f>
        <v>ערן שלו</v>
      </c>
      <c r="J385" t="str">
        <f>"OP-AR01297"</f>
        <v>OP-AR01297</v>
      </c>
      <c r="K385" s="1" t="str">
        <f>"שדרוג יחידה LB PDB"</f>
        <v>שדרוג יחידה LB PDB</v>
      </c>
      <c r="L385">
        <v>1</v>
      </c>
      <c r="M385" t="str">
        <f>"PR19000454"</f>
        <v>PR19000454</v>
      </c>
      <c r="N385" t="str">
        <f>"שדרוג יחידות LB PDB"</f>
        <v>שדרוג יחידות LB PDB</v>
      </c>
      <c r="O385" s="2">
        <v>2549</v>
      </c>
      <c r="P385" t="str">
        <f>"$"</f>
        <v>$</v>
      </c>
      <c r="Q385" t="str">
        <f>"000"</f>
        <v>000</v>
      </c>
      <c r="R385" t="str">
        <f>"כללית"</f>
        <v>כללית</v>
      </c>
      <c r="S385" t="str">
        <f>"034"</f>
        <v>034</v>
      </c>
      <c r="T385" t="str">
        <f>"חן בזק"</f>
        <v>חן בזק</v>
      </c>
      <c r="U385">
        <v>0</v>
      </c>
      <c r="V385">
        <v>0</v>
      </c>
      <c r="W385" s="2">
        <v>2549</v>
      </c>
      <c r="X385" s="2">
        <v>2549</v>
      </c>
      <c r="Z385" t="str">
        <f>"Y"</f>
        <v>Y</v>
      </c>
      <c r="AA385">
        <v>0</v>
      </c>
      <c r="AC385">
        <v>0</v>
      </c>
      <c r="AE385">
        <v>0</v>
      </c>
      <c r="AF385">
        <v>0</v>
      </c>
      <c r="AG385" s="2">
        <v>8850.1299999999992</v>
      </c>
      <c r="AH385">
        <v>0</v>
      </c>
      <c r="AI385" s="2">
        <v>8850.1299999999992</v>
      </c>
      <c r="AJ385" s="2">
        <v>2549</v>
      </c>
      <c r="AK385" s="2">
        <v>2549</v>
      </c>
      <c r="AL385" t="str">
        <f>"$"</f>
        <v>$</v>
      </c>
    </row>
    <row r="386" spans="1:38" x14ac:dyDescent="0.3">
      <c r="A386" t="str">
        <f>"SO20000256"</f>
        <v>SO20000256</v>
      </c>
      <c r="B386" t="str">
        <f>"פנימית"</f>
        <v>פנימית</v>
      </c>
      <c r="C386" t="str">
        <f>"מאושרת לבצוע"</f>
        <v>מאושרת לבצוע</v>
      </c>
      <c r="E386" s="3">
        <v>43999</v>
      </c>
      <c r="F386" s="3">
        <v>43999</v>
      </c>
      <c r="G386" t="str">
        <f>"700065"</f>
        <v>700065</v>
      </c>
      <c r="H386" t="str">
        <f>"אלתא מערכות בע""מ"</f>
        <v>אלתא מערכות בע"מ</v>
      </c>
      <c r="I386" t="str">
        <f>"ערן שלו"</f>
        <v>ערן שלו</v>
      </c>
      <c r="J386" t="str">
        <f>"cust00955"</f>
        <v>cust00955</v>
      </c>
      <c r="K386" s="1" t="str">
        <f>"AM530D-N בקר אלתא"</f>
        <v>AM530D-N בקר אלתא</v>
      </c>
      <c r="L386">
        <v>4</v>
      </c>
      <c r="M386" t="str">
        <f>"PR19000739"</f>
        <v>PR19000739</v>
      </c>
      <c r="N386" t="str">
        <f>"תמיכה במערכת הריבון"</f>
        <v>תמיכה במערכת הריבון</v>
      </c>
      <c r="O386">
        <v>0</v>
      </c>
      <c r="P386" t="str">
        <f>"$"</f>
        <v>$</v>
      </c>
      <c r="Q386" t="str">
        <f>"000"</f>
        <v>000</v>
      </c>
      <c r="R386" t="str">
        <f>"כללית"</f>
        <v>כללית</v>
      </c>
      <c r="S386" t="str">
        <f>"034"</f>
        <v>034</v>
      </c>
      <c r="T386" t="str">
        <f>"חן בזק"</f>
        <v>חן בזק</v>
      </c>
      <c r="U386">
        <v>0</v>
      </c>
      <c r="V386">
        <v>0</v>
      </c>
      <c r="W386">
        <v>0</v>
      </c>
      <c r="X386">
        <v>0</v>
      </c>
      <c r="AA386">
        <v>4</v>
      </c>
      <c r="AC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 t="str">
        <f>"$"</f>
        <v>$</v>
      </c>
    </row>
    <row r="387" spans="1:38" x14ac:dyDescent="0.3">
      <c r="A387" t="str">
        <f>"SO20000273"</f>
        <v>SO20000273</v>
      </c>
      <c r="B387" t="str">
        <f>"E000315589"</f>
        <v>E000315589</v>
      </c>
      <c r="C387" t="str">
        <f>"בוצעה"</f>
        <v>בוצעה</v>
      </c>
      <c r="E387" s="3">
        <v>44006</v>
      </c>
      <c r="F387" s="3">
        <v>44010</v>
      </c>
      <c r="G387" t="str">
        <f>"700065"</f>
        <v>700065</v>
      </c>
      <c r="H387" t="str">
        <f>"אלתא מערכות בע""מ"</f>
        <v>אלתא מערכות בע"מ</v>
      </c>
      <c r="I387" t="str">
        <f>"ערן שלו"</f>
        <v>ערן שלו</v>
      </c>
      <c r="J387" t="str">
        <f>"cust00955"</f>
        <v>cust00955</v>
      </c>
      <c r="K387" s="1" t="str">
        <f>"AM530D-N בקר אלתא"</f>
        <v>AM530D-N בקר אלתא</v>
      </c>
      <c r="L387">
        <v>4</v>
      </c>
      <c r="O387">
        <v>0</v>
      </c>
      <c r="P387" t="str">
        <f>"$"</f>
        <v>$</v>
      </c>
      <c r="Q387" t="str">
        <f>"000"</f>
        <v>000</v>
      </c>
      <c r="R387" t="str">
        <f>"כללית"</f>
        <v>כללית</v>
      </c>
      <c r="S387" t="str">
        <f>"034"</f>
        <v>034</v>
      </c>
      <c r="T387" t="str">
        <f>"חן בזק"</f>
        <v>חן בזק</v>
      </c>
      <c r="U387">
        <v>0</v>
      </c>
      <c r="V387">
        <v>0</v>
      </c>
      <c r="W387">
        <v>0</v>
      </c>
      <c r="X387">
        <v>0</v>
      </c>
      <c r="Z387" t="str">
        <f>"Y"</f>
        <v>Y</v>
      </c>
      <c r="AA387">
        <v>0</v>
      </c>
      <c r="AC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 t="str">
        <f>"$"</f>
        <v>$</v>
      </c>
    </row>
    <row r="388" spans="1:38" x14ac:dyDescent="0.3">
      <c r="A388" t="str">
        <f>"SO20000279"</f>
        <v>SO20000279</v>
      </c>
      <c r="C388" t="str">
        <f>"בוצעה"</f>
        <v>בוצעה</v>
      </c>
      <c r="E388" s="3">
        <v>44012</v>
      </c>
      <c r="F388" s="3">
        <v>44012</v>
      </c>
      <c r="G388" t="str">
        <f>"700065"</f>
        <v>700065</v>
      </c>
      <c r="H388" t="str">
        <f>"אלתא מערכות בע""מ"</f>
        <v>אלתא מערכות בע"מ</v>
      </c>
      <c r="J388" t="str">
        <f>"000"</f>
        <v>000</v>
      </c>
      <c r="K388" s="1" t="str">
        <f>"שנאי 80KVA    פיליפינים"</f>
        <v>שנאי 80KVA    פיליפינים</v>
      </c>
      <c r="L388">
        <v>1</v>
      </c>
      <c r="M388" t="str">
        <f>"PR20000471"</f>
        <v>PR20000471</v>
      </c>
      <c r="N388" t="str">
        <f>"אינטגרציה טל שמיים"</f>
        <v>אינטגרציה טל שמיים</v>
      </c>
      <c r="O388">
        <v>0</v>
      </c>
      <c r="P388" t="str">
        <f>"$"</f>
        <v>$</v>
      </c>
      <c r="Q388" t="str">
        <f>"070"</f>
        <v>070</v>
      </c>
      <c r="R388" t="str">
        <f>"הזמנה פנימית"</f>
        <v>הזמנה פנימית</v>
      </c>
      <c r="T388" t="str">
        <f>"גנם הודיה"</f>
        <v>גנם הודיה</v>
      </c>
      <c r="U388">
        <v>0</v>
      </c>
      <c r="V388">
        <v>0</v>
      </c>
      <c r="W388">
        <v>0</v>
      </c>
      <c r="X388">
        <v>0</v>
      </c>
      <c r="Z388" t="str">
        <f>"Y"</f>
        <v>Y</v>
      </c>
      <c r="AA388">
        <v>0</v>
      </c>
      <c r="AC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 t="str">
        <f>"$"</f>
        <v>$</v>
      </c>
    </row>
    <row r="389" spans="1:38" x14ac:dyDescent="0.3">
      <c r="A389" t="str">
        <f>"SO20000281"</f>
        <v>SO20000281</v>
      </c>
      <c r="B389" t="str">
        <f>"E000315702"</f>
        <v>E000315702</v>
      </c>
      <c r="C389" t="str">
        <f>"בוצעה"</f>
        <v>בוצעה</v>
      </c>
      <c r="E389" s="3">
        <v>44013</v>
      </c>
      <c r="F389" s="3">
        <v>44073</v>
      </c>
      <c r="G389" t="str">
        <f>"700065"</f>
        <v>700065</v>
      </c>
      <c r="H389" t="str">
        <f>"אלתא מערכות בע""מ"</f>
        <v>אלתא מערכות בע"מ</v>
      </c>
      <c r="I389" t="str">
        <f>"ערן שלו"</f>
        <v>ערן שלו</v>
      </c>
      <c r="J389" t="str">
        <f>"cust00957"</f>
        <v>cust00957</v>
      </c>
      <c r="K389" s="1" t="str">
        <f>"320VDC 60KW SYSTEM אלתא"</f>
        <v>320VDC 60KW SYSTEM אלתא</v>
      </c>
      <c r="L389">
        <v>1</v>
      </c>
      <c r="M389" t="str">
        <f>"PR20000470"</f>
        <v>PR20000470</v>
      </c>
      <c r="N389" t="str">
        <f>"תיקון ארון cust00957"</f>
        <v>תיקון ארון cust00957</v>
      </c>
      <c r="O389">
        <v>0</v>
      </c>
      <c r="P389" t="str">
        <f>"$"</f>
        <v>$</v>
      </c>
      <c r="Q389" t="str">
        <f>"000"</f>
        <v>000</v>
      </c>
      <c r="R389" t="str">
        <f>"כללית"</f>
        <v>כללית</v>
      </c>
      <c r="S389" t="str">
        <f>"034"</f>
        <v>034</v>
      </c>
      <c r="T389" t="str">
        <f>"חן בזק"</f>
        <v>חן בזק</v>
      </c>
      <c r="U389">
        <v>0</v>
      </c>
      <c r="V389">
        <v>0</v>
      </c>
      <c r="W389">
        <v>0</v>
      </c>
      <c r="X389">
        <v>0</v>
      </c>
      <c r="Z389" t="str">
        <f>"Y"</f>
        <v>Y</v>
      </c>
      <c r="AA389">
        <v>0</v>
      </c>
      <c r="AC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 t="str">
        <f>"$"</f>
        <v>$</v>
      </c>
    </row>
    <row r="390" spans="1:38" x14ac:dyDescent="0.3">
      <c r="A390" t="str">
        <f>"SO20000284"</f>
        <v>SO20000284</v>
      </c>
      <c r="B390" t="str">
        <f>"פמינית"</f>
        <v>פמינית</v>
      </c>
      <c r="C390" t="str">
        <f>"בוצעה"</f>
        <v>בוצעה</v>
      </c>
      <c r="E390" s="3">
        <v>44014</v>
      </c>
      <c r="F390" s="3">
        <v>44014</v>
      </c>
      <c r="G390" t="str">
        <f>"700065"</f>
        <v>700065</v>
      </c>
      <c r="H390" t="str">
        <f>"אלתא מערכות בע""מ"</f>
        <v>אלתא מערכות בע"מ</v>
      </c>
      <c r="I390" t="str">
        <f>"ערן שלו"</f>
        <v>ערן שלו</v>
      </c>
      <c r="J390" t="str">
        <f>"PA1001288"</f>
        <v>PA1001288</v>
      </c>
      <c r="K390" s="1" t="str">
        <f>"500T010M37B08SB CONNECTOR,ELECTRIC,RECTANGULAR,B"</f>
        <v>500T010M37B08SB CONNECTOR,ELECTRIC,RECTANGULAR,B</v>
      </c>
      <c r="L390">
        <v>4</v>
      </c>
      <c r="M390" t="str">
        <f>"PR20000210"</f>
        <v>PR20000210</v>
      </c>
      <c r="N390" t="str">
        <f>"32CH VIDEO CABLE"</f>
        <v>32CH VIDEO CABLE</v>
      </c>
      <c r="O390">
        <v>0</v>
      </c>
      <c r="P390" t="str">
        <f>"$"</f>
        <v>$</v>
      </c>
      <c r="Q390" t="str">
        <f>"000"</f>
        <v>000</v>
      </c>
      <c r="R390" t="str">
        <f>"כללית"</f>
        <v>כללית</v>
      </c>
      <c r="S390" t="str">
        <f>"034"</f>
        <v>034</v>
      </c>
      <c r="T390" t="str">
        <f>"גנם הודיה"</f>
        <v>גנם הודיה</v>
      </c>
      <c r="U390">
        <v>0</v>
      </c>
      <c r="V390">
        <v>0</v>
      </c>
      <c r="W390">
        <v>0</v>
      </c>
      <c r="X390">
        <v>0</v>
      </c>
      <c r="Z390" t="str">
        <f>"Y"</f>
        <v>Y</v>
      </c>
      <c r="AA390">
        <v>4</v>
      </c>
      <c r="AC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 t="str">
        <f>"$"</f>
        <v>$</v>
      </c>
    </row>
    <row r="391" spans="1:38" x14ac:dyDescent="0.3">
      <c r="A391" t="str">
        <f>"SO20000284"</f>
        <v>SO20000284</v>
      </c>
      <c r="B391" t="str">
        <f>"פמינית"</f>
        <v>פמינית</v>
      </c>
      <c r="C391" t="str">
        <f>"בוצעה"</f>
        <v>בוצעה</v>
      </c>
      <c r="E391" s="3">
        <v>44014</v>
      </c>
      <c r="F391" s="3">
        <v>44014</v>
      </c>
      <c r="G391" t="str">
        <f>"700065"</f>
        <v>700065</v>
      </c>
      <c r="H391" t="str">
        <f>"אלתא מערכות בע""מ"</f>
        <v>אלתא מערכות בע"מ</v>
      </c>
      <c r="I391" t="str">
        <f>"ערן שלו"</f>
        <v>ערן שלו</v>
      </c>
      <c r="J391" t="str">
        <f>"cust000472"</f>
        <v>cust000472</v>
      </c>
      <c r="K391" s="1" t="str">
        <f>"500T010M37B08SB - ELTA"</f>
        <v>500T010M37B08SB - ELTA</v>
      </c>
      <c r="L391">
        <v>14</v>
      </c>
      <c r="M391" t="str">
        <f>"PR20000210"</f>
        <v>PR20000210</v>
      </c>
      <c r="N391" t="str">
        <f>"32CH VIDEO CABLE"</f>
        <v>32CH VIDEO CABLE</v>
      </c>
      <c r="O391">
        <v>0</v>
      </c>
      <c r="P391" t="str">
        <f>"$"</f>
        <v>$</v>
      </c>
      <c r="Q391" t="str">
        <f>"000"</f>
        <v>000</v>
      </c>
      <c r="R391" t="str">
        <f>"כללית"</f>
        <v>כללית</v>
      </c>
      <c r="S391" t="str">
        <f>"034"</f>
        <v>034</v>
      </c>
      <c r="T391" t="str">
        <f>"גנם הודיה"</f>
        <v>גנם הודיה</v>
      </c>
      <c r="U391">
        <v>0</v>
      </c>
      <c r="V391">
        <v>0</v>
      </c>
      <c r="W391">
        <v>0</v>
      </c>
      <c r="X391">
        <v>0</v>
      </c>
      <c r="Z391" t="str">
        <f>"Y"</f>
        <v>Y</v>
      </c>
      <c r="AA391">
        <v>14</v>
      </c>
      <c r="AC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 t="str">
        <f>"$"</f>
        <v>$</v>
      </c>
    </row>
    <row r="392" spans="1:38" x14ac:dyDescent="0.3">
      <c r="A392" t="str">
        <f>"SO20000289"</f>
        <v>SO20000289</v>
      </c>
      <c r="B392" t="str">
        <f>"E000315794"</f>
        <v>E000315794</v>
      </c>
      <c r="C392" t="str">
        <f>"בוצעה"</f>
        <v>בוצעה</v>
      </c>
      <c r="E392" s="3">
        <v>44019</v>
      </c>
      <c r="F392" s="3">
        <v>44270</v>
      </c>
      <c r="G392" t="str">
        <f>"700065"</f>
        <v>700065</v>
      </c>
      <c r="H392" t="str">
        <f>"אלתא מערכות בע""מ"</f>
        <v>אלתא מערכות בע"מ</v>
      </c>
      <c r="I392" t="str">
        <f>"ערן שלו"</f>
        <v>ערן שלו</v>
      </c>
      <c r="J392" t="str">
        <f>"OP-AR01879"</f>
        <v>OP-AR01879</v>
      </c>
      <c r="K392" s="1" t="str">
        <f>"E000315794 עבור כבלי מטווח NRE"</f>
        <v>E000315794 עבור כבלי מטווח NRE</v>
      </c>
      <c r="L392">
        <v>1</v>
      </c>
      <c r="M392" t="str">
        <f>"PR20000485"</f>
        <v>PR20000485</v>
      </c>
      <c r="N392" t="str">
        <f>"כבלי מטווח"</f>
        <v>כבלי מטווח</v>
      </c>
      <c r="O392">
        <v>420</v>
      </c>
      <c r="P392" t="str">
        <f>"$"</f>
        <v>$</v>
      </c>
      <c r="Q392" t="str">
        <f>"117"</f>
        <v>117</v>
      </c>
      <c r="R392" t="str">
        <f>"רתמות"</f>
        <v>רתמות</v>
      </c>
      <c r="S392" t="str">
        <f>"034"</f>
        <v>034</v>
      </c>
      <c r="T392" t="str">
        <f>"חן בזק"</f>
        <v>חן בזק</v>
      </c>
      <c r="U392">
        <v>0</v>
      </c>
      <c r="V392">
        <v>0</v>
      </c>
      <c r="W392">
        <v>420</v>
      </c>
      <c r="X392">
        <v>420</v>
      </c>
      <c r="Z392" t="str">
        <f>"Y"</f>
        <v>Y</v>
      </c>
      <c r="AA392">
        <v>1</v>
      </c>
      <c r="AC392">
        <v>0</v>
      </c>
      <c r="AE392">
        <v>0</v>
      </c>
      <c r="AF392">
        <v>0</v>
      </c>
      <c r="AG392" s="2">
        <v>1449</v>
      </c>
      <c r="AH392">
        <v>0</v>
      </c>
      <c r="AI392" s="2">
        <v>1449</v>
      </c>
      <c r="AJ392">
        <v>420</v>
      </c>
      <c r="AK392">
        <v>420</v>
      </c>
      <c r="AL392" t="str">
        <f>"$"</f>
        <v>$</v>
      </c>
    </row>
    <row r="393" spans="1:38" x14ac:dyDescent="0.3">
      <c r="A393" t="str">
        <f>"SO20000289"</f>
        <v>SO20000289</v>
      </c>
      <c r="B393" t="str">
        <f>"E000315794"</f>
        <v>E000315794</v>
      </c>
      <c r="C393" t="str">
        <f>"בוצעה"</f>
        <v>בוצעה</v>
      </c>
      <c r="E393" s="3">
        <v>44019</v>
      </c>
      <c r="F393" s="3">
        <v>44134</v>
      </c>
      <c r="G393" t="str">
        <f>"700065"</f>
        <v>700065</v>
      </c>
      <c r="H393" t="str">
        <f>"אלתא מערכות בע""מ"</f>
        <v>אלתא מערכות בע"מ</v>
      </c>
      <c r="I393" t="str">
        <f>"ערן שלו"</f>
        <v>ערן שלו</v>
      </c>
      <c r="J393" t="str">
        <f>"OP-AR01873"</f>
        <v>OP-AR01873</v>
      </c>
      <c r="K393" s="1" t="str">
        <f>"1032Y073-001  -  HARNESS W1073"</f>
        <v>1032Y073-001  -  HARNESS W1073</v>
      </c>
      <c r="L393">
        <v>2</v>
      </c>
      <c r="M393" t="str">
        <f>"PR20000485"</f>
        <v>PR20000485</v>
      </c>
      <c r="N393" t="str">
        <f>"כבלי מטווח"</f>
        <v>כבלי מטווח</v>
      </c>
      <c r="O393" s="2">
        <v>1276.75</v>
      </c>
      <c r="P393" t="str">
        <f>"$"</f>
        <v>$</v>
      </c>
      <c r="Q393" t="str">
        <f>"117"</f>
        <v>117</v>
      </c>
      <c r="R393" t="str">
        <f>"רתמות"</f>
        <v>רתמות</v>
      </c>
      <c r="S393" t="str">
        <f>"034"</f>
        <v>034</v>
      </c>
      <c r="T393" t="str">
        <f>"חן בזק"</f>
        <v>חן בזק</v>
      </c>
      <c r="U393">
        <v>0</v>
      </c>
      <c r="V393">
        <v>0</v>
      </c>
      <c r="W393" s="2">
        <v>1276.75</v>
      </c>
      <c r="X393" s="2">
        <v>2553.5</v>
      </c>
      <c r="Z393" t="str">
        <f>"Y"</f>
        <v>Y</v>
      </c>
      <c r="AA393">
        <v>0</v>
      </c>
      <c r="AC393">
        <v>0</v>
      </c>
      <c r="AE393">
        <v>0</v>
      </c>
      <c r="AF393">
        <v>0</v>
      </c>
      <c r="AG393" s="2">
        <v>4404.79</v>
      </c>
      <c r="AH393">
        <v>0</v>
      </c>
      <c r="AI393" s="2">
        <v>8809.58</v>
      </c>
      <c r="AJ393" s="2">
        <v>2553.5</v>
      </c>
      <c r="AK393" s="2">
        <v>2553.5</v>
      </c>
      <c r="AL393" t="str">
        <f>"$"</f>
        <v>$</v>
      </c>
    </row>
    <row r="394" spans="1:38" x14ac:dyDescent="0.3">
      <c r="A394" t="str">
        <f>"SO20000289"</f>
        <v>SO20000289</v>
      </c>
      <c r="B394" t="str">
        <f>"E000315794"</f>
        <v>E000315794</v>
      </c>
      <c r="C394" t="str">
        <f>"בוצעה"</f>
        <v>בוצעה</v>
      </c>
      <c r="E394" s="3">
        <v>44019</v>
      </c>
      <c r="F394" s="3">
        <v>44134</v>
      </c>
      <c r="G394" t="str">
        <f>"700065"</f>
        <v>700065</v>
      </c>
      <c r="H394" t="str">
        <f>"אלתא מערכות בע""מ"</f>
        <v>אלתא מערכות בע"מ</v>
      </c>
      <c r="I394" t="str">
        <f>"ערן שלו"</f>
        <v>ערן שלו</v>
      </c>
      <c r="J394" t="str">
        <f>"OP-AR01874"</f>
        <v>OP-AR01874</v>
      </c>
      <c r="K394" s="1" t="str">
        <f>"1031W783-001  -  LAB CABLE ASSY W20"</f>
        <v>1031W783-001  -  LAB CABLE ASSY W20</v>
      </c>
      <c r="L394">
        <v>2</v>
      </c>
      <c r="M394" t="str">
        <f>"PR20000485"</f>
        <v>PR20000485</v>
      </c>
      <c r="N394" t="str">
        <f>"כבלי מטווח"</f>
        <v>כבלי מטווח</v>
      </c>
      <c r="O394">
        <v>680.11</v>
      </c>
      <c r="P394" t="str">
        <f>"$"</f>
        <v>$</v>
      </c>
      <c r="Q394" t="str">
        <f>"117"</f>
        <v>117</v>
      </c>
      <c r="R394" t="str">
        <f>"רתמות"</f>
        <v>רתמות</v>
      </c>
      <c r="S394" t="str">
        <f>"034"</f>
        <v>034</v>
      </c>
      <c r="T394" t="str">
        <f>"חן בזק"</f>
        <v>חן בזק</v>
      </c>
      <c r="U394">
        <v>0</v>
      </c>
      <c r="V394">
        <v>0</v>
      </c>
      <c r="W394">
        <v>680.11</v>
      </c>
      <c r="X394" s="2">
        <v>1360.22</v>
      </c>
      <c r="Z394" t="str">
        <f>"Y"</f>
        <v>Y</v>
      </c>
      <c r="AA394">
        <v>0</v>
      </c>
      <c r="AC394">
        <v>0</v>
      </c>
      <c r="AE394">
        <v>0</v>
      </c>
      <c r="AF394">
        <v>0</v>
      </c>
      <c r="AG394" s="2">
        <v>2346.38</v>
      </c>
      <c r="AH394">
        <v>0</v>
      </c>
      <c r="AI394" s="2">
        <v>4692.76</v>
      </c>
      <c r="AJ394" s="2">
        <v>1360.22</v>
      </c>
      <c r="AK394" s="2">
        <v>1360.22</v>
      </c>
      <c r="AL394" t="str">
        <f>"$"</f>
        <v>$</v>
      </c>
    </row>
    <row r="395" spans="1:38" x14ac:dyDescent="0.3">
      <c r="A395" t="str">
        <f>"SO20000289"</f>
        <v>SO20000289</v>
      </c>
      <c r="B395" t="str">
        <f>"E000315794"</f>
        <v>E000315794</v>
      </c>
      <c r="C395" t="str">
        <f>"בוצעה"</f>
        <v>בוצעה</v>
      </c>
      <c r="E395" s="3">
        <v>44019</v>
      </c>
      <c r="F395" s="3">
        <v>44134</v>
      </c>
      <c r="G395" t="str">
        <f>"700065"</f>
        <v>700065</v>
      </c>
      <c r="H395" t="str">
        <f>"אלתא מערכות בע""מ"</f>
        <v>אלתא מערכות בע"מ</v>
      </c>
      <c r="I395" t="str">
        <f>"ערן שלו"</f>
        <v>ערן שלו</v>
      </c>
      <c r="J395" t="str">
        <f>"OP-AR01875"</f>
        <v>OP-AR01875</v>
      </c>
      <c r="K395" s="1" t="str">
        <f>"1032Y063-001  -  HARNESS W1063"</f>
        <v>1032Y063-001  -  HARNESS W1063</v>
      </c>
      <c r="L395">
        <v>2</v>
      </c>
      <c r="M395" t="str">
        <f>"PR20000485"</f>
        <v>PR20000485</v>
      </c>
      <c r="N395" t="str">
        <f>"כבלי מטווח"</f>
        <v>כבלי מטווח</v>
      </c>
      <c r="O395">
        <v>733.19</v>
      </c>
      <c r="P395" t="str">
        <f>"$"</f>
        <v>$</v>
      </c>
      <c r="Q395" t="str">
        <f>"117"</f>
        <v>117</v>
      </c>
      <c r="R395" t="str">
        <f>"רתמות"</f>
        <v>רתמות</v>
      </c>
      <c r="S395" t="str">
        <f>"034"</f>
        <v>034</v>
      </c>
      <c r="T395" t="str">
        <f>"חן בזק"</f>
        <v>חן בזק</v>
      </c>
      <c r="U395">
        <v>0</v>
      </c>
      <c r="V395">
        <v>0</v>
      </c>
      <c r="W395">
        <v>733.19</v>
      </c>
      <c r="X395" s="2">
        <v>1466.38</v>
      </c>
      <c r="Z395" t="str">
        <f>"Y"</f>
        <v>Y</v>
      </c>
      <c r="AA395">
        <v>0</v>
      </c>
      <c r="AC395">
        <v>0</v>
      </c>
      <c r="AE395">
        <v>0</v>
      </c>
      <c r="AF395">
        <v>0</v>
      </c>
      <c r="AG395" s="2">
        <v>2529.5100000000002</v>
      </c>
      <c r="AH395">
        <v>0</v>
      </c>
      <c r="AI395" s="2">
        <v>5059.01</v>
      </c>
      <c r="AJ395" s="2">
        <v>1466.38</v>
      </c>
      <c r="AK395" s="2">
        <v>1466.38</v>
      </c>
      <c r="AL395" t="str">
        <f>"$"</f>
        <v>$</v>
      </c>
    </row>
    <row r="396" spans="1:38" x14ac:dyDescent="0.3">
      <c r="A396" t="str">
        <f>"SO20000289"</f>
        <v>SO20000289</v>
      </c>
      <c r="B396" t="str">
        <f>"E000315794"</f>
        <v>E000315794</v>
      </c>
      <c r="C396" t="str">
        <f>"בוצעה"</f>
        <v>בוצעה</v>
      </c>
      <c r="E396" s="3">
        <v>44019</v>
      </c>
      <c r="F396" s="3">
        <v>44134</v>
      </c>
      <c r="G396" t="str">
        <f>"700065"</f>
        <v>700065</v>
      </c>
      <c r="H396" t="str">
        <f>"אלתא מערכות בע""מ"</f>
        <v>אלתא מערכות בע"מ</v>
      </c>
      <c r="I396" t="str">
        <f>"ערן שלו"</f>
        <v>ערן שלו</v>
      </c>
      <c r="J396" t="str">
        <f>"OP-AR01876"</f>
        <v>OP-AR01876</v>
      </c>
      <c r="K396" s="1" t="str">
        <f>"1032Y074-001  -  HARNESS W1074"</f>
        <v>1032Y074-001  -  HARNESS W1074</v>
      </c>
      <c r="L396">
        <v>2</v>
      </c>
      <c r="M396" t="str">
        <f>"PR20000485"</f>
        <v>PR20000485</v>
      </c>
      <c r="N396" t="str">
        <f>"כבלי מטווח"</f>
        <v>כבלי מטווח</v>
      </c>
      <c r="O396">
        <v>588.88</v>
      </c>
      <c r="P396" t="str">
        <f>"$"</f>
        <v>$</v>
      </c>
      <c r="Q396" t="str">
        <f>"117"</f>
        <v>117</v>
      </c>
      <c r="R396" t="str">
        <f>"רתמות"</f>
        <v>רתמות</v>
      </c>
      <c r="S396" t="str">
        <f>"034"</f>
        <v>034</v>
      </c>
      <c r="T396" t="str">
        <f>"חן בזק"</f>
        <v>חן בזק</v>
      </c>
      <c r="U396">
        <v>0</v>
      </c>
      <c r="V396">
        <v>0</v>
      </c>
      <c r="W396">
        <v>588.88</v>
      </c>
      <c r="X396" s="2">
        <v>1177.76</v>
      </c>
      <c r="Z396" t="str">
        <f>"Y"</f>
        <v>Y</v>
      </c>
      <c r="AA396">
        <v>0</v>
      </c>
      <c r="AC396">
        <v>0</v>
      </c>
      <c r="AE396">
        <v>0</v>
      </c>
      <c r="AF396">
        <v>0</v>
      </c>
      <c r="AG396" s="2">
        <v>2031.64</v>
      </c>
      <c r="AH396">
        <v>0</v>
      </c>
      <c r="AI396" s="2">
        <v>4063.27</v>
      </c>
      <c r="AJ396" s="2">
        <v>1177.76</v>
      </c>
      <c r="AK396" s="2">
        <v>1177.76</v>
      </c>
      <c r="AL396" t="str">
        <f>"$"</f>
        <v>$</v>
      </c>
    </row>
    <row r="397" spans="1:38" x14ac:dyDescent="0.3">
      <c r="A397" t="str">
        <f>"SO20000289"</f>
        <v>SO20000289</v>
      </c>
      <c r="B397" t="str">
        <f>"E000315794"</f>
        <v>E000315794</v>
      </c>
      <c r="C397" t="str">
        <f>"בוצעה"</f>
        <v>בוצעה</v>
      </c>
      <c r="E397" s="3">
        <v>44019</v>
      </c>
      <c r="F397" s="3">
        <v>44134</v>
      </c>
      <c r="G397" t="str">
        <f>"700065"</f>
        <v>700065</v>
      </c>
      <c r="H397" t="str">
        <f>"אלתא מערכות בע""מ"</f>
        <v>אלתא מערכות בע"מ</v>
      </c>
      <c r="I397" t="str">
        <f>"ערן שלו"</f>
        <v>ערן שלו</v>
      </c>
      <c r="J397" t="str">
        <f>"OP-AR01877"</f>
        <v>OP-AR01877</v>
      </c>
      <c r="K397" s="1" t="str">
        <f>"1032Y075-001  -  HARNESS W1075"</f>
        <v>1032Y075-001  -  HARNESS W1075</v>
      </c>
      <c r="L397">
        <v>2</v>
      </c>
      <c r="M397" t="str">
        <f>"PR20000485"</f>
        <v>PR20000485</v>
      </c>
      <c r="N397" t="str">
        <f>"כבלי מטווח"</f>
        <v>כבלי מטווח</v>
      </c>
      <c r="O397">
        <v>588.88</v>
      </c>
      <c r="P397" t="str">
        <f>"$"</f>
        <v>$</v>
      </c>
      <c r="Q397" t="str">
        <f>"117"</f>
        <v>117</v>
      </c>
      <c r="R397" t="str">
        <f>"רתמות"</f>
        <v>רתמות</v>
      </c>
      <c r="S397" t="str">
        <f>"034"</f>
        <v>034</v>
      </c>
      <c r="T397" t="str">
        <f>"חן בזק"</f>
        <v>חן בזק</v>
      </c>
      <c r="U397">
        <v>0</v>
      </c>
      <c r="V397">
        <v>0</v>
      </c>
      <c r="W397">
        <v>588.88</v>
      </c>
      <c r="X397" s="2">
        <v>1177.76</v>
      </c>
      <c r="Z397" t="str">
        <f>"Y"</f>
        <v>Y</v>
      </c>
      <c r="AA397">
        <v>0</v>
      </c>
      <c r="AC397">
        <v>0</v>
      </c>
      <c r="AE397">
        <v>0</v>
      </c>
      <c r="AF397">
        <v>0</v>
      </c>
      <c r="AG397" s="2">
        <v>2031.64</v>
      </c>
      <c r="AH397">
        <v>0</v>
      </c>
      <c r="AI397" s="2">
        <v>4063.27</v>
      </c>
      <c r="AJ397" s="2">
        <v>1177.76</v>
      </c>
      <c r="AK397" s="2">
        <v>1177.76</v>
      </c>
      <c r="AL397" t="str">
        <f>"$"</f>
        <v>$</v>
      </c>
    </row>
    <row r="398" spans="1:38" x14ac:dyDescent="0.3">
      <c r="A398" t="str">
        <f>"SO20000289"</f>
        <v>SO20000289</v>
      </c>
      <c r="B398" t="str">
        <f>"E000315794"</f>
        <v>E000315794</v>
      </c>
      <c r="C398" t="str">
        <f>"בוצעה"</f>
        <v>בוצעה</v>
      </c>
      <c r="E398" s="3">
        <v>44019</v>
      </c>
      <c r="F398" s="3">
        <v>44134</v>
      </c>
      <c r="G398" t="str">
        <f>"700065"</f>
        <v>700065</v>
      </c>
      <c r="H398" t="str">
        <f>"אלתא מערכות בע""מ"</f>
        <v>אלתא מערכות בע"מ</v>
      </c>
      <c r="I398" t="str">
        <f>"ערן שלו"</f>
        <v>ערן שלו</v>
      </c>
      <c r="J398" t="str">
        <f>"OP-AR01878"</f>
        <v>OP-AR01878</v>
      </c>
      <c r="K398" s="1" t="str">
        <f>"1031A592-001  -  CU FINAL CONTROL CBL"</f>
        <v>1031A592-001  -  CU FINAL CONTROL CBL</v>
      </c>
      <c r="L398">
        <v>2</v>
      </c>
      <c r="M398" t="str">
        <f>"PR20000485"</f>
        <v>PR20000485</v>
      </c>
      <c r="N398" t="str">
        <f>"כבלי מטווח"</f>
        <v>כבלי מטווח</v>
      </c>
      <c r="O398" s="2">
        <v>1181.56</v>
      </c>
      <c r="P398" t="str">
        <f>"$"</f>
        <v>$</v>
      </c>
      <c r="Q398" t="str">
        <f>"117"</f>
        <v>117</v>
      </c>
      <c r="R398" t="str">
        <f>"רתמות"</f>
        <v>רתמות</v>
      </c>
      <c r="S398" t="str">
        <f>"034"</f>
        <v>034</v>
      </c>
      <c r="T398" t="str">
        <f>"חן בזק"</f>
        <v>חן בזק</v>
      </c>
      <c r="U398">
        <v>0</v>
      </c>
      <c r="V398">
        <v>0</v>
      </c>
      <c r="W398" s="2">
        <v>1181.56</v>
      </c>
      <c r="X398" s="2">
        <v>2363.12</v>
      </c>
      <c r="Z398" t="str">
        <f>"Y"</f>
        <v>Y</v>
      </c>
      <c r="AA398">
        <v>0</v>
      </c>
      <c r="AC398">
        <v>0</v>
      </c>
      <c r="AE398">
        <v>0</v>
      </c>
      <c r="AF398">
        <v>0</v>
      </c>
      <c r="AG398" s="2">
        <v>4076.38</v>
      </c>
      <c r="AH398">
        <v>0</v>
      </c>
      <c r="AI398" s="2">
        <v>8152.76</v>
      </c>
      <c r="AJ398" s="2">
        <v>2363.12</v>
      </c>
      <c r="AK398" s="2">
        <v>2363.12</v>
      </c>
      <c r="AL398" t="str">
        <f>"$"</f>
        <v>$</v>
      </c>
    </row>
    <row r="399" spans="1:38" x14ac:dyDescent="0.3">
      <c r="A399" t="str">
        <f>"SO20000290"</f>
        <v>SO20000290</v>
      </c>
      <c r="B399" t="str">
        <f>"E000316490"</f>
        <v>E000316490</v>
      </c>
      <c r="C399" t="str">
        <f>"בוצעה"</f>
        <v>בוצעה</v>
      </c>
      <c r="E399" s="3">
        <v>44020</v>
      </c>
      <c r="F399" s="3">
        <v>44027</v>
      </c>
      <c r="G399" t="str">
        <f>"700065"</f>
        <v>700065</v>
      </c>
      <c r="H399" t="str">
        <f>"אלתא מערכות בע""מ"</f>
        <v>אלתא מערכות בע"מ</v>
      </c>
      <c r="I399" t="str">
        <f>"ערן שלו"</f>
        <v>ערן שלו</v>
      </c>
      <c r="J399" t="str">
        <f>"000"</f>
        <v>000</v>
      </c>
      <c r="K399" s="1" t="str">
        <f>"תוספת קיט 1037C839-001"</f>
        <v>תוספת קיט 1037C839-001</v>
      </c>
      <c r="L399">
        <v>1</v>
      </c>
      <c r="M399" t="str">
        <f>"PR19000750"</f>
        <v>PR19000750</v>
      </c>
      <c r="N399" t="str">
        <f>"חלקי חילוף עבור ספינות"</f>
        <v>חלקי חילוף עבור ספינות</v>
      </c>
      <c r="O399" s="2">
        <v>1009</v>
      </c>
      <c r="P399" t="str">
        <f>"$"</f>
        <v>$</v>
      </c>
      <c r="Q399" t="str">
        <f>"118"</f>
        <v>118</v>
      </c>
      <c r="R399" t="str">
        <f>"מערכות"</f>
        <v>מערכות</v>
      </c>
      <c r="S399" t="str">
        <f>"034"</f>
        <v>034</v>
      </c>
      <c r="T399" t="str">
        <f>"חן בזק"</f>
        <v>חן בזק</v>
      </c>
      <c r="U399">
        <v>0</v>
      </c>
      <c r="V399">
        <v>0</v>
      </c>
      <c r="W399" s="2">
        <v>1009</v>
      </c>
      <c r="X399" s="2">
        <v>1009</v>
      </c>
      <c r="Z399" t="str">
        <f>"Y"</f>
        <v>Y</v>
      </c>
      <c r="AA399">
        <v>1</v>
      </c>
      <c r="AC399">
        <v>0</v>
      </c>
      <c r="AE399">
        <v>0</v>
      </c>
      <c r="AF399">
        <v>0</v>
      </c>
      <c r="AG399" s="2">
        <v>3486.1</v>
      </c>
      <c r="AH399">
        <v>0</v>
      </c>
      <c r="AI399" s="2">
        <v>3486.1</v>
      </c>
      <c r="AJ399" s="2">
        <v>1009</v>
      </c>
      <c r="AK399" s="2">
        <v>1009</v>
      </c>
      <c r="AL399" t="str">
        <f>"$"</f>
        <v>$</v>
      </c>
    </row>
    <row r="400" spans="1:38" x14ac:dyDescent="0.3">
      <c r="A400" t="str">
        <f>"SO20000290"</f>
        <v>SO20000290</v>
      </c>
      <c r="B400" t="str">
        <f>"E000316490"</f>
        <v>E000316490</v>
      </c>
      <c r="C400" t="str">
        <f>"בוצעה"</f>
        <v>בוצעה</v>
      </c>
      <c r="E400" s="3">
        <v>44020</v>
      </c>
      <c r="F400" s="3">
        <v>44027</v>
      </c>
      <c r="G400" t="str">
        <f>"700065"</f>
        <v>700065</v>
      </c>
      <c r="H400" t="str">
        <f>"אלתא מערכות בע""מ"</f>
        <v>אלתא מערכות בע"מ</v>
      </c>
      <c r="I400" t="str">
        <f>"ערן שלו"</f>
        <v>ערן שלו</v>
      </c>
      <c r="J400" t="str">
        <f>"000"</f>
        <v>000</v>
      </c>
      <c r="K400" s="1" t="str">
        <f>"תוספת קיט 1037C840-001"</f>
        <v>תוספת קיט 1037C840-001</v>
      </c>
      <c r="L400">
        <v>1</v>
      </c>
      <c r="M400" t="str">
        <f>"PR19000750"</f>
        <v>PR19000750</v>
      </c>
      <c r="N400" t="str">
        <f>"חלקי חילוף עבור ספינות"</f>
        <v>חלקי חילוף עבור ספינות</v>
      </c>
      <c r="O400">
        <v>767.94</v>
      </c>
      <c r="P400" t="str">
        <f>"$"</f>
        <v>$</v>
      </c>
      <c r="Q400" t="str">
        <f>"118"</f>
        <v>118</v>
      </c>
      <c r="R400" t="str">
        <f>"מערכות"</f>
        <v>מערכות</v>
      </c>
      <c r="S400" t="str">
        <f>"034"</f>
        <v>034</v>
      </c>
      <c r="T400" t="str">
        <f>"חן בזק"</f>
        <v>חן בזק</v>
      </c>
      <c r="U400">
        <v>0</v>
      </c>
      <c r="V400">
        <v>0</v>
      </c>
      <c r="W400">
        <v>767.94</v>
      </c>
      <c r="X400">
        <v>767.94</v>
      </c>
      <c r="Z400" t="str">
        <f>"Y"</f>
        <v>Y</v>
      </c>
      <c r="AA400">
        <v>1</v>
      </c>
      <c r="AC400">
        <v>0</v>
      </c>
      <c r="AE400">
        <v>0</v>
      </c>
      <c r="AF400">
        <v>0</v>
      </c>
      <c r="AG400" s="2">
        <v>2653.23</v>
      </c>
      <c r="AH400">
        <v>0</v>
      </c>
      <c r="AI400" s="2">
        <v>2653.23</v>
      </c>
      <c r="AJ400">
        <v>767.94</v>
      </c>
      <c r="AK400">
        <v>767.94</v>
      </c>
      <c r="AL400" t="str">
        <f>"$"</f>
        <v>$</v>
      </c>
    </row>
    <row r="401" spans="1:38" x14ac:dyDescent="0.3">
      <c r="A401" t="str">
        <f>"SO20000290"</f>
        <v>SO20000290</v>
      </c>
      <c r="B401" t="str">
        <f>"E000316490"</f>
        <v>E000316490</v>
      </c>
      <c r="C401" t="str">
        <f>"בוצעה"</f>
        <v>בוצעה</v>
      </c>
      <c r="E401" s="3">
        <v>44020</v>
      </c>
      <c r="F401" s="3">
        <v>44438</v>
      </c>
      <c r="G401" t="str">
        <f>"700065"</f>
        <v>700065</v>
      </c>
      <c r="H401" t="str">
        <f>"אלתא מערכות בע""מ"</f>
        <v>אלתא מערכות בע"מ</v>
      </c>
      <c r="I401" t="str">
        <f>"ערן שלו"</f>
        <v>ערן שלו</v>
      </c>
      <c r="J401" t="str">
        <f>"000"</f>
        <v>000</v>
      </c>
      <c r="K401" s="1" t="str">
        <f>"תוספת קיט 1037C838-001"</f>
        <v>תוספת קיט 1037C838-001</v>
      </c>
      <c r="L401">
        <v>1</v>
      </c>
      <c r="M401" t="str">
        <f>"PR19000750"</f>
        <v>PR19000750</v>
      </c>
      <c r="N401" t="str">
        <f>"חלקי חילוף עבור ספינות"</f>
        <v>חלקי חילוף עבור ספינות</v>
      </c>
      <c r="O401" s="2">
        <v>10751.17</v>
      </c>
      <c r="P401" t="str">
        <f>"$"</f>
        <v>$</v>
      </c>
      <c r="Q401" t="str">
        <f>"118"</f>
        <v>118</v>
      </c>
      <c r="R401" t="str">
        <f>"מערכות"</f>
        <v>מערכות</v>
      </c>
      <c r="S401" t="str">
        <f>"034"</f>
        <v>034</v>
      </c>
      <c r="T401" t="str">
        <f>"חן בזק"</f>
        <v>חן בזק</v>
      </c>
      <c r="U401">
        <v>0</v>
      </c>
      <c r="V401">
        <v>0</v>
      </c>
      <c r="W401" s="2">
        <v>10751.17</v>
      </c>
      <c r="X401" s="2">
        <v>10751.17</v>
      </c>
      <c r="Z401" t="str">
        <f>"Y"</f>
        <v>Y</v>
      </c>
      <c r="AA401">
        <v>1</v>
      </c>
      <c r="AC401">
        <v>0</v>
      </c>
      <c r="AE401">
        <v>0</v>
      </c>
      <c r="AF401">
        <v>0</v>
      </c>
      <c r="AG401" s="2">
        <v>37145.29</v>
      </c>
      <c r="AH401">
        <v>0</v>
      </c>
      <c r="AI401" s="2">
        <v>37145.29</v>
      </c>
      <c r="AJ401" s="2">
        <v>10751.17</v>
      </c>
      <c r="AK401" s="2">
        <v>10751.17</v>
      </c>
      <c r="AL401" t="str">
        <f>"$"</f>
        <v>$</v>
      </c>
    </row>
    <row r="402" spans="1:38" x14ac:dyDescent="0.3">
      <c r="A402" t="str">
        <f>"SO20000290"</f>
        <v>SO20000290</v>
      </c>
      <c r="B402" t="str">
        <f>"E000316490"</f>
        <v>E000316490</v>
      </c>
      <c r="C402" t="str">
        <f>"בוצעה"</f>
        <v>בוצעה</v>
      </c>
      <c r="E402" s="3">
        <v>44020</v>
      </c>
      <c r="F402" s="3">
        <v>44407</v>
      </c>
      <c r="G402" t="str">
        <f>"700065"</f>
        <v>700065</v>
      </c>
      <c r="H402" t="str">
        <f>"אלתא מערכות בע""מ"</f>
        <v>אלתא מערכות בע"מ</v>
      </c>
      <c r="I402" t="str">
        <f>"ערן שלו"</f>
        <v>ערן שלו</v>
      </c>
      <c r="J402" t="str">
        <f>"000"</f>
        <v>000</v>
      </c>
      <c r="K402" s="1" t="str">
        <f>"תוספת קיט 1037C837-001"</f>
        <v>תוספת קיט 1037C837-001</v>
      </c>
      <c r="L402">
        <v>1</v>
      </c>
      <c r="M402" t="str">
        <f>"PR19000750"</f>
        <v>PR19000750</v>
      </c>
      <c r="N402" t="str">
        <f>"חלקי חילוף עבור ספינות"</f>
        <v>חלקי חילוף עבור ספינות</v>
      </c>
      <c r="O402" s="2">
        <v>3026.99</v>
      </c>
      <c r="P402" t="str">
        <f>"$"</f>
        <v>$</v>
      </c>
      <c r="Q402" t="str">
        <f>"118"</f>
        <v>118</v>
      </c>
      <c r="R402" t="str">
        <f>"מערכות"</f>
        <v>מערכות</v>
      </c>
      <c r="S402" t="str">
        <f>"034"</f>
        <v>034</v>
      </c>
      <c r="T402" t="str">
        <f>"חן בזק"</f>
        <v>חן בזק</v>
      </c>
      <c r="U402">
        <v>0</v>
      </c>
      <c r="V402">
        <v>0</v>
      </c>
      <c r="W402" s="2">
        <v>3026.99</v>
      </c>
      <c r="X402" s="2">
        <v>3026.99</v>
      </c>
      <c r="Z402" t="str">
        <f>"Y"</f>
        <v>Y</v>
      </c>
      <c r="AA402">
        <v>1</v>
      </c>
      <c r="AC402">
        <v>0</v>
      </c>
      <c r="AE402">
        <v>0</v>
      </c>
      <c r="AF402">
        <v>0</v>
      </c>
      <c r="AG402" s="2">
        <v>10458.25</v>
      </c>
      <c r="AH402">
        <v>0</v>
      </c>
      <c r="AI402" s="2">
        <v>10458.25</v>
      </c>
      <c r="AJ402" s="2">
        <v>3026.99</v>
      </c>
      <c r="AK402" s="2">
        <v>3026.99</v>
      </c>
      <c r="AL402" t="str">
        <f>"$"</f>
        <v>$</v>
      </c>
    </row>
    <row r="403" spans="1:38" x14ac:dyDescent="0.3">
      <c r="A403" t="str">
        <f>"SO20000291"</f>
        <v>SO20000291</v>
      </c>
      <c r="B403" t="str">
        <f>"E000315392"</f>
        <v>E000315392</v>
      </c>
      <c r="C403" t="str">
        <f>"בוצעה"</f>
        <v>בוצעה</v>
      </c>
      <c r="E403" s="3">
        <v>44020</v>
      </c>
      <c r="F403" s="3">
        <v>44084</v>
      </c>
      <c r="G403" t="str">
        <f>"700065"</f>
        <v>700065</v>
      </c>
      <c r="H403" t="str">
        <f>"אלתא מערכות בע""מ"</f>
        <v>אלתא מערכות בע"מ</v>
      </c>
      <c r="I403" t="str">
        <f>"ערן שלו"</f>
        <v>ערן שלו</v>
      </c>
      <c r="J403" t="str">
        <f>"OP-AR01880"</f>
        <v>OP-AR01880</v>
      </c>
      <c r="K403" s="1" t="str">
        <f>"1033M329-001 - TEST CABLE ASSY W10"</f>
        <v>1033M329-001 - TEST CABLE ASSY W10</v>
      </c>
      <c r="L403">
        <v>2</v>
      </c>
      <c r="M403" t="str">
        <f>"PR20000489"</f>
        <v>PR20000489</v>
      </c>
      <c r="N403" t="str">
        <f>"TEST CABLE ASSY W10"</f>
        <v>TEST CABLE ASSY W10</v>
      </c>
      <c r="O403">
        <v>226.57</v>
      </c>
      <c r="P403" t="str">
        <f>"$"</f>
        <v>$</v>
      </c>
      <c r="Q403" t="str">
        <f>"000"</f>
        <v>000</v>
      </c>
      <c r="R403" t="str">
        <f>"כללית"</f>
        <v>כללית</v>
      </c>
      <c r="S403" t="str">
        <f>"034"</f>
        <v>034</v>
      </c>
      <c r="T403" t="str">
        <f>"חן בזק"</f>
        <v>חן בזק</v>
      </c>
      <c r="U403">
        <v>0</v>
      </c>
      <c r="V403">
        <v>0</v>
      </c>
      <c r="W403">
        <v>226.57</v>
      </c>
      <c r="X403">
        <v>453.14</v>
      </c>
      <c r="Z403" t="str">
        <f>"Y"</f>
        <v>Y</v>
      </c>
      <c r="AA403">
        <v>0</v>
      </c>
      <c r="AC403">
        <v>0</v>
      </c>
      <c r="AE403">
        <v>0</v>
      </c>
      <c r="AF403">
        <v>0</v>
      </c>
      <c r="AG403">
        <v>782.8</v>
      </c>
      <c r="AH403">
        <v>0</v>
      </c>
      <c r="AI403" s="2">
        <v>1565.6</v>
      </c>
      <c r="AJ403">
        <v>453.14</v>
      </c>
      <c r="AK403">
        <v>453.14</v>
      </c>
      <c r="AL403" t="str">
        <f>"$"</f>
        <v>$</v>
      </c>
    </row>
    <row r="404" spans="1:38" x14ac:dyDescent="0.3">
      <c r="A404" t="str">
        <f>"SO20000291"</f>
        <v>SO20000291</v>
      </c>
      <c r="B404" t="str">
        <f>"E000315392"</f>
        <v>E000315392</v>
      </c>
      <c r="C404" t="str">
        <f>"בוצעה"</f>
        <v>בוצעה</v>
      </c>
      <c r="E404" s="3">
        <v>44020</v>
      </c>
      <c r="F404" s="3">
        <v>44084</v>
      </c>
      <c r="G404" t="str">
        <f>"700065"</f>
        <v>700065</v>
      </c>
      <c r="H404" t="str">
        <f>"אלתא מערכות בע""מ"</f>
        <v>אלתא מערכות בע"מ</v>
      </c>
      <c r="I404" t="str">
        <f>"ערן שלו"</f>
        <v>ערן שלו</v>
      </c>
      <c r="J404" t="str">
        <f>"OP-AR01881"</f>
        <v>OP-AR01881</v>
      </c>
      <c r="K404" s="1" t="str">
        <f>"1032F654-001 - HARNESS WB654 - LAB - EPU1 TO MAS"</f>
        <v>1032F654-001 - HARNESS WB654 - LAB - EPU1 TO MAS</v>
      </c>
      <c r="L404">
        <v>2</v>
      </c>
      <c r="M404" t="str">
        <f>"PR20000489"</f>
        <v>PR20000489</v>
      </c>
      <c r="N404" t="str">
        <f>"TEST CABLE ASSY W10"</f>
        <v>TEST CABLE ASSY W10</v>
      </c>
      <c r="O404">
        <v>423.4</v>
      </c>
      <c r="P404" t="str">
        <f>"$"</f>
        <v>$</v>
      </c>
      <c r="Q404" t="str">
        <f>"000"</f>
        <v>000</v>
      </c>
      <c r="R404" t="str">
        <f>"כללית"</f>
        <v>כללית</v>
      </c>
      <c r="S404" t="str">
        <f>"034"</f>
        <v>034</v>
      </c>
      <c r="T404" t="str">
        <f>"חן בזק"</f>
        <v>חן בזק</v>
      </c>
      <c r="U404">
        <v>0</v>
      </c>
      <c r="V404">
        <v>0</v>
      </c>
      <c r="W404">
        <v>423.4</v>
      </c>
      <c r="X404">
        <v>846.8</v>
      </c>
      <c r="Z404" t="str">
        <f>"Y"</f>
        <v>Y</v>
      </c>
      <c r="AA404">
        <v>0</v>
      </c>
      <c r="AC404">
        <v>0</v>
      </c>
      <c r="AE404">
        <v>0</v>
      </c>
      <c r="AF404">
        <v>0</v>
      </c>
      <c r="AG404" s="2">
        <v>1462.85</v>
      </c>
      <c r="AH404">
        <v>0</v>
      </c>
      <c r="AI404" s="2">
        <v>2925.69</v>
      </c>
      <c r="AJ404">
        <v>846.8</v>
      </c>
      <c r="AK404">
        <v>846.8</v>
      </c>
      <c r="AL404" t="str">
        <f>"$"</f>
        <v>$</v>
      </c>
    </row>
    <row r="405" spans="1:38" x14ac:dyDescent="0.3">
      <c r="A405" t="str">
        <f>"SO20000291"</f>
        <v>SO20000291</v>
      </c>
      <c r="B405" t="str">
        <f>"E000315392"</f>
        <v>E000315392</v>
      </c>
      <c r="C405" t="str">
        <f>"בוצעה"</f>
        <v>בוצעה</v>
      </c>
      <c r="E405" s="3">
        <v>44020</v>
      </c>
      <c r="F405" s="3">
        <v>44084</v>
      </c>
      <c r="G405" t="str">
        <f>"700065"</f>
        <v>700065</v>
      </c>
      <c r="H405" t="str">
        <f>"אלתא מערכות בע""מ"</f>
        <v>אלתא מערכות בע"מ</v>
      </c>
      <c r="I405" t="str">
        <f>"ערן שלו"</f>
        <v>ערן שלו</v>
      </c>
      <c r="J405" t="str">
        <f>"OP-AR01882"</f>
        <v>OP-AR01882</v>
      </c>
      <c r="K405" s="1" t="str">
        <f>"1033M328-001 - TEST CABLE ASSY W9"</f>
        <v>1033M328-001 - TEST CABLE ASSY W9</v>
      </c>
      <c r="L405">
        <v>2</v>
      </c>
      <c r="M405" t="str">
        <f>"PR20000489"</f>
        <v>PR20000489</v>
      </c>
      <c r="N405" t="str">
        <f>"TEST CABLE ASSY W10"</f>
        <v>TEST CABLE ASSY W10</v>
      </c>
      <c r="O405">
        <v>226.16</v>
      </c>
      <c r="P405" t="str">
        <f>"$"</f>
        <v>$</v>
      </c>
      <c r="Q405" t="str">
        <f>"000"</f>
        <v>000</v>
      </c>
      <c r="R405" t="str">
        <f>"כללית"</f>
        <v>כללית</v>
      </c>
      <c r="S405" t="str">
        <f>"034"</f>
        <v>034</v>
      </c>
      <c r="T405" t="str">
        <f>"חן בזק"</f>
        <v>חן בזק</v>
      </c>
      <c r="U405">
        <v>0</v>
      </c>
      <c r="V405">
        <v>0</v>
      </c>
      <c r="W405">
        <v>226.16</v>
      </c>
      <c r="X405">
        <v>452.32</v>
      </c>
      <c r="Z405" t="str">
        <f>"Y"</f>
        <v>Y</v>
      </c>
      <c r="AA405">
        <v>0</v>
      </c>
      <c r="AC405">
        <v>0</v>
      </c>
      <c r="AE405">
        <v>0</v>
      </c>
      <c r="AF405">
        <v>0</v>
      </c>
      <c r="AG405">
        <v>781.38</v>
      </c>
      <c r="AH405">
        <v>0</v>
      </c>
      <c r="AI405" s="2">
        <v>1562.77</v>
      </c>
      <c r="AJ405">
        <v>452.32</v>
      </c>
      <c r="AK405">
        <v>452.32</v>
      </c>
      <c r="AL405" t="str">
        <f>"$"</f>
        <v>$</v>
      </c>
    </row>
    <row r="406" spans="1:38" x14ac:dyDescent="0.3">
      <c r="A406" t="str">
        <f>"SO20000291"</f>
        <v>SO20000291</v>
      </c>
      <c r="B406" t="str">
        <f>"E000315392"</f>
        <v>E000315392</v>
      </c>
      <c r="C406" t="str">
        <f>"בוצעה"</f>
        <v>בוצעה</v>
      </c>
      <c r="E406" s="3">
        <v>44020</v>
      </c>
      <c r="F406" s="3">
        <v>44084</v>
      </c>
      <c r="G406" t="str">
        <f>"700065"</f>
        <v>700065</v>
      </c>
      <c r="H406" t="str">
        <f>"אלתא מערכות בע""מ"</f>
        <v>אלתא מערכות בע"מ</v>
      </c>
      <c r="I406" t="str">
        <f>"ערן שלו"</f>
        <v>ערן שלו</v>
      </c>
      <c r="J406" t="str">
        <f>"OP-AR01883"</f>
        <v>OP-AR01883</v>
      </c>
      <c r="K406" s="1" t="str">
        <f>"1032F652-001 - HARNESS WB652 - LAB - EPU1 TO INS"</f>
        <v>1032F652-001 - HARNESS WB652 - LAB - EPU1 TO INS</v>
      </c>
      <c r="L406">
        <v>2</v>
      </c>
      <c r="M406" t="str">
        <f>"PR20000489"</f>
        <v>PR20000489</v>
      </c>
      <c r="N406" t="str">
        <f>"TEST CABLE ASSY W10"</f>
        <v>TEST CABLE ASSY W10</v>
      </c>
      <c r="O406">
        <v>556.78</v>
      </c>
      <c r="P406" t="str">
        <f>"$"</f>
        <v>$</v>
      </c>
      <c r="Q406" t="str">
        <f>"000"</f>
        <v>000</v>
      </c>
      <c r="R406" t="str">
        <f>"כללית"</f>
        <v>כללית</v>
      </c>
      <c r="S406" t="str">
        <f>"034"</f>
        <v>034</v>
      </c>
      <c r="T406" t="str">
        <f>"חן בזק"</f>
        <v>חן בזק</v>
      </c>
      <c r="U406">
        <v>0</v>
      </c>
      <c r="V406">
        <v>0</v>
      </c>
      <c r="W406">
        <v>556.78</v>
      </c>
      <c r="X406" s="2">
        <v>1113.56</v>
      </c>
      <c r="Z406" t="str">
        <f>"Y"</f>
        <v>Y</v>
      </c>
      <c r="AA406">
        <v>0</v>
      </c>
      <c r="AC406">
        <v>0</v>
      </c>
      <c r="AE406">
        <v>0</v>
      </c>
      <c r="AF406">
        <v>0</v>
      </c>
      <c r="AG406" s="2">
        <v>1923.67</v>
      </c>
      <c r="AH406">
        <v>0</v>
      </c>
      <c r="AI406" s="2">
        <v>3847.35</v>
      </c>
      <c r="AJ406" s="2">
        <v>1113.56</v>
      </c>
      <c r="AK406" s="2">
        <v>1113.56</v>
      </c>
      <c r="AL406" t="str">
        <f>"$"</f>
        <v>$</v>
      </c>
    </row>
    <row r="407" spans="1:38" x14ac:dyDescent="0.3">
      <c r="A407" t="str">
        <f>"SO20000291"</f>
        <v>SO20000291</v>
      </c>
      <c r="B407" t="str">
        <f>"E000315392"</f>
        <v>E000315392</v>
      </c>
      <c r="C407" t="str">
        <f>"בוצעה"</f>
        <v>בוצעה</v>
      </c>
      <c r="E407" s="3">
        <v>44020</v>
      </c>
      <c r="F407" s="3">
        <v>44084</v>
      </c>
      <c r="G407" t="str">
        <f>"700065"</f>
        <v>700065</v>
      </c>
      <c r="H407" t="str">
        <f>"אלתא מערכות בע""מ"</f>
        <v>אלתא מערכות בע"מ</v>
      </c>
      <c r="I407" t="str">
        <f>"ערן שלו"</f>
        <v>ערן שלו</v>
      </c>
      <c r="J407" t="str">
        <f>"OP-AR01884"</f>
        <v>OP-AR01884</v>
      </c>
      <c r="K407" s="1" t="str">
        <f>"1032F653-001 - HARNESS WB653 - LAB - EPU1 TO INS"</f>
        <v>1032F653-001 - HARNESS WB653 - LAB - EPU1 TO INS</v>
      </c>
      <c r="L407">
        <v>2</v>
      </c>
      <c r="M407" t="str">
        <f>"PR20000489"</f>
        <v>PR20000489</v>
      </c>
      <c r="N407" t="str">
        <f>"TEST CABLE ASSY W10"</f>
        <v>TEST CABLE ASSY W10</v>
      </c>
      <c r="O407">
        <v>565.83000000000004</v>
      </c>
      <c r="P407" t="str">
        <f>"$"</f>
        <v>$</v>
      </c>
      <c r="Q407" t="str">
        <f>"000"</f>
        <v>000</v>
      </c>
      <c r="R407" t="str">
        <f>"כללית"</f>
        <v>כללית</v>
      </c>
      <c r="S407" t="str">
        <f>"034"</f>
        <v>034</v>
      </c>
      <c r="T407" t="str">
        <f>"חן בזק"</f>
        <v>חן בזק</v>
      </c>
      <c r="U407">
        <v>0</v>
      </c>
      <c r="V407">
        <v>0</v>
      </c>
      <c r="W407">
        <v>565.83000000000004</v>
      </c>
      <c r="X407" s="2">
        <v>1131.6600000000001</v>
      </c>
      <c r="Z407" t="str">
        <f>"Y"</f>
        <v>Y</v>
      </c>
      <c r="AA407">
        <v>0</v>
      </c>
      <c r="AC407">
        <v>0</v>
      </c>
      <c r="AE407">
        <v>0</v>
      </c>
      <c r="AF407">
        <v>0</v>
      </c>
      <c r="AG407" s="2">
        <v>1954.94</v>
      </c>
      <c r="AH407">
        <v>0</v>
      </c>
      <c r="AI407" s="2">
        <v>3909.89</v>
      </c>
      <c r="AJ407" s="2">
        <v>1131.6600000000001</v>
      </c>
      <c r="AK407" s="2">
        <v>1131.6600000000001</v>
      </c>
      <c r="AL407" t="str">
        <f>"$"</f>
        <v>$</v>
      </c>
    </row>
    <row r="408" spans="1:38" x14ac:dyDescent="0.3">
      <c r="A408" t="str">
        <f>"SO20000291"</f>
        <v>SO20000291</v>
      </c>
      <c r="B408" t="str">
        <f>"E000315392"</f>
        <v>E000315392</v>
      </c>
      <c r="C408" t="str">
        <f>"בוצעה"</f>
        <v>בוצעה</v>
      </c>
      <c r="E408" s="3">
        <v>44020</v>
      </c>
      <c r="F408" s="3">
        <v>44084</v>
      </c>
      <c r="G408" t="str">
        <f>"700065"</f>
        <v>700065</v>
      </c>
      <c r="H408" t="str">
        <f>"אלתא מערכות בע""מ"</f>
        <v>אלתא מערכות בע"מ</v>
      </c>
      <c r="I408" t="str">
        <f>"ערן שלו"</f>
        <v>ערן שלו</v>
      </c>
      <c r="J408" t="str">
        <f>"OP-AR01885"</f>
        <v>OP-AR01885</v>
      </c>
      <c r="K408" s="1" t="str">
        <f>"NRE FOR E000315392"</f>
        <v>NRE FOR E000315392</v>
      </c>
      <c r="L408">
        <v>1</v>
      </c>
      <c r="M408" t="str">
        <f>"PR20000489"</f>
        <v>PR20000489</v>
      </c>
      <c r="N408" t="str">
        <f>"TEST CABLE ASSY W10"</f>
        <v>TEST CABLE ASSY W10</v>
      </c>
      <c r="O408">
        <v>352</v>
      </c>
      <c r="P408" t="str">
        <f>"$"</f>
        <v>$</v>
      </c>
      <c r="Q408" t="str">
        <f>"000"</f>
        <v>000</v>
      </c>
      <c r="R408" t="str">
        <f>"כללית"</f>
        <v>כללית</v>
      </c>
      <c r="S408" t="str">
        <f>"034"</f>
        <v>034</v>
      </c>
      <c r="T408" t="str">
        <f>"חן בזק"</f>
        <v>חן בזק</v>
      </c>
      <c r="U408">
        <v>0</v>
      </c>
      <c r="V408">
        <v>0</v>
      </c>
      <c r="W408">
        <v>352</v>
      </c>
      <c r="X408">
        <v>352</v>
      </c>
      <c r="Z408" t="str">
        <f>"Y"</f>
        <v>Y</v>
      </c>
      <c r="AA408">
        <v>1</v>
      </c>
      <c r="AC408">
        <v>0</v>
      </c>
      <c r="AE408">
        <v>0</v>
      </c>
      <c r="AF408">
        <v>0</v>
      </c>
      <c r="AG408" s="2">
        <v>1216.1600000000001</v>
      </c>
      <c r="AH408">
        <v>0</v>
      </c>
      <c r="AI408" s="2">
        <v>1216.1600000000001</v>
      </c>
      <c r="AJ408">
        <v>352</v>
      </c>
      <c r="AK408">
        <v>352</v>
      </c>
      <c r="AL408" t="str">
        <f>"$"</f>
        <v>$</v>
      </c>
    </row>
    <row r="409" spans="1:38" x14ac:dyDescent="0.3">
      <c r="A409" t="str">
        <f>"SO20000296"</f>
        <v>SO20000296</v>
      </c>
      <c r="B409" t="str">
        <f>"E000313364"</f>
        <v>E000313364</v>
      </c>
      <c r="C409" t="str">
        <f>"בוצעה"</f>
        <v>בוצעה</v>
      </c>
      <c r="E409" s="3">
        <v>44024</v>
      </c>
      <c r="F409" s="3">
        <v>44119</v>
      </c>
      <c r="G409" t="str">
        <f>"700065"</f>
        <v>700065</v>
      </c>
      <c r="H409" t="str">
        <f>"אלתא מערכות בע""מ"</f>
        <v>אלתא מערכות בע"מ</v>
      </c>
      <c r="I409" t="str">
        <f>"ערן שלו"</f>
        <v>ערן שלו</v>
      </c>
      <c r="J409" t="str">
        <f>"OP-AR01297"</f>
        <v>OP-AR01297</v>
      </c>
      <c r="K409" s="1" t="str">
        <f>"שדרוג יחידה LB PDB"</f>
        <v>שדרוג יחידה LB PDB</v>
      </c>
      <c r="L409">
        <v>1</v>
      </c>
      <c r="M409" t="str">
        <f>"PR19000454"</f>
        <v>PR19000454</v>
      </c>
      <c r="N409" t="str">
        <f>"שדרוג יחידות LB PDB"</f>
        <v>שדרוג יחידות LB PDB</v>
      </c>
      <c r="O409">
        <v>0</v>
      </c>
      <c r="P409" t="str">
        <f>"$"</f>
        <v>$</v>
      </c>
      <c r="Q409" t="str">
        <f>"000"</f>
        <v>000</v>
      </c>
      <c r="R409" t="str">
        <f>"כללית"</f>
        <v>כללית</v>
      </c>
      <c r="S409" t="str">
        <f>"034"</f>
        <v>034</v>
      </c>
      <c r="T409" t="str">
        <f>"חן בזק"</f>
        <v>חן בזק</v>
      </c>
      <c r="U409">
        <v>0</v>
      </c>
      <c r="V409">
        <v>0</v>
      </c>
      <c r="W409">
        <v>0</v>
      </c>
      <c r="X409">
        <v>0</v>
      </c>
      <c r="Z409" t="str">
        <f>"Y"</f>
        <v>Y</v>
      </c>
      <c r="AA409">
        <v>0</v>
      </c>
      <c r="AC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 t="str">
        <f>"$"</f>
        <v>$</v>
      </c>
    </row>
    <row r="410" spans="1:38" x14ac:dyDescent="0.3">
      <c r="A410" t="str">
        <f>"SO20000298"</f>
        <v>SO20000298</v>
      </c>
      <c r="B410" t="str">
        <f>"E000315393"</f>
        <v>E000315393</v>
      </c>
      <c r="C410" t="str">
        <f>"בוצעה"</f>
        <v>בוצעה</v>
      </c>
      <c r="E410" s="3">
        <v>44026</v>
      </c>
      <c r="F410" s="3">
        <v>44134</v>
      </c>
      <c r="G410" t="str">
        <f>"700065"</f>
        <v>700065</v>
      </c>
      <c r="H410" t="str">
        <f>"אלתא מערכות בע""מ"</f>
        <v>אלתא מערכות בע"מ</v>
      </c>
      <c r="I410" t="str">
        <f>"ערן שלו"</f>
        <v>ערן שלו</v>
      </c>
      <c r="J410" t="str">
        <f>"OP-AR01887"</f>
        <v>OP-AR01887</v>
      </c>
      <c r="K410" s="1" t="str">
        <f>"1019K308-001 - CABLE ASSY W5"</f>
        <v>1019K308-001 - CABLE ASSY W5</v>
      </c>
      <c r="L410">
        <v>1</v>
      </c>
      <c r="M410" t="str">
        <f>"PR20000490"</f>
        <v>PR20000490</v>
      </c>
      <c r="N410" t="str">
        <f>"CABLE ASSY W5"</f>
        <v>CABLE ASSY W5</v>
      </c>
      <c r="O410">
        <v>308.52999999999997</v>
      </c>
      <c r="P410" t="str">
        <f>"$"</f>
        <v>$</v>
      </c>
      <c r="Q410" t="str">
        <f>"000"</f>
        <v>000</v>
      </c>
      <c r="R410" t="str">
        <f>"כללית"</f>
        <v>כללית</v>
      </c>
      <c r="S410" t="str">
        <f>"034"</f>
        <v>034</v>
      </c>
      <c r="T410" t="str">
        <f>"חן בזק"</f>
        <v>חן בזק</v>
      </c>
      <c r="U410">
        <v>0</v>
      </c>
      <c r="V410">
        <v>0</v>
      </c>
      <c r="W410">
        <v>308.52999999999997</v>
      </c>
      <c r="X410">
        <v>308.52999999999997</v>
      </c>
      <c r="Z410" t="str">
        <f>"Y"</f>
        <v>Y</v>
      </c>
      <c r="AA410">
        <v>0</v>
      </c>
      <c r="AC410">
        <v>0</v>
      </c>
      <c r="AE410">
        <v>0</v>
      </c>
      <c r="AF410">
        <v>0</v>
      </c>
      <c r="AG410" s="2">
        <v>1061.96</v>
      </c>
      <c r="AH410">
        <v>0</v>
      </c>
      <c r="AI410" s="2">
        <v>1061.96</v>
      </c>
      <c r="AJ410">
        <v>308.52999999999997</v>
      </c>
      <c r="AK410">
        <v>308.52999999999997</v>
      </c>
      <c r="AL410" t="str">
        <f>"$"</f>
        <v>$</v>
      </c>
    </row>
    <row r="411" spans="1:38" x14ac:dyDescent="0.3">
      <c r="A411" t="str">
        <f>"SO20000298"</f>
        <v>SO20000298</v>
      </c>
      <c r="B411" t="str">
        <f>"E000315393"</f>
        <v>E000315393</v>
      </c>
      <c r="C411" t="str">
        <f>"בוצעה"</f>
        <v>בוצעה</v>
      </c>
      <c r="E411" s="3">
        <v>44026</v>
      </c>
      <c r="F411" s="3">
        <v>44134</v>
      </c>
      <c r="G411" t="str">
        <f>"700065"</f>
        <v>700065</v>
      </c>
      <c r="H411" t="str">
        <f>"אלתא מערכות בע""מ"</f>
        <v>אלתא מערכות בע"מ</v>
      </c>
      <c r="I411" t="str">
        <f>"ערן שלו"</f>
        <v>ערן שלו</v>
      </c>
      <c r="J411" t="str">
        <f>"OP-AR01888"</f>
        <v>OP-AR01888</v>
      </c>
      <c r="K411" s="1" t="str">
        <f>"1021M844-001 - CABLE ASSY W24"</f>
        <v>1021M844-001 - CABLE ASSY W24</v>
      </c>
      <c r="L411">
        <v>1</v>
      </c>
      <c r="M411" t="str">
        <f>"PR20000490"</f>
        <v>PR20000490</v>
      </c>
      <c r="N411" t="str">
        <f>"CABLE ASSY W5"</f>
        <v>CABLE ASSY W5</v>
      </c>
      <c r="O411">
        <v>691.48</v>
      </c>
      <c r="P411" t="str">
        <f>"$"</f>
        <v>$</v>
      </c>
      <c r="Q411" t="str">
        <f>"000"</f>
        <v>000</v>
      </c>
      <c r="R411" t="str">
        <f>"כללית"</f>
        <v>כללית</v>
      </c>
      <c r="S411" t="str">
        <f>"034"</f>
        <v>034</v>
      </c>
      <c r="T411" t="str">
        <f>"חן בזק"</f>
        <v>חן בזק</v>
      </c>
      <c r="U411">
        <v>0</v>
      </c>
      <c r="V411">
        <v>0</v>
      </c>
      <c r="W411">
        <v>691.48</v>
      </c>
      <c r="X411">
        <v>691.48</v>
      </c>
      <c r="Z411" t="str">
        <f>"Y"</f>
        <v>Y</v>
      </c>
      <c r="AA411">
        <v>0</v>
      </c>
      <c r="AC411">
        <v>0</v>
      </c>
      <c r="AE411">
        <v>0</v>
      </c>
      <c r="AF411">
        <v>0</v>
      </c>
      <c r="AG411" s="2">
        <v>2380.0700000000002</v>
      </c>
      <c r="AH411">
        <v>0</v>
      </c>
      <c r="AI411" s="2">
        <v>2380.0700000000002</v>
      </c>
      <c r="AJ411">
        <v>691.48</v>
      </c>
      <c r="AK411">
        <v>691.48</v>
      </c>
      <c r="AL411" t="str">
        <f>"$"</f>
        <v>$</v>
      </c>
    </row>
    <row r="412" spans="1:38" x14ac:dyDescent="0.3">
      <c r="A412" t="str">
        <f>"SO20000298"</f>
        <v>SO20000298</v>
      </c>
      <c r="B412" t="str">
        <f>"E000315393"</f>
        <v>E000315393</v>
      </c>
      <c r="C412" t="str">
        <f>"בוצעה"</f>
        <v>בוצעה</v>
      </c>
      <c r="E412" s="3">
        <v>44026</v>
      </c>
      <c r="F412" s="3">
        <v>44134</v>
      </c>
      <c r="G412" t="str">
        <f>"700065"</f>
        <v>700065</v>
      </c>
      <c r="H412" t="str">
        <f>"אלתא מערכות בע""מ"</f>
        <v>אלתא מערכות בע"מ</v>
      </c>
      <c r="I412" t="str">
        <f>"ערן שלו"</f>
        <v>ערן שלו</v>
      </c>
      <c r="J412" t="str">
        <f>"OP-AR01889"</f>
        <v>OP-AR01889</v>
      </c>
      <c r="K412" s="1" t="str">
        <f>"1021M846-001 - CABLE ASSY W25"</f>
        <v>1021M846-001 - CABLE ASSY W25</v>
      </c>
      <c r="L412">
        <v>1</v>
      </c>
      <c r="M412" t="str">
        <f>"PR20000490"</f>
        <v>PR20000490</v>
      </c>
      <c r="N412" t="str">
        <f>"CABLE ASSY W5"</f>
        <v>CABLE ASSY W5</v>
      </c>
      <c r="O412">
        <v>718.76</v>
      </c>
      <c r="P412" t="str">
        <f>"$"</f>
        <v>$</v>
      </c>
      <c r="Q412" t="str">
        <f>"000"</f>
        <v>000</v>
      </c>
      <c r="R412" t="str">
        <f>"כללית"</f>
        <v>כללית</v>
      </c>
      <c r="S412" t="str">
        <f>"034"</f>
        <v>034</v>
      </c>
      <c r="T412" t="str">
        <f>"חן בזק"</f>
        <v>חן בזק</v>
      </c>
      <c r="U412">
        <v>0</v>
      </c>
      <c r="V412">
        <v>0</v>
      </c>
      <c r="W412">
        <v>718.76</v>
      </c>
      <c r="X412">
        <v>718.76</v>
      </c>
      <c r="Z412" t="str">
        <f>"Y"</f>
        <v>Y</v>
      </c>
      <c r="AA412">
        <v>0</v>
      </c>
      <c r="AC412">
        <v>0</v>
      </c>
      <c r="AE412">
        <v>0</v>
      </c>
      <c r="AF412">
        <v>0</v>
      </c>
      <c r="AG412" s="2">
        <v>2473.9699999999998</v>
      </c>
      <c r="AH412">
        <v>0</v>
      </c>
      <c r="AI412" s="2">
        <v>2473.9699999999998</v>
      </c>
      <c r="AJ412">
        <v>718.76</v>
      </c>
      <c r="AK412">
        <v>718.76</v>
      </c>
      <c r="AL412" t="str">
        <f>"$"</f>
        <v>$</v>
      </c>
    </row>
    <row r="413" spans="1:38" x14ac:dyDescent="0.3">
      <c r="A413" t="str">
        <f>"SO20000298"</f>
        <v>SO20000298</v>
      </c>
      <c r="B413" t="str">
        <f>"E000315393"</f>
        <v>E000315393</v>
      </c>
      <c r="C413" t="str">
        <f>"בוצעה"</f>
        <v>בוצעה</v>
      </c>
      <c r="E413" s="3">
        <v>44026</v>
      </c>
      <c r="F413" s="3">
        <v>44134</v>
      </c>
      <c r="G413" t="str">
        <f>"700065"</f>
        <v>700065</v>
      </c>
      <c r="H413" t="str">
        <f>"אלתא מערכות בע""מ"</f>
        <v>אלתא מערכות בע"מ</v>
      </c>
      <c r="I413" t="str">
        <f>"ערן שלו"</f>
        <v>ערן שלו</v>
      </c>
      <c r="J413" t="str">
        <f>"OP-AR01890"</f>
        <v>OP-AR01890</v>
      </c>
      <c r="K413" s="1" t="str">
        <f>"1021M816-001 - CABLE ASSY W30"</f>
        <v>1021M816-001 - CABLE ASSY W30</v>
      </c>
      <c r="L413">
        <v>1</v>
      </c>
      <c r="M413" t="str">
        <f>"PR20000490"</f>
        <v>PR20000490</v>
      </c>
      <c r="N413" t="str">
        <f>"CABLE ASSY W5"</f>
        <v>CABLE ASSY W5</v>
      </c>
      <c r="O413">
        <v>335.88</v>
      </c>
      <c r="P413" t="str">
        <f>"$"</f>
        <v>$</v>
      </c>
      <c r="Q413" t="str">
        <f>"000"</f>
        <v>000</v>
      </c>
      <c r="R413" t="str">
        <f>"כללית"</f>
        <v>כללית</v>
      </c>
      <c r="S413" t="str">
        <f>"034"</f>
        <v>034</v>
      </c>
      <c r="T413" t="str">
        <f>"חן בזק"</f>
        <v>חן בזק</v>
      </c>
      <c r="U413">
        <v>0</v>
      </c>
      <c r="V413">
        <v>0</v>
      </c>
      <c r="W413">
        <v>335.88</v>
      </c>
      <c r="X413">
        <v>335.88</v>
      </c>
      <c r="Z413" t="str">
        <f>"Y"</f>
        <v>Y</v>
      </c>
      <c r="AA413">
        <v>0</v>
      </c>
      <c r="AC413">
        <v>0</v>
      </c>
      <c r="AE413">
        <v>0</v>
      </c>
      <c r="AF413">
        <v>0</v>
      </c>
      <c r="AG413" s="2">
        <v>1156.0999999999999</v>
      </c>
      <c r="AH413">
        <v>0</v>
      </c>
      <c r="AI413" s="2">
        <v>1156.0999999999999</v>
      </c>
      <c r="AJ413">
        <v>335.88</v>
      </c>
      <c r="AK413">
        <v>335.88</v>
      </c>
      <c r="AL413" t="str">
        <f>"$"</f>
        <v>$</v>
      </c>
    </row>
    <row r="414" spans="1:38" x14ac:dyDescent="0.3">
      <c r="A414" t="str">
        <f>"SO20000298"</f>
        <v>SO20000298</v>
      </c>
      <c r="B414" t="str">
        <f>"E000315393"</f>
        <v>E000315393</v>
      </c>
      <c r="C414" t="str">
        <f>"בוצעה"</f>
        <v>בוצעה</v>
      </c>
      <c r="E414" s="3">
        <v>44026</v>
      </c>
      <c r="F414" s="3">
        <v>44134</v>
      </c>
      <c r="G414" t="str">
        <f>"700065"</f>
        <v>700065</v>
      </c>
      <c r="H414" t="str">
        <f>"אלתא מערכות בע""מ"</f>
        <v>אלתא מערכות בע"מ</v>
      </c>
      <c r="I414" t="str">
        <f>"ערן שלו"</f>
        <v>ערן שלו</v>
      </c>
      <c r="J414" t="str">
        <f>"OP-AR01891"</f>
        <v>OP-AR01891</v>
      </c>
      <c r="K414" s="1" t="str">
        <f>"1021M818-001 - CABLE ASSY W31"</f>
        <v>1021M818-001 - CABLE ASSY W31</v>
      </c>
      <c r="L414">
        <v>1</v>
      </c>
      <c r="M414" t="str">
        <f>"PR20000490"</f>
        <v>PR20000490</v>
      </c>
      <c r="N414" t="str">
        <f>"CABLE ASSY W5"</f>
        <v>CABLE ASSY W5</v>
      </c>
      <c r="O414">
        <v>347.01</v>
      </c>
      <c r="P414" t="str">
        <f>"$"</f>
        <v>$</v>
      </c>
      <c r="Q414" t="str">
        <f>"000"</f>
        <v>000</v>
      </c>
      <c r="R414" t="str">
        <f>"כללית"</f>
        <v>כללית</v>
      </c>
      <c r="S414" t="str">
        <f>"034"</f>
        <v>034</v>
      </c>
      <c r="T414" t="str">
        <f>"חן בזק"</f>
        <v>חן בזק</v>
      </c>
      <c r="U414">
        <v>0</v>
      </c>
      <c r="V414">
        <v>0</v>
      </c>
      <c r="W414">
        <v>347.01</v>
      </c>
      <c r="X414">
        <v>347.01</v>
      </c>
      <c r="Z414" t="str">
        <f>"Y"</f>
        <v>Y</v>
      </c>
      <c r="AA414">
        <v>0</v>
      </c>
      <c r="AC414">
        <v>0</v>
      </c>
      <c r="AE414">
        <v>0</v>
      </c>
      <c r="AF414">
        <v>0</v>
      </c>
      <c r="AG414" s="2">
        <v>1194.4100000000001</v>
      </c>
      <c r="AH414">
        <v>0</v>
      </c>
      <c r="AI414" s="2">
        <v>1194.4100000000001</v>
      </c>
      <c r="AJ414">
        <v>347.01</v>
      </c>
      <c r="AK414">
        <v>347.01</v>
      </c>
      <c r="AL414" t="str">
        <f>"$"</f>
        <v>$</v>
      </c>
    </row>
    <row r="415" spans="1:38" x14ac:dyDescent="0.3">
      <c r="A415" t="str">
        <f>"SO20000298"</f>
        <v>SO20000298</v>
      </c>
      <c r="B415" t="str">
        <f>"E000315393"</f>
        <v>E000315393</v>
      </c>
      <c r="C415" t="str">
        <f>"בוצעה"</f>
        <v>בוצעה</v>
      </c>
      <c r="E415" s="3">
        <v>44026</v>
      </c>
      <c r="F415" s="3">
        <v>44134</v>
      </c>
      <c r="G415" t="str">
        <f>"700065"</f>
        <v>700065</v>
      </c>
      <c r="H415" t="str">
        <f>"אלתא מערכות בע""מ"</f>
        <v>אלתא מערכות בע"מ</v>
      </c>
      <c r="I415" t="str">
        <f>"ערן שלו"</f>
        <v>ערן שלו</v>
      </c>
      <c r="J415" t="str">
        <f>"OP-AR01892"</f>
        <v>OP-AR01892</v>
      </c>
      <c r="K415" s="1" t="str">
        <f>"1021M808-001 - CABLE ASSY W32"</f>
        <v>1021M808-001 - CABLE ASSY W32</v>
      </c>
      <c r="L415">
        <v>1</v>
      </c>
      <c r="M415" t="str">
        <f>"PR20000490"</f>
        <v>PR20000490</v>
      </c>
      <c r="N415" t="str">
        <f>"CABLE ASSY W5"</f>
        <v>CABLE ASSY W5</v>
      </c>
      <c r="O415">
        <v>300.17</v>
      </c>
      <c r="P415" t="str">
        <f>"$"</f>
        <v>$</v>
      </c>
      <c r="Q415" t="str">
        <f>"000"</f>
        <v>000</v>
      </c>
      <c r="R415" t="str">
        <f>"כללית"</f>
        <v>כללית</v>
      </c>
      <c r="S415" t="str">
        <f>"034"</f>
        <v>034</v>
      </c>
      <c r="T415" t="str">
        <f>"חן בזק"</f>
        <v>חן בזק</v>
      </c>
      <c r="U415">
        <v>0</v>
      </c>
      <c r="V415">
        <v>0</v>
      </c>
      <c r="W415">
        <v>300.17</v>
      </c>
      <c r="X415">
        <v>300.17</v>
      </c>
      <c r="Z415" t="str">
        <f>"Y"</f>
        <v>Y</v>
      </c>
      <c r="AA415">
        <v>0</v>
      </c>
      <c r="AC415">
        <v>0</v>
      </c>
      <c r="AE415">
        <v>0</v>
      </c>
      <c r="AF415">
        <v>0</v>
      </c>
      <c r="AG415" s="2">
        <v>1033.19</v>
      </c>
      <c r="AH415">
        <v>0</v>
      </c>
      <c r="AI415" s="2">
        <v>1033.19</v>
      </c>
      <c r="AJ415">
        <v>300.17</v>
      </c>
      <c r="AK415">
        <v>300.17</v>
      </c>
      <c r="AL415" t="str">
        <f>"$"</f>
        <v>$</v>
      </c>
    </row>
    <row r="416" spans="1:38" x14ac:dyDescent="0.3">
      <c r="A416" t="str">
        <f>"SO20000298"</f>
        <v>SO20000298</v>
      </c>
      <c r="B416" t="str">
        <f>"E000315393"</f>
        <v>E000315393</v>
      </c>
      <c r="C416" t="str">
        <f>"בוצעה"</f>
        <v>בוצעה</v>
      </c>
      <c r="E416" s="3">
        <v>44026</v>
      </c>
      <c r="F416" s="3">
        <v>44168</v>
      </c>
      <c r="G416" t="str">
        <f>"700065"</f>
        <v>700065</v>
      </c>
      <c r="H416" t="str">
        <f>"אלתא מערכות בע""מ"</f>
        <v>אלתא מערכות בע"מ</v>
      </c>
      <c r="I416" t="str">
        <f>"ערן שלו"</f>
        <v>ערן שלו</v>
      </c>
      <c r="J416" t="str">
        <f>"OP-AR01893"</f>
        <v>OP-AR01893</v>
      </c>
      <c r="K416" s="1" t="str">
        <f>"כבלים לבדיקת NRE FOR E000315393 RVDU"</f>
        <v>כבלים לבדיקת NRE FOR E000315393 RVDU</v>
      </c>
      <c r="L416">
        <v>1</v>
      </c>
      <c r="M416" t="str">
        <f>"PR20000490"</f>
        <v>PR20000490</v>
      </c>
      <c r="N416" t="str">
        <f>"CABLE ASSY W5"</f>
        <v>CABLE ASSY W5</v>
      </c>
      <c r="O416">
        <v>250</v>
      </c>
      <c r="P416" t="str">
        <f>"$"</f>
        <v>$</v>
      </c>
      <c r="Q416" t="str">
        <f>"000"</f>
        <v>000</v>
      </c>
      <c r="R416" t="str">
        <f>"כללית"</f>
        <v>כללית</v>
      </c>
      <c r="S416" t="str">
        <f>"034"</f>
        <v>034</v>
      </c>
      <c r="T416" t="str">
        <f>"חן בזק"</f>
        <v>חן בזק</v>
      </c>
      <c r="U416">
        <v>0</v>
      </c>
      <c r="V416">
        <v>0</v>
      </c>
      <c r="W416">
        <v>250</v>
      </c>
      <c r="X416">
        <v>250</v>
      </c>
      <c r="Z416" t="str">
        <f>"Y"</f>
        <v>Y</v>
      </c>
      <c r="AA416">
        <v>1</v>
      </c>
      <c r="AC416">
        <v>0</v>
      </c>
      <c r="AE416">
        <v>0</v>
      </c>
      <c r="AF416">
        <v>0</v>
      </c>
      <c r="AG416">
        <v>860.5</v>
      </c>
      <c r="AH416">
        <v>0</v>
      </c>
      <c r="AI416">
        <v>860.5</v>
      </c>
      <c r="AJ416">
        <v>250</v>
      </c>
      <c r="AK416">
        <v>250</v>
      </c>
      <c r="AL416" t="str">
        <f>"$"</f>
        <v>$</v>
      </c>
    </row>
    <row r="417" spans="1:38" x14ac:dyDescent="0.3">
      <c r="A417" t="str">
        <f>"SO20000301"</f>
        <v>SO20000301</v>
      </c>
      <c r="B417" t="str">
        <f>"E000317035"</f>
        <v>E000317035</v>
      </c>
      <c r="C417" t="str">
        <f>"בוצעה"</f>
        <v>בוצעה</v>
      </c>
      <c r="E417" s="3">
        <v>44028</v>
      </c>
      <c r="F417" s="3">
        <v>44175</v>
      </c>
      <c r="G417" t="str">
        <f>"700065"</f>
        <v>700065</v>
      </c>
      <c r="H417" t="str">
        <f>"אלתא מערכות בע""מ"</f>
        <v>אלתא מערכות בע"מ</v>
      </c>
      <c r="I417" t="str">
        <f>"ערן שלו"</f>
        <v>ערן שלו</v>
      </c>
      <c r="J417" t="str">
        <f>"cust00972"</f>
        <v>cust00972</v>
      </c>
      <c r="K417" s="1" t="str">
        <f>"P331030000 Module MEDIA אלתא"</f>
        <v>P331030000 Module MEDIA אלתא</v>
      </c>
      <c r="L417">
        <v>1</v>
      </c>
      <c r="O417">
        <v>0.01</v>
      </c>
      <c r="P417" t="str">
        <f>"$"</f>
        <v>$</v>
      </c>
      <c r="Q417" t="str">
        <f>"000"</f>
        <v>000</v>
      </c>
      <c r="R417" t="str">
        <f>"כללית"</f>
        <v>כללית</v>
      </c>
      <c r="S417" t="str">
        <f>"034"</f>
        <v>034</v>
      </c>
      <c r="T417" t="str">
        <f>"חן בזק"</f>
        <v>חן בזק</v>
      </c>
      <c r="U417">
        <v>0</v>
      </c>
      <c r="V417">
        <v>0</v>
      </c>
      <c r="W417">
        <v>0.01</v>
      </c>
      <c r="X417">
        <v>0.01</v>
      </c>
      <c r="Z417" t="str">
        <f>"Y"</f>
        <v>Y</v>
      </c>
      <c r="AA417">
        <v>0</v>
      </c>
      <c r="AC417">
        <v>0</v>
      </c>
      <c r="AE417">
        <v>0</v>
      </c>
      <c r="AF417">
        <v>0</v>
      </c>
      <c r="AG417">
        <v>0.03</v>
      </c>
      <c r="AH417">
        <v>0</v>
      </c>
      <c r="AI417">
        <v>0.03</v>
      </c>
      <c r="AJ417">
        <v>0.01</v>
      </c>
      <c r="AK417">
        <v>0.01</v>
      </c>
      <c r="AL417" t="str">
        <f>"$"</f>
        <v>$</v>
      </c>
    </row>
    <row r="418" spans="1:38" x14ac:dyDescent="0.3">
      <c r="A418" t="str">
        <f>"SO20000301"</f>
        <v>SO20000301</v>
      </c>
      <c r="B418" t="str">
        <f>"E000317035"</f>
        <v>E000317035</v>
      </c>
      <c r="C418" t="str">
        <f>"בוצעה"</f>
        <v>בוצעה</v>
      </c>
      <c r="E418" s="3">
        <v>44028</v>
      </c>
      <c r="F418" s="3">
        <v>44175</v>
      </c>
      <c r="G418" t="str">
        <f>"700065"</f>
        <v>700065</v>
      </c>
      <c r="H418" t="str">
        <f>"אלתא מערכות בע""מ"</f>
        <v>אלתא מערכות בע"מ</v>
      </c>
      <c r="I418" t="str">
        <f>"ערן שלו"</f>
        <v>ערן שלו</v>
      </c>
      <c r="J418" t="str">
        <f>"cust00972"</f>
        <v>cust00972</v>
      </c>
      <c r="K418" s="1" t="str">
        <f>"P331030000 Module MEDIA אלתא"</f>
        <v>P331030000 Module MEDIA אלתא</v>
      </c>
      <c r="L418">
        <v>1</v>
      </c>
      <c r="O418">
        <v>0.01</v>
      </c>
      <c r="P418" t="str">
        <f>"$"</f>
        <v>$</v>
      </c>
      <c r="Q418" t="str">
        <f>"000"</f>
        <v>000</v>
      </c>
      <c r="R418" t="str">
        <f>"כללית"</f>
        <v>כללית</v>
      </c>
      <c r="S418" t="str">
        <f>"034"</f>
        <v>034</v>
      </c>
      <c r="T418" t="str">
        <f>"חן בזק"</f>
        <v>חן בזק</v>
      </c>
      <c r="U418">
        <v>0</v>
      </c>
      <c r="V418">
        <v>0</v>
      </c>
      <c r="W418">
        <v>0.01</v>
      </c>
      <c r="X418">
        <v>0.01</v>
      </c>
      <c r="Z418" t="str">
        <f>"Y"</f>
        <v>Y</v>
      </c>
      <c r="AA418">
        <v>0</v>
      </c>
      <c r="AC418">
        <v>0</v>
      </c>
      <c r="AE418">
        <v>0</v>
      </c>
      <c r="AF418">
        <v>0</v>
      </c>
      <c r="AG418">
        <v>0.03</v>
      </c>
      <c r="AH418">
        <v>0</v>
      </c>
      <c r="AI418">
        <v>0.03</v>
      </c>
      <c r="AJ418">
        <v>0.01</v>
      </c>
      <c r="AK418">
        <v>0.01</v>
      </c>
      <c r="AL418" t="str">
        <f>"$"</f>
        <v>$</v>
      </c>
    </row>
    <row r="419" spans="1:38" x14ac:dyDescent="0.3">
      <c r="A419" t="str">
        <f>"SO20000301"</f>
        <v>SO20000301</v>
      </c>
      <c r="B419" t="str">
        <f>"E000317035"</f>
        <v>E000317035</v>
      </c>
      <c r="C419" t="str">
        <f>"בוצעה"</f>
        <v>בוצעה</v>
      </c>
      <c r="E419" s="3">
        <v>44028</v>
      </c>
      <c r="F419" s="3">
        <v>44175</v>
      </c>
      <c r="G419" t="str">
        <f>"700065"</f>
        <v>700065</v>
      </c>
      <c r="H419" t="str">
        <f>"אלתא מערכות בע""מ"</f>
        <v>אלתא מערכות בע"מ</v>
      </c>
      <c r="I419" t="str">
        <f>"ערן שלו"</f>
        <v>ערן שלו</v>
      </c>
      <c r="J419" t="str">
        <f>"cust00971"</f>
        <v>cust00971</v>
      </c>
      <c r="K419" s="1" t="str">
        <f>"DPR6000B-48 אלתא"</f>
        <v>DPR6000B-48 אלתא</v>
      </c>
      <c r="L419">
        <v>1</v>
      </c>
      <c r="O419">
        <v>0.01</v>
      </c>
      <c r="P419" t="str">
        <f>"$"</f>
        <v>$</v>
      </c>
      <c r="Q419" t="str">
        <f>"000"</f>
        <v>000</v>
      </c>
      <c r="R419" t="str">
        <f>"כללית"</f>
        <v>כללית</v>
      </c>
      <c r="S419" t="str">
        <f>"034"</f>
        <v>034</v>
      </c>
      <c r="T419" t="str">
        <f>"חן בזק"</f>
        <v>חן בזק</v>
      </c>
      <c r="U419">
        <v>0</v>
      </c>
      <c r="V419">
        <v>0</v>
      </c>
      <c r="W419">
        <v>0.01</v>
      </c>
      <c r="X419">
        <v>0.01</v>
      </c>
      <c r="Z419" t="str">
        <f>"Y"</f>
        <v>Y</v>
      </c>
      <c r="AA419">
        <v>0</v>
      </c>
      <c r="AC419">
        <v>0</v>
      </c>
      <c r="AE419">
        <v>0</v>
      </c>
      <c r="AF419">
        <v>0</v>
      </c>
      <c r="AG419">
        <v>0.03</v>
      </c>
      <c r="AH419">
        <v>0</v>
      </c>
      <c r="AI419">
        <v>0.03</v>
      </c>
      <c r="AJ419">
        <v>0.01</v>
      </c>
      <c r="AK419">
        <v>0.01</v>
      </c>
      <c r="AL419" t="str">
        <f>"$"</f>
        <v>$</v>
      </c>
    </row>
    <row r="420" spans="1:38" x14ac:dyDescent="0.3">
      <c r="A420" t="str">
        <f>"SO20000301"</f>
        <v>SO20000301</v>
      </c>
      <c r="B420" t="str">
        <f>"E000317035"</f>
        <v>E000317035</v>
      </c>
      <c r="C420" t="str">
        <f>"בוצעה"</f>
        <v>בוצעה</v>
      </c>
      <c r="E420" s="3">
        <v>44028</v>
      </c>
      <c r="F420" s="3">
        <v>44175</v>
      </c>
      <c r="G420" t="str">
        <f>"700065"</f>
        <v>700065</v>
      </c>
      <c r="H420" t="str">
        <f>"אלתא מערכות בע""מ"</f>
        <v>אלתא מערכות בע"מ</v>
      </c>
      <c r="I420" t="str">
        <f>"ערן שלו"</f>
        <v>ערן שלו</v>
      </c>
      <c r="J420" t="str">
        <f>"cust00971"</f>
        <v>cust00971</v>
      </c>
      <c r="K420" s="1" t="str">
        <f>"DPR6000B-48 אלתא"</f>
        <v>DPR6000B-48 אלתא</v>
      </c>
      <c r="L420">
        <v>1</v>
      </c>
      <c r="O420">
        <v>0.01</v>
      </c>
      <c r="P420" t="str">
        <f>"$"</f>
        <v>$</v>
      </c>
      <c r="Q420" t="str">
        <f>"000"</f>
        <v>000</v>
      </c>
      <c r="R420" t="str">
        <f>"כללית"</f>
        <v>כללית</v>
      </c>
      <c r="S420" t="str">
        <f>"034"</f>
        <v>034</v>
      </c>
      <c r="T420" t="str">
        <f>"חן בזק"</f>
        <v>חן בזק</v>
      </c>
      <c r="U420">
        <v>0</v>
      </c>
      <c r="V420">
        <v>0</v>
      </c>
      <c r="W420">
        <v>0.01</v>
      </c>
      <c r="X420">
        <v>0.01</v>
      </c>
      <c r="Z420" t="str">
        <f>"Y"</f>
        <v>Y</v>
      </c>
      <c r="AA420">
        <v>0</v>
      </c>
      <c r="AC420">
        <v>0</v>
      </c>
      <c r="AE420">
        <v>0</v>
      </c>
      <c r="AF420">
        <v>0</v>
      </c>
      <c r="AG420">
        <v>0.03</v>
      </c>
      <c r="AH420">
        <v>0</v>
      </c>
      <c r="AI420">
        <v>0.03</v>
      </c>
      <c r="AJ420">
        <v>0.01</v>
      </c>
      <c r="AK420">
        <v>0.01</v>
      </c>
      <c r="AL420" t="str">
        <f>"$"</f>
        <v>$</v>
      </c>
    </row>
    <row r="421" spans="1:38" x14ac:dyDescent="0.3">
      <c r="A421" t="str">
        <f>"SO20000302"</f>
        <v>SO20000302</v>
      </c>
      <c r="B421" t="str">
        <f>"E000315867"</f>
        <v>E000315867</v>
      </c>
      <c r="C421" t="str">
        <f>"בוצעה"</f>
        <v>בוצעה</v>
      </c>
      <c r="E421" s="3">
        <v>44028</v>
      </c>
      <c r="F421" s="3">
        <v>44166</v>
      </c>
      <c r="G421" t="str">
        <f>"700065"</f>
        <v>700065</v>
      </c>
      <c r="H421" t="str">
        <f>"אלתא מערכות בע""מ"</f>
        <v>אלתא מערכות בע"מ</v>
      </c>
      <c r="I421" t="str">
        <f>"ערן שלו"</f>
        <v>ערן שלו</v>
      </c>
      <c r="J421" t="str">
        <f>"OP-AR01894"</f>
        <v>OP-AR01894</v>
      </c>
      <c r="K421" s="1" t="str">
        <f>"1027L257-001 - CABLE ASSY WR007"</f>
        <v>1027L257-001 - CABLE ASSY WR007</v>
      </c>
      <c r="L421">
        <v>7</v>
      </c>
      <c r="M421" t="str">
        <f>"PR20000495"</f>
        <v>PR20000495</v>
      </c>
      <c r="N421" t="str">
        <f>"DC POWER 28V TO MCS FAN"</f>
        <v>DC POWER 28V TO MCS FAN</v>
      </c>
      <c r="O421">
        <v>262.02</v>
      </c>
      <c r="P421" t="str">
        <f>"$"</f>
        <v>$</v>
      </c>
      <c r="Q421" t="str">
        <f>"117"</f>
        <v>117</v>
      </c>
      <c r="R421" t="str">
        <f>"רתמות"</f>
        <v>רתמות</v>
      </c>
      <c r="S421" t="str">
        <f>"034"</f>
        <v>034</v>
      </c>
      <c r="T421" t="str">
        <f>"חן בזק"</f>
        <v>חן בזק</v>
      </c>
      <c r="U421">
        <v>0</v>
      </c>
      <c r="V421">
        <v>0</v>
      </c>
      <c r="W421">
        <v>262.02</v>
      </c>
      <c r="X421" s="2">
        <v>1834.14</v>
      </c>
      <c r="Z421" t="str">
        <f>"Y"</f>
        <v>Y</v>
      </c>
      <c r="AA421">
        <v>0</v>
      </c>
      <c r="AC421">
        <v>0</v>
      </c>
      <c r="AE421">
        <v>0</v>
      </c>
      <c r="AF421">
        <v>0</v>
      </c>
      <c r="AG421">
        <v>897.94</v>
      </c>
      <c r="AH421">
        <v>0</v>
      </c>
      <c r="AI421" s="2">
        <v>6285.6</v>
      </c>
      <c r="AJ421" s="2">
        <v>1834.14</v>
      </c>
      <c r="AK421" s="2">
        <v>1834.14</v>
      </c>
      <c r="AL421" t="str">
        <f>"$"</f>
        <v>$</v>
      </c>
    </row>
    <row r="422" spans="1:38" x14ac:dyDescent="0.3">
      <c r="A422" t="str">
        <f>"SO20000302"</f>
        <v>SO20000302</v>
      </c>
      <c r="B422" t="str">
        <f>"E000315867"</f>
        <v>E000315867</v>
      </c>
      <c r="C422" t="str">
        <f>"בוצעה"</f>
        <v>בוצעה</v>
      </c>
      <c r="E422" s="3">
        <v>44028</v>
      </c>
      <c r="F422" s="3">
        <v>44166</v>
      </c>
      <c r="G422" t="str">
        <f>"700065"</f>
        <v>700065</v>
      </c>
      <c r="H422" t="str">
        <f>"אלתא מערכות בע""מ"</f>
        <v>אלתא מערכות בע"מ</v>
      </c>
      <c r="I422" t="str">
        <f>"ערן שלו"</f>
        <v>ערן שלו</v>
      </c>
      <c r="J422" t="str">
        <f>"OP-AR01895"</f>
        <v>OP-AR01895</v>
      </c>
      <c r="K422" s="1" t="str">
        <f>"1027L258-002 - CABLE ASSY WR008"</f>
        <v>1027L258-002 - CABLE ASSY WR008</v>
      </c>
      <c r="L422">
        <v>7</v>
      </c>
      <c r="M422" t="str">
        <f>"PR20000495"</f>
        <v>PR20000495</v>
      </c>
      <c r="N422" t="str">
        <f>"DC POWER 28V TO MCS FAN"</f>
        <v>DC POWER 28V TO MCS FAN</v>
      </c>
      <c r="O422">
        <v>302.10000000000002</v>
      </c>
      <c r="P422" t="str">
        <f>"$"</f>
        <v>$</v>
      </c>
      <c r="Q422" t="str">
        <f>"117"</f>
        <v>117</v>
      </c>
      <c r="R422" t="str">
        <f>"רתמות"</f>
        <v>רתמות</v>
      </c>
      <c r="S422" t="str">
        <f>"034"</f>
        <v>034</v>
      </c>
      <c r="T422" t="str">
        <f>"חן בזק"</f>
        <v>חן בזק</v>
      </c>
      <c r="U422">
        <v>0</v>
      </c>
      <c r="V422">
        <v>0</v>
      </c>
      <c r="W422">
        <v>302.10000000000002</v>
      </c>
      <c r="X422" s="2">
        <v>2114.6999999999998</v>
      </c>
      <c r="Z422" t="str">
        <f>"Y"</f>
        <v>Y</v>
      </c>
      <c r="AA422">
        <v>0</v>
      </c>
      <c r="AC422">
        <v>0</v>
      </c>
      <c r="AE422">
        <v>0</v>
      </c>
      <c r="AF422">
        <v>0</v>
      </c>
      <c r="AG422" s="2">
        <v>1035.3</v>
      </c>
      <c r="AH422">
        <v>0</v>
      </c>
      <c r="AI422" s="2">
        <v>7247.08</v>
      </c>
      <c r="AJ422" s="2">
        <v>2114.6999999999998</v>
      </c>
      <c r="AK422" s="2">
        <v>2114.6999999999998</v>
      </c>
      <c r="AL422" t="str">
        <f>"$"</f>
        <v>$</v>
      </c>
    </row>
    <row r="423" spans="1:38" x14ac:dyDescent="0.3">
      <c r="A423" t="str">
        <f>"SO20000302"</f>
        <v>SO20000302</v>
      </c>
      <c r="B423" t="str">
        <f>"E000315867"</f>
        <v>E000315867</v>
      </c>
      <c r="C423" t="str">
        <f>"בוצעה"</f>
        <v>בוצעה</v>
      </c>
      <c r="E423" s="3">
        <v>44028</v>
      </c>
      <c r="F423" s="3">
        <v>44166</v>
      </c>
      <c r="G423" t="str">
        <f>"700065"</f>
        <v>700065</v>
      </c>
      <c r="H423" t="str">
        <f>"אלתא מערכות בע""מ"</f>
        <v>אלתא מערכות בע"מ</v>
      </c>
      <c r="I423" t="str">
        <f>"ערן שלו"</f>
        <v>ערן שלו</v>
      </c>
      <c r="J423" t="str">
        <f>"OP-AR01896"</f>
        <v>OP-AR01896</v>
      </c>
      <c r="K423" s="1" t="str">
        <f>"1027L260-001 - CABLE ASSY WR010"</f>
        <v>1027L260-001 - CABLE ASSY WR010</v>
      </c>
      <c r="L423">
        <v>7</v>
      </c>
      <c r="M423" t="str">
        <f>"PR20000495"</f>
        <v>PR20000495</v>
      </c>
      <c r="N423" t="str">
        <f>"DC POWER 28V TO MCS FAN"</f>
        <v>DC POWER 28V TO MCS FAN</v>
      </c>
      <c r="O423">
        <v>311.3</v>
      </c>
      <c r="P423" t="str">
        <f>"$"</f>
        <v>$</v>
      </c>
      <c r="Q423" t="str">
        <f>"117"</f>
        <v>117</v>
      </c>
      <c r="R423" t="str">
        <f>"רתמות"</f>
        <v>רתמות</v>
      </c>
      <c r="S423" t="str">
        <f>"034"</f>
        <v>034</v>
      </c>
      <c r="T423" t="str">
        <f>"חן בזק"</f>
        <v>חן בזק</v>
      </c>
      <c r="U423">
        <v>0</v>
      </c>
      <c r="V423">
        <v>0</v>
      </c>
      <c r="W423">
        <v>311.3</v>
      </c>
      <c r="X423" s="2">
        <v>2179.1</v>
      </c>
      <c r="Z423" t="str">
        <f>"Y"</f>
        <v>Y</v>
      </c>
      <c r="AA423">
        <v>0</v>
      </c>
      <c r="AC423">
        <v>0</v>
      </c>
      <c r="AE423">
        <v>0</v>
      </c>
      <c r="AF423">
        <v>0</v>
      </c>
      <c r="AG423" s="2">
        <v>1066.83</v>
      </c>
      <c r="AH423">
        <v>0</v>
      </c>
      <c r="AI423" s="2">
        <v>7467.78</v>
      </c>
      <c r="AJ423" s="2">
        <v>2179.1</v>
      </c>
      <c r="AK423" s="2">
        <v>2179.1</v>
      </c>
      <c r="AL423" t="str">
        <f>"$"</f>
        <v>$</v>
      </c>
    </row>
    <row r="424" spans="1:38" x14ac:dyDescent="0.3">
      <c r="A424" t="str">
        <f>"SO20000302"</f>
        <v>SO20000302</v>
      </c>
      <c r="B424" t="str">
        <f>"E000315867"</f>
        <v>E000315867</v>
      </c>
      <c r="C424" t="str">
        <f>"בוצעה"</f>
        <v>בוצעה</v>
      </c>
      <c r="E424" s="3">
        <v>44028</v>
      </c>
      <c r="F424" s="3">
        <v>44166</v>
      </c>
      <c r="G424" t="str">
        <f>"700065"</f>
        <v>700065</v>
      </c>
      <c r="H424" t="str">
        <f>"אלתא מערכות בע""מ"</f>
        <v>אלתא מערכות בע"מ</v>
      </c>
      <c r="I424" t="str">
        <f>"ערן שלו"</f>
        <v>ערן שלו</v>
      </c>
      <c r="J424" t="str">
        <f>"OP-AR01897"</f>
        <v>OP-AR01897</v>
      </c>
      <c r="K424" s="1" t="str">
        <f>"1027L251-001 - CABLE ASSY WR001"</f>
        <v>1027L251-001 - CABLE ASSY WR001</v>
      </c>
      <c r="L424">
        <v>6</v>
      </c>
      <c r="M424" t="str">
        <f>"PR20000495"</f>
        <v>PR20000495</v>
      </c>
      <c r="N424" t="str">
        <f>"DC POWER 28V TO MCS FAN"</f>
        <v>DC POWER 28V TO MCS FAN</v>
      </c>
      <c r="O424">
        <v>812.99</v>
      </c>
      <c r="P424" t="str">
        <f>"$"</f>
        <v>$</v>
      </c>
      <c r="Q424" t="str">
        <f>"117"</f>
        <v>117</v>
      </c>
      <c r="R424" t="str">
        <f>"רתמות"</f>
        <v>רתמות</v>
      </c>
      <c r="S424" t="str">
        <f>"034"</f>
        <v>034</v>
      </c>
      <c r="T424" t="str">
        <f>"חן בזק"</f>
        <v>חן בזק</v>
      </c>
      <c r="U424">
        <v>0</v>
      </c>
      <c r="V424">
        <v>0</v>
      </c>
      <c r="W424">
        <v>812.99</v>
      </c>
      <c r="X424" s="2">
        <v>4877.9399999999996</v>
      </c>
      <c r="Z424" t="str">
        <f>"Y"</f>
        <v>Y</v>
      </c>
      <c r="AA424">
        <v>0</v>
      </c>
      <c r="AC424">
        <v>0</v>
      </c>
      <c r="AE424">
        <v>0</v>
      </c>
      <c r="AF424">
        <v>0</v>
      </c>
      <c r="AG424" s="2">
        <v>2786.12</v>
      </c>
      <c r="AH424">
        <v>0</v>
      </c>
      <c r="AI424" s="2">
        <v>16716.7</v>
      </c>
      <c r="AJ424" s="2">
        <v>4877.9399999999996</v>
      </c>
      <c r="AK424" s="2">
        <v>4877.9399999999996</v>
      </c>
      <c r="AL424" t="str">
        <f>"$"</f>
        <v>$</v>
      </c>
    </row>
    <row r="425" spans="1:38" x14ac:dyDescent="0.3">
      <c r="A425" t="str">
        <f>"SO20000302"</f>
        <v>SO20000302</v>
      </c>
      <c r="B425" t="str">
        <f>"E000315867"</f>
        <v>E000315867</v>
      </c>
      <c r="C425" t="str">
        <f>"בוצעה"</f>
        <v>בוצעה</v>
      </c>
      <c r="E425" s="3">
        <v>44028</v>
      </c>
      <c r="F425" s="3">
        <v>44166</v>
      </c>
      <c r="G425" t="str">
        <f>"700065"</f>
        <v>700065</v>
      </c>
      <c r="H425" t="str">
        <f>"אלתא מערכות בע""מ"</f>
        <v>אלתא מערכות בע"מ</v>
      </c>
      <c r="I425" t="str">
        <f>"ערן שלו"</f>
        <v>ערן שלו</v>
      </c>
      <c r="J425" t="str">
        <f>"OP-AR01898"</f>
        <v>OP-AR01898</v>
      </c>
      <c r="K425" s="1" t="str">
        <f>"1027L256-003 - CABLE ASSY WR006"</f>
        <v>1027L256-003 - CABLE ASSY WR006</v>
      </c>
      <c r="L425">
        <v>7</v>
      </c>
      <c r="M425" t="str">
        <f>"PR20000495"</f>
        <v>PR20000495</v>
      </c>
      <c r="N425" t="str">
        <f>"DC POWER 28V TO MCS FAN"</f>
        <v>DC POWER 28V TO MCS FAN</v>
      </c>
      <c r="O425">
        <v>260.66000000000003</v>
      </c>
      <c r="P425" t="str">
        <f>"$"</f>
        <v>$</v>
      </c>
      <c r="Q425" t="str">
        <f>"117"</f>
        <v>117</v>
      </c>
      <c r="R425" t="str">
        <f>"רתמות"</f>
        <v>רתמות</v>
      </c>
      <c r="S425" t="str">
        <f>"034"</f>
        <v>034</v>
      </c>
      <c r="T425" t="str">
        <f>"חן בזק"</f>
        <v>חן בזק</v>
      </c>
      <c r="U425">
        <v>0</v>
      </c>
      <c r="V425">
        <v>0</v>
      </c>
      <c r="W425">
        <v>260.66000000000003</v>
      </c>
      <c r="X425" s="2">
        <v>1824.62</v>
      </c>
      <c r="Z425" t="str">
        <f>"Y"</f>
        <v>Y</v>
      </c>
      <c r="AA425">
        <v>0</v>
      </c>
      <c r="AC425">
        <v>0</v>
      </c>
      <c r="AE425">
        <v>0</v>
      </c>
      <c r="AF425">
        <v>0</v>
      </c>
      <c r="AG425">
        <v>893.28</v>
      </c>
      <c r="AH425">
        <v>0</v>
      </c>
      <c r="AI425" s="2">
        <v>6252.97</v>
      </c>
      <c r="AJ425" s="2">
        <v>1824.62</v>
      </c>
      <c r="AK425" s="2">
        <v>1824.62</v>
      </c>
      <c r="AL425" t="str">
        <f>"$"</f>
        <v>$</v>
      </c>
    </row>
    <row r="426" spans="1:38" x14ac:dyDescent="0.3">
      <c r="A426" t="str">
        <f>"SO20000302"</f>
        <v>SO20000302</v>
      </c>
      <c r="B426" t="str">
        <f>"E000315867"</f>
        <v>E000315867</v>
      </c>
      <c r="C426" t="str">
        <f>"בוצעה"</f>
        <v>בוצעה</v>
      </c>
      <c r="E426" s="3">
        <v>44028</v>
      </c>
      <c r="F426" s="3">
        <v>44167</v>
      </c>
      <c r="G426" t="str">
        <f>"700065"</f>
        <v>700065</v>
      </c>
      <c r="H426" t="str">
        <f>"אלתא מערכות בע""מ"</f>
        <v>אלתא מערכות בע"מ</v>
      </c>
      <c r="I426" t="str">
        <f>"ערן שלו"</f>
        <v>ערן שלו</v>
      </c>
      <c r="J426" t="str">
        <f>"OP-AR01899"</f>
        <v>OP-AR01899</v>
      </c>
      <c r="K426" s="1" t="str">
        <f>"1039V959-002 - CABLE ASSY WR109"</f>
        <v>1039V959-002 - CABLE ASSY WR109</v>
      </c>
      <c r="L426">
        <v>5</v>
      </c>
      <c r="M426" t="str">
        <f>"PR20000495"</f>
        <v>PR20000495</v>
      </c>
      <c r="N426" t="str">
        <f>"DC POWER 28V TO MCS FAN"</f>
        <v>DC POWER 28V TO MCS FAN</v>
      </c>
      <c r="O426" s="2">
        <v>1935.55</v>
      </c>
      <c r="P426" t="str">
        <f>"$"</f>
        <v>$</v>
      </c>
      <c r="Q426" t="str">
        <f>"117"</f>
        <v>117</v>
      </c>
      <c r="R426" t="str">
        <f>"רתמות"</f>
        <v>רתמות</v>
      </c>
      <c r="S426" t="str">
        <f>"034"</f>
        <v>034</v>
      </c>
      <c r="T426" t="str">
        <f>"חן בזק"</f>
        <v>חן בזק</v>
      </c>
      <c r="U426">
        <v>0</v>
      </c>
      <c r="V426">
        <v>0</v>
      </c>
      <c r="W426" s="2">
        <v>1935.55</v>
      </c>
      <c r="X426" s="2">
        <v>9677.75</v>
      </c>
      <c r="Z426" t="str">
        <f>"Y"</f>
        <v>Y</v>
      </c>
      <c r="AA426">
        <v>0</v>
      </c>
      <c r="AC426">
        <v>0</v>
      </c>
      <c r="AE426">
        <v>0</v>
      </c>
      <c r="AF426">
        <v>0</v>
      </c>
      <c r="AG426" s="2">
        <v>6633.13</v>
      </c>
      <c r="AH426">
        <v>0</v>
      </c>
      <c r="AI426" s="2">
        <v>33165.65</v>
      </c>
      <c r="AJ426" s="2">
        <v>9677.75</v>
      </c>
      <c r="AK426" s="2">
        <v>9677.75</v>
      </c>
      <c r="AL426" t="str">
        <f>"$"</f>
        <v>$</v>
      </c>
    </row>
    <row r="427" spans="1:38" x14ac:dyDescent="0.3">
      <c r="A427" t="str">
        <f>"SO20000302"</f>
        <v>SO20000302</v>
      </c>
      <c r="B427" t="str">
        <f>"E000315867"</f>
        <v>E000315867</v>
      </c>
      <c r="C427" t="str">
        <f>"בוצעה"</f>
        <v>בוצעה</v>
      </c>
      <c r="E427" s="3">
        <v>44028</v>
      </c>
      <c r="F427" s="3">
        <v>44166</v>
      </c>
      <c r="G427" t="str">
        <f>"700065"</f>
        <v>700065</v>
      </c>
      <c r="H427" t="str">
        <f>"אלתא מערכות בע""מ"</f>
        <v>אלתא מערכות בע"מ</v>
      </c>
      <c r="I427" t="str">
        <f>"ערן שלו"</f>
        <v>ערן שלו</v>
      </c>
      <c r="J427" t="str">
        <f>"OP-AR01900"</f>
        <v>OP-AR01900</v>
      </c>
      <c r="K427" s="1" t="str">
        <f>"1039V963-001 - CABLE ASSY WR113"</f>
        <v>1039V963-001 - CABLE ASSY WR113</v>
      </c>
      <c r="L427">
        <v>7</v>
      </c>
      <c r="M427" t="str">
        <f>"PR20000495"</f>
        <v>PR20000495</v>
      </c>
      <c r="N427" t="str">
        <f>"DC POWER 28V TO MCS FAN"</f>
        <v>DC POWER 28V TO MCS FAN</v>
      </c>
      <c r="O427" s="2">
        <v>1143.3599999999999</v>
      </c>
      <c r="P427" t="str">
        <f>"$"</f>
        <v>$</v>
      </c>
      <c r="Q427" t="str">
        <f>"117"</f>
        <v>117</v>
      </c>
      <c r="R427" t="str">
        <f>"רתמות"</f>
        <v>רתמות</v>
      </c>
      <c r="S427" t="str">
        <f>"034"</f>
        <v>034</v>
      </c>
      <c r="T427" t="str">
        <f>"חן בזק"</f>
        <v>חן בזק</v>
      </c>
      <c r="U427">
        <v>0</v>
      </c>
      <c r="V427">
        <v>0</v>
      </c>
      <c r="W427" s="2">
        <v>1143.3599999999999</v>
      </c>
      <c r="X427" s="2">
        <v>8003.52</v>
      </c>
      <c r="Z427" t="str">
        <f>"Y"</f>
        <v>Y</v>
      </c>
      <c r="AA427">
        <v>0</v>
      </c>
      <c r="AC427">
        <v>0</v>
      </c>
      <c r="AE427">
        <v>0</v>
      </c>
      <c r="AF427">
        <v>0</v>
      </c>
      <c r="AG427" s="2">
        <v>3918.29</v>
      </c>
      <c r="AH427">
        <v>0</v>
      </c>
      <c r="AI427" s="2">
        <v>27428.06</v>
      </c>
      <c r="AJ427" s="2">
        <v>8003.52</v>
      </c>
      <c r="AK427" s="2">
        <v>8003.52</v>
      </c>
      <c r="AL427" t="str">
        <f>"$"</f>
        <v>$</v>
      </c>
    </row>
    <row r="428" spans="1:38" x14ac:dyDescent="0.3">
      <c r="A428" t="str">
        <f>"SO20000302"</f>
        <v>SO20000302</v>
      </c>
      <c r="B428" t="str">
        <f>"E000315867"</f>
        <v>E000315867</v>
      </c>
      <c r="C428" t="str">
        <f>"בוצעה"</f>
        <v>בוצעה</v>
      </c>
      <c r="E428" s="3">
        <v>44028</v>
      </c>
      <c r="F428" s="3">
        <v>44166</v>
      </c>
      <c r="G428" t="str">
        <f>"700065"</f>
        <v>700065</v>
      </c>
      <c r="H428" t="str">
        <f>"אלתא מערכות בע""מ"</f>
        <v>אלתא מערכות בע"מ</v>
      </c>
      <c r="I428" t="str">
        <f>"ערן שלו"</f>
        <v>ערן שלו</v>
      </c>
      <c r="J428" t="str">
        <f>"OP-AR01901"</f>
        <v>OP-AR01901</v>
      </c>
      <c r="K428" s="1" t="str">
        <f>"1039V954-001 - CABLE ASSY WR104"</f>
        <v>1039V954-001 - CABLE ASSY WR104</v>
      </c>
      <c r="L428">
        <v>7</v>
      </c>
      <c r="M428" t="str">
        <f>"PR20000495"</f>
        <v>PR20000495</v>
      </c>
      <c r="N428" t="str">
        <f>"DC POWER 28V TO MCS FAN"</f>
        <v>DC POWER 28V TO MCS FAN</v>
      </c>
      <c r="O428">
        <v>859.14</v>
      </c>
      <c r="P428" t="str">
        <f>"$"</f>
        <v>$</v>
      </c>
      <c r="Q428" t="str">
        <f>"117"</f>
        <v>117</v>
      </c>
      <c r="R428" t="str">
        <f>"רתמות"</f>
        <v>רתמות</v>
      </c>
      <c r="S428" t="str">
        <f>"034"</f>
        <v>034</v>
      </c>
      <c r="T428" t="str">
        <f>"חן בזק"</f>
        <v>חן בזק</v>
      </c>
      <c r="U428">
        <v>0</v>
      </c>
      <c r="V428">
        <v>0</v>
      </c>
      <c r="W428">
        <v>859.14</v>
      </c>
      <c r="X428" s="2">
        <v>6013.98</v>
      </c>
      <c r="Z428" t="str">
        <f>"Y"</f>
        <v>Y</v>
      </c>
      <c r="AA428">
        <v>0</v>
      </c>
      <c r="AC428">
        <v>0</v>
      </c>
      <c r="AE428">
        <v>0</v>
      </c>
      <c r="AF428">
        <v>0</v>
      </c>
      <c r="AG428" s="2">
        <v>2944.27</v>
      </c>
      <c r="AH428">
        <v>0</v>
      </c>
      <c r="AI428" s="2">
        <v>20609.91</v>
      </c>
      <c r="AJ428" s="2">
        <v>6013.98</v>
      </c>
      <c r="AK428" s="2">
        <v>6013.98</v>
      </c>
      <c r="AL428" t="str">
        <f>"$"</f>
        <v>$</v>
      </c>
    </row>
    <row r="429" spans="1:38" x14ac:dyDescent="0.3">
      <c r="A429" t="str">
        <f>"SO20000302"</f>
        <v>SO20000302</v>
      </c>
      <c r="B429" t="str">
        <f>"E000315867"</f>
        <v>E000315867</v>
      </c>
      <c r="C429" t="str">
        <f>"בוצעה"</f>
        <v>בוצעה</v>
      </c>
      <c r="E429" s="3">
        <v>44028</v>
      </c>
      <c r="F429" s="3">
        <v>44167</v>
      </c>
      <c r="G429" t="str">
        <f>"700065"</f>
        <v>700065</v>
      </c>
      <c r="H429" t="str">
        <f>"אלתא מערכות בע""מ"</f>
        <v>אלתא מערכות בע"מ</v>
      </c>
      <c r="I429" t="str">
        <f>"ערן שלו"</f>
        <v>ערן שלו</v>
      </c>
      <c r="J429" t="str">
        <f>"OP-AR01902"</f>
        <v>OP-AR01902</v>
      </c>
      <c r="K429" s="1" t="str">
        <f>"1039V964-001 - CABLE ASSY WR114"</f>
        <v>1039V964-001 - CABLE ASSY WR114</v>
      </c>
      <c r="L429">
        <v>7</v>
      </c>
      <c r="M429" t="str">
        <f>"PR20000495"</f>
        <v>PR20000495</v>
      </c>
      <c r="N429" t="str">
        <f>"DC POWER 28V TO MCS FAN"</f>
        <v>DC POWER 28V TO MCS FAN</v>
      </c>
      <c r="O429" s="2">
        <v>1722.54</v>
      </c>
      <c r="P429" t="str">
        <f>"$"</f>
        <v>$</v>
      </c>
      <c r="Q429" t="str">
        <f>"117"</f>
        <v>117</v>
      </c>
      <c r="R429" t="str">
        <f>"רתמות"</f>
        <v>רתמות</v>
      </c>
      <c r="S429" t="str">
        <f>"034"</f>
        <v>034</v>
      </c>
      <c r="T429" t="str">
        <f>"חן בזק"</f>
        <v>חן בזק</v>
      </c>
      <c r="U429">
        <v>0</v>
      </c>
      <c r="V429">
        <v>0</v>
      </c>
      <c r="W429" s="2">
        <v>1722.54</v>
      </c>
      <c r="X429" s="2">
        <v>12057.78</v>
      </c>
      <c r="Z429" t="str">
        <f>"Y"</f>
        <v>Y</v>
      </c>
      <c r="AA429">
        <v>0</v>
      </c>
      <c r="AC429">
        <v>0</v>
      </c>
      <c r="AE429">
        <v>0</v>
      </c>
      <c r="AF429">
        <v>0</v>
      </c>
      <c r="AG429" s="2">
        <v>5903.14</v>
      </c>
      <c r="AH429">
        <v>0</v>
      </c>
      <c r="AI429" s="2">
        <v>41322.01</v>
      </c>
      <c r="AJ429" s="2">
        <v>12057.78</v>
      </c>
      <c r="AK429" s="2">
        <v>12057.78</v>
      </c>
      <c r="AL429" t="str">
        <f>"$"</f>
        <v>$</v>
      </c>
    </row>
    <row r="430" spans="1:38" x14ac:dyDescent="0.3">
      <c r="A430" t="str">
        <f>"SO20000302"</f>
        <v>SO20000302</v>
      </c>
      <c r="B430" t="str">
        <f>"E000315867"</f>
        <v>E000315867</v>
      </c>
      <c r="C430" t="str">
        <f>"בוצעה"</f>
        <v>בוצעה</v>
      </c>
      <c r="E430" s="3">
        <v>44028</v>
      </c>
      <c r="F430" s="3">
        <v>44166</v>
      </c>
      <c r="G430" t="str">
        <f>"700065"</f>
        <v>700065</v>
      </c>
      <c r="H430" t="str">
        <f>"אלתא מערכות בע""מ"</f>
        <v>אלתא מערכות בע"מ</v>
      </c>
      <c r="I430" t="str">
        <f>"ערן שלו"</f>
        <v>ערן שלו</v>
      </c>
      <c r="J430" t="str">
        <f>"OP-AR01903"</f>
        <v>OP-AR01903</v>
      </c>
      <c r="K430" s="1" t="str">
        <f>"1039V966-001 - CABLE ASSY WR116"</f>
        <v>1039V966-001 - CABLE ASSY WR116</v>
      </c>
      <c r="L430">
        <v>7</v>
      </c>
      <c r="M430" t="str">
        <f>"PR20000495"</f>
        <v>PR20000495</v>
      </c>
      <c r="N430" t="str">
        <f>"DC POWER 28V TO MCS FAN"</f>
        <v>DC POWER 28V TO MCS FAN</v>
      </c>
      <c r="O430" s="2">
        <v>1419.85</v>
      </c>
      <c r="P430" t="str">
        <f>"$"</f>
        <v>$</v>
      </c>
      <c r="Q430" t="str">
        <f>"117"</f>
        <v>117</v>
      </c>
      <c r="R430" t="str">
        <f>"רתמות"</f>
        <v>רתמות</v>
      </c>
      <c r="S430" t="str">
        <f>"034"</f>
        <v>034</v>
      </c>
      <c r="T430" t="str">
        <f>"חן בזק"</f>
        <v>חן בזק</v>
      </c>
      <c r="U430">
        <v>0</v>
      </c>
      <c r="V430">
        <v>0</v>
      </c>
      <c r="W430" s="2">
        <v>1419.85</v>
      </c>
      <c r="X430" s="2">
        <v>9938.9500000000007</v>
      </c>
      <c r="Z430" t="str">
        <f>"Y"</f>
        <v>Y</v>
      </c>
      <c r="AA430">
        <v>0</v>
      </c>
      <c r="AC430">
        <v>0</v>
      </c>
      <c r="AE430">
        <v>0</v>
      </c>
      <c r="AF430">
        <v>0</v>
      </c>
      <c r="AG430" s="2">
        <v>4865.83</v>
      </c>
      <c r="AH430">
        <v>0</v>
      </c>
      <c r="AI430" s="2">
        <v>34060.78</v>
      </c>
      <c r="AJ430" s="2">
        <v>9938.9500000000007</v>
      </c>
      <c r="AK430" s="2">
        <v>9938.9500000000007</v>
      </c>
      <c r="AL430" t="str">
        <f>"$"</f>
        <v>$</v>
      </c>
    </row>
    <row r="431" spans="1:38" x14ac:dyDescent="0.3">
      <c r="A431" t="str">
        <f>"SO20000302"</f>
        <v>SO20000302</v>
      </c>
      <c r="B431" t="str">
        <f>"E000315867"</f>
        <v>E000315867</v>
      </c>
      <c r="C431" t="str">
        <f>"בוצעה"</f>
        <v>בוצעה</v>
      </c>
      <c r="E431" s="3">
        <v>44028</v>
      </c>
      <c r="F431" s="3">
        <v>44166</v>
      </c>
      <c r="G431" t="str">
        <f>"700065"</f>
        <v>700065</v>
      </c>
      <c r="H431" t="str">
        <f>"אלתא מערכות בע""מ"</f>
        <v>אלתא מערכות בע"מ</v>
      </c>
      <c r="I431" t="str">
        <f>"ערן שלו"</f>
        <v>ערן שלו</v>
      </c>
      <c r="J431" t="str">
        <f>"OP-AR01904"</f>
        <v>OP-AR01904</v>
      </c>
      <c r="K431" s="1" t="str">
        <f>"NRE FOR E000315867"</f>
        <v>NRE FOR E000315867</v>
      </c>
      <c r="L431">
        <v>1</v>
      </c>
      <c r="M431" t="str">
        <f>"PR20000495"</f>
        <v>PR20000495</v>
      </c>
      <c r="N431" t="str">
        <f>"DC POWER 28V TO MCS FAN"</f>
        <v>DC POWER 28V TO MCS FAN</v>
      </c>
      <c r="O431" s="2">
        <v>4550</v>
      </c>
      <c r="P431" t="str">
        <f>"$"</f>
        <v>$</v>
      </c>
      <c r="Q431" t="str">
        <f>"117"</f>
        <v>117</v>
      </c>
      <c r="R431" t="str">
        <f>"רתמות"</f>
        <v>רתמות</v>
      </c>
      <c r="S431" t="str">
        <f>"034"</f>
        <v>034</v>
      </c>
      <c r="T431" t="str">
        <f>"חן בזק"</f>
        <v>חן בזק</v>
      </c>
      <c r="U431">
        <v>0</v>
      </c>
      <c r="V431">
        <v>0</v>
      </c>
      <c r="W431" s="2">
        <v>4550</v>
      </c>
      <c r="X431" s="2">
        <v>4550</v>
      </c>
      <c r="Z431" t="str">
        <f>"Y"</f>
        <v>Y</v>
      </c>
      <c r="AA431">
        <v>1</v>
      </c>
      <c r="AC431">
        <v>0</v>
      </c>
      <c r="AE431">
        <v>0</v>
      </c>
      <c r="AF431">
        <v>0</v>
      </c>
      <c r="AG431" s="2">
        <v>15592.85</v>
      </c>
      <c r="AH431">
        <v>0</v>
      </c>
      <c r="AI431" s="2">
        <v>15592.85</v>
      </c>
      <c r="AJ431" s="2">
        <v>4550</v>
      </c>
      <c r="AK431" s="2">
        <v>4550</v>
      </c>
      <c r="AL431" t="str">
        <f>"$"</f>
        <v>$</v>
      </c>
    </row>
    <row r="432" spans="1:38" x14ac:dyDescent="0.3">
      <c r="A432" t="str">
        <f>"SO20000305"</f>
        <v>SO20000305</v>
      </c>
      <c r="B432" t="str">
        <f>"E000315878"</f>
        <v>E000315878</v>
      </c>
      <c r="C432" t="str">
        <f>"בוצעה"</f>
        <v>בוצעה</v>
      </c>
      <c r="E432" s="3">
        <v>44031</v>
      </c>
      <c r="F432" s="3">
        <v>44195</v>
      </c>
      <c r="G432" t="str">
        <f>"700065"</f>
        <v>700065</v>
      </c>
      <c r="H432" t="str">
        <f>"אלתא מערכות בע""מ"</f>
        <v>אלתא מערכות בע"מ</v>
      </c>
      <c r="I432" t="str">
        <f>"ערן שלו"</f>
        <v>ערן שלו</v>
      </c>
      <c r="J432" t="str">
        <f>"OP-AR01907"</f>
        <v>OP-AR01907</v>
      </c>
      <c r="K432" s="1" t="str">
        <f>"1013P660-001/A CABLE ASSY 1W41"</f>
        <v>1013P660-001/A CABLE ASSY 1W41</v>
      </c>
      <c r="L432">
        <v>1</v>
      </c>
      <c r="M432" t="str">
        <f>"PR20000499"</f>
        <v>PR20000499</v>
      </c>
      <c r="N432" t="str">
        <f>"CABLE ASSY 1W"</f>
        <v>CABLE ASSY 1W</v>
      </c>
      <c r="O432" s="2">
        <v>3165.34</v>
      </c>
      <c r="P432" t="str">
        <f>"$"</f>
        <v>$</v>
      </c>
      <c r="Q432" t="str">
        <f>"117"</f>
        <v>117</v>
      </c>
      <c r="R432" t="str">
        <f>"רתמות"</f>
        <v>רתמות</v>
      </c>
      <c r="S432" t="str">
        <f>"034"</f>
        <v>034</v>
      </c>
      <c r="T432" t="str">
        <f>"חן בזק"</f>
        <v>חן בזק</v>
      </c>
      <c r="U432">
        <v>0</v>
      </c>
      <c r="V432">
        <v>0</v>
      </c>
      <c r="W432" s="2">
        <v>3165.34</v>
      </c>
      <c r="X432" s="2">
        <v>3165.34</v>
      </c>
      <c r="Z432" t="str">
        <f>"Y"</f>
        <v>Y</v>
      </c>
      <c r="AA432">
        <v>0</v>
      </c>
      <c r="AC432">
        <v>0</v>
      </c>
      <c r="AE432">
        <v>0</v>
      </c>
      <c r="AF432">
        <v>0</v>
      </c>
      <c r="AG432" s="2">
        <v>10910.93</v>
      </c>
      <c r="AH432">
        <v>0</v>
      </c>
      <c r="AI432" s="2">
        <v>10910.93</v>
      </c>
      <c r="AJ432" s="2">
        <v>3165.34</v>
      </c>
      <c r="AK432" s="2">
        <v>3165.34</v>
      </c>
      <c r="AL432" t="str">
        <f>"$"</f>
        <v>$</v>
      </c>
    </row>
    <row r="433" spans="1:38" x14ac:dyDescent="0.3">
      <c r="A433" t="str">
        <f>"SO20000305"</f>
        <v>SO20000305</v>
      </c>
      <c r="B433" t="str">
        <f>"E000315878"</f>
        <v>E000315878</v>
      </c>
      <c r="C433" t="str">
        <f>"בוצעה"</f>
        <v>בוצעה</v>
      </c>
      <c r="E433" s="3">
        <v>44031</v>
      </c>
      <c r="F433" s="3">
        <v>44195</v>
      </c>
      <c r="G433" t="str">
        <f>"700065"</f>
        <v>700065</v>
      </c>
      <c r="H433" t="str">
        <f>"אלתא מערכות בע""מ"</f>
        <v>אלתא מערכות בע"מ</v>
      </c>
      <c r="I433" t="str">
        <f>"ערן שלו"</f>
        <v>ערן שלו</v>
      </c>
      <c r="J433" t="str">
        <f>"OP-AR01908"</f>
        <v>OP-AR01908</v>
      </c>
      <c r="K433" s="1" t="str">
        <f>"1013P663-001/A CABLE ASSY W41"</f>
        <v>1013P663-001/A CABLE ASSY W41</v>
      </c>
      <c r="L433">
        <v>1</v>
      </c>
      <c r="M433" t="str">
        <f>"PR20000499"</f>
        <v>PR20000499</v>
      </c>
      <c r="N433" t="str">
        <f>"CABLE ASSY 1W"</f>
        <v>CABLE ASSY 1W</v>
      </c>
      <c r="O433" s="2">
        <v>2081.86</v>
      </c>
      <c r="P433" t="str">
        <f>"$"</f>
        <v>$</v>
      </c>
      <c r="Q433" t="str">
        <f>"117"</f>
        <v>117</v>
      </c>
      <c r="R433" t="str">
        <f>"רתמות"</f>
        <v>רתמות</v>
      </c>
      <c r="S433" t="str">
        <f>"034"</f>
        <v>034</v>
      </c>
      <c r="T433" t="str">
        <f>"חן בזק"</f>
        <v>חן בזק</v>
      </c>
      <c r="U433">
        <v>0</v>
      </c>
      <c r="V433">
        <v>0</v>
      </c>
      <c r="W433" s="2">
        <v>2081.86</v>
      </c>
      <c r="X433" s="2">
        <v>2081.86</v>
      </c>
      <c r="Z433" t="str">
        <f>"Y"</f>
        <v>Y</v>
      </c>
      <c r="AA433">
        <v>0</v>
      </c>
      <c r="AC433">
        <v>0</v>
      </c>
      <c r="AE433">
        <v>0</v>
      </c>
      <c r="AF433">
        <v>0</v>
      </c>
      <c r="AG433" s="2">
        <v>7176.17</v>
      </c>
      <c r="AH433">
        <v>0</v>
      </c>
      <c r="AI433" s="2">
        <v>7176.17</v>
      </c>
      <c r="AJ433" s="2">
        <v>2081.86</v>
      </c>
      <c r="AK433" s="2">
        <v>2081.86</v>
      </c>
      <c r="AL433" t="str">
        <f>"$"</f>
        <v>$</v>
      </c>
    </row>
    <row r="434" spans="1:38" x14ac:dyDescent="0.3">
      <c r="A434" t="str">
        <f>"SO20000305"</f>
        <v>SO20000305</v>
      </c>
      <c r="B434" t="str">
        <f>"E000315878"</f>
        <v>E000315878</v>
      </c>
      <c r="C434" t="str">
        <f>"בוצעה"</f>
        <v>בוצעה</v>
      </c>
      <c r="E434" s="3">
        <v>44031</v>
      </c>
      <c r="F434" s="3">
        <v>44195</v>
      </c>
      <c r="G434" t="str">
        <f>"700065"</f>
        <v>700065</v>
      </c>
      <c r="H434" t="str">
        <f>"אלתא מערכות בע""מ"</f>
        <v>אלתא מערכות בע"מ</v>
      </c>
      <c r="I434" t="str">
        <f>"ערן שלו"</f>
        <v>ערן שלו</v>
      </c>
      <c r="J434" t="str">
        <f>"OP-AR01909"</f>
        <v>OP-AR01909</v>
      </c>
      <c r="K434" s="1" t="str">
        <f>"1021L536-001/C2 CABLE ASSY 1W23"</f>
        <v>1021L536-001/C2 CABLE ASSY 1W23</v>
      </c>
      <c r="L434">
        <v>1</v>
      </c>
      <c r="M434" t="str">
        <f>"PR20000499"</f>
        <v>PR20000499</v>
      </c>
      <c r="N434" t="str">
        <f>"CABLE ASSY 1W"</f>
        <v>CABLE ASSY 1W</v>
      </c>
      <c r="O434">
        <v>140</v>
      </c>
      <c r="P434" t="str">
        <f>"$"</f>
        <v>$</v>
      </c>
      <c r="Q434" t="str">
        <f>"117"</f>
        <v>117</v>
      </c>
      <c r="R434" t="str">
        <f>"רתמות"</f>
        <v>רתמות</v>
      </c>
      <c r="S434" t="str">
        <f>"034"</f>
        <v>034</v>
      </c>
      <c r="T434" t="str">
        <f>"חן בזק"</f>
        <v>חן בזק</v>
      </c>
      <c r="U434">
        <v>0</v>
      </c>
      <c r="V434">
        <v>0</v>
      </c>
      <c r="W434">
        <v>140</v>
      </c>
      <c r="X434">
        <v>140</v>
      </c>
      <c r="Z434" t="str">
        <f>"Y"</f>
        <v>Y</v>
      </c>
      <c r="AA434">
        <v>0</v>
      </c>
      <c r="AC434">
        <v>0</v>
      </c>
      <c r="AE434">
        <v>0</v>
      </c>
      <c r="AF434">
        <v>0</v>
      </c>
      <c r="AG434">
        <v>482.58</v>
      </c>
      <c r="AH434">
        <v>0</v>
      </c>
      <c r="AI434">
        <v>482.58</v>
      </c>
      <c r="AJ434">
        <v>140</v>
      </c>
      <c r="AK434">
        <v>140</v>
      </c>
      <c r="AL434" t="str">
        <f>"$"</f>
        <v>$</v>
      </c>
    </row>
    <row r="435" spans="1:38" x14ac:dyDescent="0.3">
      <c r="A435" t="str">
        <f>"SO20000305"</f>
        <v>SO20000305</v>
      </c>
      <c r="B435" t="str">
        <f>"E000315878"</f>
        <v>E000315878</v>
      </c>
      <c r="C435" t="str">
        <f>"בוצעה"</f>
        <v>בוצעה</v>
      </c>
      <c r="E435" s="3">
        <v>44031</v>
      </c>
      <c r="F435" s="3">
        <v>44195</v>
      </c>
      <c r="G435" t="str">
        <f>"700065"</f>
        <v>700065</v>
      </c>
      <c r="H435" t="str">
        <f>"אלתא מערכות בע""מ"</f>
        <v>אלתא מערכות בע"מ</v>
      </c>
      <c r="I435" t="str">
        <f>"ערן שלו"</f>
        <v>ערן שלו</v>
      </c>
      <c r="J435" t="str">
        <f>"OP-AR01910"</f>
        <v>OP-AR01910</v>
      </c>
      <c r="K435" s="1" t="str">
        <f>"1013P654-001/- CABLE ASSY 1W11"</f>
        <v>1013P654-001/- CABLE ASSY 1W11</v>
      </c>
      <c r="L435">
        <v>1</v>
      </c>
      <c r="M435" t="str">
        <f>"PR20000499"</f>
        <v>PR20000499</v>
      </c>
      <c r="N435" t="str">
        <f>"CABLE ASSY 1W"</f>
        <v>CABLE ASSY 1W</v>
      </c>
      <c r="O435" s="2">
        <v>1639.23</v>
      </c>
      <c r="P435" t="str">
        <f>"$"</f>
        <v>$</v>
      </c>
      <c r="Q435" t="str">
        <f>"117"</f>
        <v>117</v>
      </c>
      <c r="R435" t="str">
        <f>"רתמות"</f>
        <v>רתמות</v>
      </c>
      <c r="S435" t="str">
        <f>"034"</f>
        <v>034</v>
      </c>
      <c r="T435" t="str">
        <f>"חן בזק"</f>
        <v>חן בזק</v>
      </c>
      <c r="U435">
        <v>0</v>
      </c>
      <c r="V435">
        <v>0</v>
      </c>
      <c r="W435" s="2">
        <v>1639.23</v>
      </c>
      <c r="X435" s="2">
        <v>1639.23</v>
      </c>
      <c r="Z435" t="str">
        <f>"Y"</f>
        <v>Y</v>
      </c>
      <c r="AA435">
        <v>0</v>
      </c>
      <c r="AC435">
        <v>0</v>
      </c>
      <c r="AE435">
        <v>0</v>
      </c>
      <c r="AF435">
        <v>0</v>
      </c>
      <c r="AG435" s="2">
        <v>5650.43</v>
      </c>
      <c r="AH435">
        <v>0</v>
      </c>
      <c r="AI435" s="2">
        <v>5650.43</v>
      </c>
      <c r="AJ435" s="2">
        <v>1639.23</v>
      </c>
      <c r="AK435" s="2">
        <v>1639.23</v>
      </c>
      <c r="AL435" t="str">
        <f>"$"</f>
        <v>$</v>
      </c>
    </row>
    <row r="436" spans="1:38" x14ac:dyDescent="0.3">
      <c r="A436" t="str">
        <f>"SO20000305"</f>
        <v>SO20000305</v>
      </c>
      <c r="B436" t="str">
        <f>"E000315878"</f>
        <v>E000315878</v>
      </c>
      <c r="C436" t="str">
        <f>"בוצעה"</f>
        <v>בוצעה</v>
      </c>
      <c r="E436" s="3">
        <v>44031</v>
      </c>
      <c r="F436" s="3">
        <v>44195</v>
      </c>
      <c r="G436" t="str">
        <f>"700065"</f>
        <v>700065</v>
      </c>
      <c r="H436" t="str">
        <f>"אלתא מערכות בע""מ"</f>
        <v>אלתא מערכות בע"מ</v>
      </c>
      <c r="I436" t="str">
        <f>"ערן שלו"</f>
        <v>ערן שלו</v>
      </c>
      <c r="J436" t="str">
        <f>"OP-AR01912"</f>
        <v>OP-AR01912</v>
      </c>
      <c r="K436" s="1" t="str">
        <f>"1013P659-001/- CABLE ASSY 1W29"</f>
        <v>1013P659-001/- CABLE ASSY 1W29</v>
      </c>
      <c r="L436">
        <v>1</v>
      </c>
      <c r="M436" t="str">
        <f>"PR20000499"</f>
        <v>PR20000499</v>
      </c>
      <c r="N436" t="str">
        <f>"CABLE ASSY 1W"</f>
        <v>CABLE ASSY 1W</v>
      </c>
      <c r="O436" s="2">
        <v>1646.85</v>
      </c>
      <c r="P436" t="str">
        <f>"$"</f>
        <v>$</v>
      </c>
      <c r="Q436" t="str">
        <f>"117"</f>
        <v>117</v>
      </c>
      <c r="R436" t="str">
        <f>"רתמות"</f>
        <v>רתמות</v>
      </c>
      <c r="S436" t="str">
        <f>"034"</f>
        <v>034</v>
      </c>
      <c r="T436" t="str">
        <f>"חן בזק"</f>
        <v>חן בזק</v>
      </c>
      <c r="U436">
        <v>0</v>
      </c>
      <c r="V436">
        <v>0</v>
      </c>
      <c r="W436" s="2">
        <v>1646.85</v>
      </c>
      <c r="X436" s="2">
        <v>1646.85</v>
      </c>
      <c r="Z436" t="str">
        <f>"Y"</f>
        <v>Y</v>
      </c>
      <c r="AA436">
        <v>0</v>
      </c>
      <c r="AC436">
        <v>0</v>
      </c>
      <c r="AE436">
        <v>0</v>
      </c>
      <c r="AF436">
        <v>0</v>
      </c>
      <c r="AG436" s="2">
        <v>5676.69</v>
      </c>
      <c r="AH436">
        <v>0</v>
      </c>
      <c r="AI436" s="2">
        <v>5676.69</v>
      </c>
      <c r="AJ436" s="2">
        <v>1646.85</v>
      </c>
      <c r="AK436" s="2">
        <v>1646.85</v>
      </c>
      <c r="AL436" t="str">
        <f>"$"</f>
        <v>$</v>
      </c>
    </row>
    <row r="437" spans="1:38" x14ac:dyDescent="0.3">
      <c r="A437" t="str">
        <f>"SO20000305"</f>
        <v>SO20000305</v>
      </c>
      <c r="B437" t="str">
        <f>"E000315878"</f>
        <v>E000315878</v>
      </c>
      <c r="C437" t="str">
        <f>"בוצעה"</f>
        <v>בוצעה</v>
      </c>
      <c r="E437" s="3">
        <v>44031</v>
      </c>
      <c r="F437" s="3">
        <v>44195</v>
      </c>
      <c r="G437" t="str">
        <f>"700065"</f>
        <v>700065</v>
      </c>
      <c r="H437" t="str">
        <f>"אלתא מערכות בע""מ"</f>
        <v>אלתא מערכות בע"מ</v>
      </c>
      <c r="I437" t="str">
        <f>"ערן שלו"</f>
        <v>ערן שלו</v>
      </c>
      <c r="J437" t="str">
        <f>"OP-AR01913"</f>
        <v>OP-AR01913</v>
      </c>
      <c r="K437" s="1" t="str">
        <f>"1013P651-001/- CABLE ASSY 1W8"</f>
        <v>1013P651-001/- CABLE ASSY 1W8</v>
      </c>
      <c r="L437">
        <v>1</v>
      </c>
      <c r="M437" t="str">
        <f>"PR20000499"</f>
        <v>PR20000499</v>
      </c>
      <c r="N437" t="str">
        <f>"CABLE ASSY 1W"</f>
        <v>CABLE ASSY 1W</v>
      </c>
      <c r="O437" s="2">
        <v>2517.54</v>
      </c>
      <c r="P437" t="str">
        <f>"$"</f>
        <v>$</v>
      </c>
      <c r="Q437" t="str">
        <f>"117"</f>
        <v>117</v>
      </c>
      <c r="R437" t="str">
        <f>"רתמות"</f>
        <v>רתמות</v>
      </c>
      <c r="S437" t="str">
        <f>"034"</f>
        <v>034</v>
      </c>
      <c r="T437" t="str">
        <f>"חן בזק"</f>
        <v>חן בזק</v>
      </c>
      <c r="U437">
        <v>0</v>
      </c>
      <c r="V437">
        <v>0</v>
      </c>
      <c r="W437" s="2">
        <v>2517.54</v>
      </c>
      <c r="X437" s="2">
        <v>2517.54</v>
      </c>
      <c r="Z437" t="str">
        <f>"Y"</f>
        <v>Y</v>
      </c>
      <c r="AA437">
        <v>0</v>
      </c>
      <c r="AC437">
        <v>0</v>
      </c>
      <c r="AE437">
        <v>0</v>
      </c>
      <c r="AF437">
        <v>0</v>
      </c>
      <c r="AG437" s="2">
        <v>8677.9599999999991</v>
      </c>
      <c r="AH437">
        <v>0</v>
      </c>
      <c r="AI437" s="2">
        <v>8677.9599999999991</v>
      </c>
      <c r="AJ437" s="2">
        <v>2517.54</v>
      </c>
      <c r="AK437" s="2">
        <v>2517.54</v>
      </c>
      <c r="AL437" t="str">
        <f>"$"</f>
        <v>$</v>
      </c>
    </row>
    <row r="438" spans="1:38" x14ac:dyDescent="0.3">
      <c r="A438" t="str">
        <f>"SO20000305"</f>
        <v>SO20000305</v>
      </c>
      <c r="B438" t="str">
        <f>"E000315878"</f>
        <v>E000315878</v>
      </c>
      <c r="C438" t="str">
        <f>"בוצעה"</f>
        <v>בוצעה</v>
      </c>
      <c r="E438" s="3">
        <v>44031</v>
      </c>
      <c r="F438" s="3">
        <v>44195</v>
      </c>
      <c r="G438" t="str">
        <f>"700065"</f>
        <v>700065</v>
      </c>
      <c r="H438" t="str">
        <f>"אלתא מערכות בע""מ"</f>
        <v>אלתא מערכות בע"מ</v>
      </c>
      <c r="I438" t="str">
        <f>"ערן שלו"</f>
        <v>ערן שלו</v>
      </c>
      <c r="J438" t="str">
        <f>"OP-AR01914"</f>
        <v>OP-AR01914</v>
      </c>
      <c r="K438" s="1" t="str">
        <f>"1013P653-001/- CABLE ASSY 1W10"</f>
        <v>1013P653-001/- CABLE ASSY 1W10</v>
      </c>
      <c r="L438">
        <v>1</v>
      </c>
      <c r="M438" t="str">
        <f>"PR20000499"</f>
        <v>PR20000499</v>
      </c>
      <c r="N438" t="str">
        <f>"CABLE ASSY 1W"</f>
        <v>CABLE ASSY 1W</v>
      </c>
      <c r="O438" s="2">
        <v>2525.38</v>
      </c>
      <c r="P438" t="str">
        <f>"$"</f>
        <v>$</v>
      </c>
      <c r="Q438" t="str">
        <f>"117"</f>
        <v>117</v>
      </c>
      <c r="R438" t="str">
        <f>"רתמות"</f>
        <v>רתמות</v>
      </c>
      <c r="S438" t="str">
        <f>"034"</f>
        <v>034</v>
      </c>
      <c r="T438" t="str">
        <f>"חן בזק"</f>
        <v>חן בזק</v>
      </c>
      <c r="U438">
        <v>0</v>
      </c>
      <c r="V438">
        <v>0</v>
      </c>
      <c r="W438" s="2">
        <v>2525.38</v>
      </c>
      <c r="X438" s="2">
        <v>2525.38</v>
      </c>
      <c r="Z438" t="str">
        <f>"Y"</f>
        <v>Y</v>
      </c>
      <c r="AA438">
        <v>0</v>
      </c>
      <c r="AC438">
        <v>0</v>
      </c>
      <c r="AE438">
        <v>0</v>
      </c>
      <c r="AF438">
        <v>0</v>
      </c>
      <c r="AG438" s="2">
        <v>8704.98</v>
      </c>
      <c r="AH438">
        <v>0</v>
      </c>
      <c r="AI438" s="2">
        <v>8704.98</v>
      </c>
      <c r="AJ438" s="2">
        <v>2525.38</v>
      </c>
      <c r="AK438" s="2">
        <v>2525.38</v>
      </c>
      <c r="AL438" t="str">
        <f>"$"</f>
        <v>$</v>
      </c>
    </row>
    <row r="439" spans="1:38" x14ac:dyDescent="0.3">
      <c r="A439" t="str">
        <f>"SO20000305"</f>
        <v>SO20000305</v>
      </c>
      <c r="B439" t="str">
        <f>"E000315878"</f>
        <v>E000315878</v>
      </c>
      <c r="C439" t="str">
        <f>"בוצעה"</f>
        <v>בוצעה</v>
      </c>
      <c r="E439" s="3">
        <v>44031</v>
      </c>
      <c r="F439" s="3">
        <v>44195</v>
      </c>
      <c r="G439" t="str">
        <f>"700065"</f>
        <v>700065</v>
      </c>
      <c r="H439" t="str">
        <f>"אלתא מערכות בע""מ"</f>
        <v>אלתא מערכות בע"מ</v>
      </c>
      <c r="I439" t="str">
        <f>"ערן שלו"</f>
        <v>ערן שלו</v>
      </c>
      <c r="J439" t="str">
        <f>"OP-AR01915"</f>
        <v>OP-AR01915</v>
      </c>
      <c r="K439" s="1" t="str">
        <f>"1001U544-001/F CABLE ASSY 1W30"</f>
        <v>1001U544-001/F CABLE ASSY 1W30</v>
      </c>
      <c r="L439">
        <v>1</v>
      </c>
      <c r="M439" t="str">
        <f>"PR20000499"</f>
        <v>PR20000499</v>
      </c>
      <c r="N439" t="str">
        <f>"CABLE ASSY 1W"</f>
        <v>CABLE ASSY 1W</v>
      </c>
      <c r="O439" s="2">
        <v>1592.64</v>
      </c>
      <c r="P439" t="str">
        <f>"$"</f>
        <v>$</v>
      </c>
      <c r="Q439" t="str">
        <f>"117"</f>
        <v>117</v>
      </c>
      <c r="R439" t="str">
        <f>"רתמות"</f>
        <v>רתמות</v>
      </c>
      <c r="S439" t="str">
        <f>"034"</f>
        <v>034</v>
      </c>
      <c r="T439" t="str">
        <f>"חן בזק"</f>
        <v>חן בזק</v>
      </c>
      <c r="U439">
        <v>0</v>
      </c>
      <c r="V439">
        <v>0</v>
      </c>
      <c r="W439" s="2">
        <v>1592.64</v>
      </c>
      <c r="X439" s="2">
        <v>1592.64</v>
      </c>
      <c r="Z439" t="str">
        <f>"Y"</f>
        <v>Y</v>
      </c>
      <c r="AA439">
        <v>0</v>
      </c>
      <c r="AC439">
        <v>0</v>
      </c>
      <c r="AE439">
        <v>0</v>
      </c>
      <c r="AF439">
        <v>0</v>
      </c>
      <c r="AG439" s="2">
        <v>5489.83</v>
      </c>
      <c r="AH439">
        <v>0</v>
      </c>
      <c r="AI439" s="2">
        <v>5489.83</v>
      </c>
      <c r="AJ439" s="2">
        <v>1592.64</v>
      </c>
      <c r="AK439" s="2">
        <v>1592.64</v>
      </c>
      <c r="AL439" t="str">
        <f>"$"</f>
        <v>$</v>
      </c>
    </row>
    <row r="440" spans="1:38" x14ac:dyDescent="0.3">
      <c r="A440" t="str">
        <f>"SO20000305"</f>
        <v>SO20000305</v>
      </c>
      <c r="B440" t="str">
        <f>"E000315878"</f>
        <v>E000315878</v>
      </c>
      <c r="C440" t="str">
        <f>"בוצעה"</f>
        <v>בוצעה</v>
      </c>
      <c r="E440" s="3">
        <v>44031</v>
      </c>
      <c r="F440" s="3">
        <v>44195</v>
      </c>
      <c r="G440" t="str">
        <f>"700065"</f>
        <v>700065</v>
      </c>
      <c r="H440" t="str">
        <f>"אלתא מערכות בע""מ"</f>
        <v>אלתא מערכות בע"מ</v>
      </c>
      <c r="I440" t="str">
        <f>"ערן שלו"</f>
        <v>ערן שלו</v>
      </c>
      <c r="J440" t="str">
        <f>"OP-AR01917"</f>
        <v>OP-AR01917</v>
      </c>
      <c r="K440" s="1" t="str">
        <f>"1013P658-001/A CABLE ASSY 1W31"</f>
        <v>1013P658-001/A CABLE ASSY 1W31</v>
      </c>
      <c r="L440">
        <v>1</v>
      </c>
      <c r="M440" t="str">
        <f>"PR20000499"</f>
        <v>PR20000499</v>
      </c>
      <c r="N440" t="str">
        <f>"CABLE ASSY 1W"</f>
        <v>CABLE ASSY 1W</v>
      </c>
      <c r="O440" s="2">
        <v>1477.39</v>
      </c>
      <c r="P440" t="str">
        <f>"$"</f>
        <v>$</v>
      </c>
      <c r="Q440" t="str">
        <f>"117"</f>
        <v>117</v>
      </c>
      <c r="R440" t="str">
        <f>"רתמות"</f>
        <v>רתמות</v>
      </c>
      <c r="S440" t="str">
        <f>"034"</f>
        <v>034</v>
      </c>
      <c r="T440" t="str">
        <f>"חן בזק"</f>
        <v>חן בזק</v>
      </c>
      <c r="U440">
        <v>0</v>
      </c>
      <c r="V440">
        <v>0</v>
      </c>
      <c r="W440" s="2">
        <v>1477.39</v>
      </c>
      <c r="X440" s="2">
        <v>1477.39</v>
      </c>
      <c r="Z440" t="str">
        <f>"Y"</f>
        <v>Y</v>
      </c>
      <c r="AA440">
        <v>0</v>
      </c>
      <c r="AC440">
        <v>0</v>
      </c>
      <c r="AE440">
        <v>0</v>
      </c>
      <c r="AF440">
        <v>0</v>
      </c>
      <c r="AG440" s="2">
        <v>5092.5600000000004</v>
      </c>
      <c r="AH440">
        <v>0</v>
      </c>
      <c r="AI440" s="2">
        <v>5092.5600000000004</v>
      </c>
      <c r="AJ440" s="2">
        <v>1477.39</v>
      </c>
      <c r="AK440" s="2">
        <v>1477.39</v>
      </c>
      <c r="AL440" t="str">
        <f>"$"</f>
        <v>$</v>
      </c>
    </row>
    <row r="441" spans="1:38" x14ac:dyDescent="0.3">
      <c r="A441" t="str">
        <f>"SO20000305"</f>
        <v>SO20000305</v>
      </c>
      <c r="B441" t="str">
        <f>"E000315878"</f>
        <v>E000315878</v>
      </c>
      <c r="C441" t="str">
        <f>"בוצעה"</f>
        <v>בוצעה</v>
      </c>
      <c r="E441" s="3">
        <v>44031</v>
      </c>
      <c r="F441" s="3">
        <v>44195</v>
      </c>
      <c r="G441" t="str">
        <f>"700065"</f>
        <v>700065</v>
      </c>
      <c r="H441" t="str">
        <f>"אלתא מערכות בע""מ"</f>
        <v>אלתא מערכות בע"מ</v>
      </c>
      <c r="I441" t="str">
        <f>"ערן שלו"</f>
        <v>ערן שלו</v>
      </c>
      <c r="J441" t="str">
        <f>"OP-AR01918"</f>
        <v>OP-AR01918</v>
      </c>
      <c r="K441" s="1" t="str">
        <f>"1021L537-001/C2 CABLE ASSY 1W25"</f>
        <v>1021L537-001/C2 CABLE ASSY 1W25</v>
      </c>
      <c r="L441">
        <v>1</v>
      </c>
      <c r="M441" t="str">
        <f>"PR20000499"</f>
        <v>PR20000499</v>
      </c>
      <c r="N441" t="str">
        <f>"CABLE ASSY 1W"</f>
        <v>CABLE ASSY 1W</v>
      </c>
      <c r="O441">
        <v>140</v>
      </c>
      <c r="P441" t="str">
        <f>"$"</f>
        <v>$</v>
      </c>
      <c r="Q441" t="str">
        <f>"117"</f>
        <v>117</v>
      </c>
      <c r="R441" t="str">
        <f>"רתמות"</f>
        <v>רתמות</v>
      </c>
      <c r="S441" t="str">
        <f>"034"</f>
        <v>034</v>
      </c>
      <c r="T441" t="str">
        <f>"חן בזק"</f>
        <v>חן בזק</v>
      </c>
      <c r="U441">
        <v>0</v>
      </c>
      <c r="V441">
        <v>0</v>
      </c>
      <c r="W441">
        <v>140</v>
      </c>
      <c r="X441">
        <v>140</v>
      </c>
      <c r="Z441" t="str">
        <f>"Y"</f>
        <v>Y</v>
      </c>
      <c r="AA441">
        <v>0</v>
      </c>
      <c r="AC441">
        <v>0</v>
      </c>
      <c r="AE441">
        <v>0</v>
      </c>
      <c r="AF441">
        <v>0</v>
      </c>
      <c r="AG441">
        <v>482.58</v>
      </c>
      <c r="AH441">
        <v>0</v>
      </c>
      <c r="AI441">
        <v>482.58</v>
      </c>
      <c r="AJ441">
        <v>140</v>
      </c>
      <c r="AK441">
        <v>140</v>
      </c>
      <c r="AL441" t="str">
        <f>"$"</f>
        <v>$</v>
      </c>
    </row>
    <row r="442" spans="1:38" x14ac:dyDescent="0.3">
      <c r="A442" t="str">
        <f>"SO20000305"</f>
        <v>SO20000305</v>
      </c>
      <c r="B442" t="str">
        <f>"E000315878"</f>
        <v>E000315878</v>
      </c>
      <c r="C442" t="str">
        <f>"בוצעה"</f>
        <v>בוצעה</v>
      </c>
      <c r="E442" s="3">
        <v>44031</v>
      </c>
      <c r="F442" s="3">
        <v>44195</v>
      </c>
      <c r="G442" t="str">
        <f>"700065"</f>
        <v>700065</v>
      </c>
      <c r="H442" t="str">
        <f>"אלתא מערכות בע""מ"</f>
        <v>אלתא מערכות בע"מ</v>
      </c>
      <c r="I442" t="str">
        <f>"ערן שלו"</f>
        <v>ערן שלו</v>
      </c>
      <c r="J442" t="str">
        <f>"OP-AR01919"</f>
        <v>OP-AR01919</v>
      </c>
      <c r="K442" s="1" t="str">
        <f>"1013P130-003 CABLE ASSY 1W47"</f>
        <v>1013P130-003 CABLE ASSY 1W47</v>
      </c>
      <c r="L442">
        <v>2</v>
      </c>
      <c r="M442" t="str">
        <f>"PR20000499"</f>
        <v>PR20000499</v>
      </c>
      <c r="N442" t="str">
        <f>"CABLE ASSY 1W"</f>
        <v>CABLE ASSY 1W</v>
      </c>
      <c r="O442" s="2">
        <v>2303.2800000000002</v>
      </c>
      <c r="P442" t="str">
        <f>"$"</f>
        <v>$</v>
      </c>
      <c r="Q442" t="str">
        <f>"117"</f>
        <v>117</v>
      </c>
      <c r="R442" t="str">
        <f>"רתמות"</f>
        <v>רתמות</v>
      </c>
      <c r="S442" t="str">
        <f>"034"</f>
        <v>034</v>
      </c>
      <c r="T442" t="str">
        <f>"חן בזק"</f>
        <v>חן בזק</v>
      </c>
      <c r="U442">
        <v>0</v>
      </c>
      <c r="V442">
        <v>0</v>
      </c>
      <c r="W442" s="2">
        <v>2303.2800000000002</v>
      </c>
      <c r="X442" s="2">
        <v>4606.5600000000004</v>
      </c>
      <c r="Z442" t="str">
        <f>"Y"</f>
        <v>Y</v>
      </c>
      <c r="AA442">
        <v>1</v>
      </c>
      <c r="AC442">
        <v>0</v>
      </c>
      <c r="AE442">
        <v>0</v>
      </c>
      <c r="AF442">
        <v>0</v>
      </c>
      <c r="AG442" s="2">
        <v>7939.41</v>
      </c>
      <c r="AH442">
        <v>0</v>
      </c>
      <c r="AI442" s="2">
        <v>15878.81</v>
      </c>
      <c r="AJ442" s="2">
        <v>4606.5600000000004</v>
      </c>
      <c r="AK442" s="2">
        <v>4606.5600000000004</v>
      </c>
      <c r="AL442" t="str">
        <f>"$"</f>
        <v>$</v>
      </c>
    </row>
    <row r="443" spans="1:38" x14ac:dyDescent="0.3">
      <c r="A443" t="str">
        <f>"SO20000305"</f>
        <v>SO20000305</v>
      </c>
      <c r="B443" t="str">
        <f>"E000315878"</f>
        <v>E000315878</v>
      </c>
      <c r="C443" t="str">
        <f>"בוצעה"</f>
        <v>בוצעה</v>
      </c>
      <c r="E443" s="3">
        <v>44031</v>
      </c>
      <c r="F443" s="3">
        <v>44195</v>
      </c>
      <c r="G443" t="str">
        <f>"700065"</f>
        <v>700065</v>
      </c>
      <c r="H443" t="str">
        <f>"אלתא מערכות בע""מ"</f>
        <v>אלתא מערכות בע"מ</v>
      </c>
      <c r="I443" t="str">
        <f>"ערן שלו"</f>
        <v>ערן שלו</v>
      </c>
      <c r="J443" t="str">
        <f>"OP-AR01920"</f>
        <v>OP-AR01920</v>
      </c>
      <c r="K443" s="1" t="str">
        <f>"FAI+NRE FOR E000315878"</f>
        <v>FAI+NRE FOR E000315878</v>
      </c>
      <c r="L443">
        <v>1</v>
      </c>
      <c r="M443" t="str">
        <f>"PR20000499"</f>
        <v>PR20000499</v>
      </c>
      <c r="N443" t="str">
        <f>"CABLE ASSY 1W"</f>
        <v>CABLE ASSY 1W</v>
      </c>
      <c r="O443" s="2">
        <v>6150</v>
      </c>
      <c r="P443" t="str">
        <f>"$"</f>
        <v>$</v>
      </c>
      <c r="Q443" t="str">
        <f>"117"</f>
        <v>117</v>
      </c>
      <c r="R443" t="str">
        <f>"רתמות"</f>
        <v>רתמות</v>
      </c>
      <c r="S443" t="str">
        <f>"034"</f>
        <v>034</v>
      </c>
      <c r="T443" t="str">
        <f>"חן בזק"</f>
        <v>חן בזק</v>
      </c>
      <c r="U443">
        <v>0</v>
      </c>
      <c r="V443">
        <v>0</v>
      </c>
      <c r="W443" s="2">
        <v>6150</v>
      </c>
      <c r="X443" s="2">
        <v>6150</v>
      </c>
      <c r="Z443" t="str">
        <f>"Y"</f>
        <v>Y</v>
      </c>
      <c r="AA443">
        <v>1</v>
      </c>
      <c r="AC443">
        <v>0</v>
      </c>
      <c r="AE443">
        <v>0</v>
      </c>
      <c r="AF443">
        <v>0</v>
      </c>
      <c r="AG443" s="2">
        <v>21199.05</v>
      </c>
      <c r="AH443">
        <v>0</v>
      </c>
      <c r="AI443" s="2">
        <v>21199.05</v>
      </c>
      <c r="AJ443" s="2">
        <v>6150</v>
      </c>
      <c r="AK443" s="2">
        <v>6150</v>
      </c>
      <c r="AL443" t="str">
        <f>"$"</f>
        <v>$</v>
      </c>
    </row>
    <row r="444" spans="1:38" x14ac:dyDescent="0.3">
      <c r="A444" t="str">
        <f>"SO20000305"</f>
        <v>SO20000305</v>
      </c>
      <c r="B444" t="str">
        <f>"E000315878"</f>
        <v>E000315878</v>
      </c>
      <c r="C444" t="str">
        <f>"בוצעה"</f>
        <v>בוצעה</v>
      </c>
      <c r="E444" s="3">
        <v>44031</v>
      </c>
      <c r="F444" s="3">
        <v>44195</v>
      </c>
      <c r="G444" t="str">
        <f>"700065"</f>
        <v>700065</v>
      </c>
      <c r="H444" t="str">
        <f>"אלתא מערכות בע""מ"</f>
        <v>אלתא מערכות בע"מ</v>
      </c>
      <c r="I444" t="str">
        <f>"ערן שלו"</f>
        <v>ערן שלו</v>
      </c>
      <c r="J444" t="str">
        <f>"OP-AR01961"</f>
        <v>OP-AR01961</v>
      </c>
      <c r="K444" s="1" t="str">
        <f>"1013P656-001/B CABLE ASSY 1W28"</f>
        <v>1013P656-001/B CABLE ASSY 1W28</v>
      </c>
      <c r="L444">
        <v>1</v>
      </c>
      <c r="M444" t="str">
        <f>"PR20000499"</f>
        <v>PR20000499</v>
      </c>
      <c r="N444" t="str">
        <f>"CABLE ASSY 1W"</f>
        <v>CABLE ASSY 1W</v>
      </c>
      <c r="O444" s="2">
        <v>1754.09</v>
      </c>
      <c r="P444" t="str">
        <f>"$"</f>
        <v>$</v>
      </c>
      <c r="Q444" t="str">
        <f>"117"</f>
        <v>117</v>
      </c>
      <c r="R444" t="str">
        <f>"רתמות"</f>
        <v>רתמות</v>
      </c>
      <c r="S444" t="str">
        <f>"034"</f>
        <v>034</v>
      </c>
      <c r="T444" t="str">
        <f>"חן בזק"</f>
        <v>חן בזק</v>
      </c>
      <c r="U444">
        <v>0</v>
      </c>
      <c r="V444">
        <v>0</v>
      </c>
      <c r="W444" s="2">
        <v>1754.09</v>
      </c>
      <c r="X444" s="2">
        <v>1754.09</v>
      </c>
      <c r="Z444" t="str">
        <f>"Y"</f>
        <v>Y</v>
      </c>
      <c r="AA444">
        <v>0</v>
      </c>
      <c r="AC444">
        <v>0</v>
      </c>
      <c r="AE444">
        <v>0</v>
      </c>
      <c r="AF444">
        <v>0</v>
      </c>
      <c r="AG444" s="2">
        <v>6046.35</v>
      </c>
      <c r="AH444">
        <v>0</v>
      </c>
      <c r="AI444" s="2">
        <v>6046.35</v>
      </c>
      <c r="AJ444" s="2">
        <v>1754.09</v>
      </c>
      <c r="AK444" s="2">
        <v>1754.09</v>
      </c>
      <c r="AL444" t="str">
        <f>"$"</f>
        <v>$</v>
      </c>
    </row>
    <row r="445" spans="1:38" x14ac:dyDescent="0.3">
      <c r="A445" t="str">
        <f>"SO20000305"</f>
        <v>SO20000305</v>
      </c>
      <c r="B445" t="str">
        <f>"E000315878"</f>
        <v>E000315878</v>
      </c>
      <c r="C445" t="str">
        <f>"בוצעה"</f>
        <v>בוצעה</v>
      </c>
      <c r="E445" s="3">
        <v>44031</v>
      </c>
      <c r="F445" s="3">
        <v>44244</v>
      </c>
      <c r="G445" t="str">
        <f>"700065"</f>
        <v>700065</v>
      </c>
      <c r="H445" t="str">
        <f>"אלתא מערכות בע""מ"</f>
        <v>אלתא מערכות בע"מ</v>
      </c>
      <c r="I445" t="str">
        <f>"ערן שלו"</f>
        <v>ערן שלו</v>
      </c>
      <c r="J445" t="str">
        <f>"OP-AR01919"</f>
        <v>OP-AR01919</v>
      </c>
      <c r="K445" s="1" t="str">
        <f>"1013P130-003 CABLE ASSY 1W47"</f>
        <v>1013P130-003 CABLE ASSY 1W47</v>
      </c>
      <c r="L445">
        <v>1</v>
      </c>
      <c r="M445" t="str">
        <f>"PR20000499"</f>
        <v>PR20000499</v>
      </c>
      <c r="N445" t="str">
        <f>"CABLE ASSY 1W"</f>
        <v>CABLE ASSY 1W</v>
      </c>
      <c r="O445" s="2">
        <v>2303.2800000000002</v>
      </c>
      <c r="P445" t="str">
        <f>"$"</f>
        <v>$</v>
      </c>
      <c r="Q445" t="str">
        <f>"117"</f>
        <v>117</v>
      </c>
      <c r="R445" t="str">
        <f>"רתמות"</f>
        <v>רתמות</v>
      </c>
      <c r="S445" t="str">
        <f>"034"</f>
        <v>034</v>
      </c>
      <c r="T445" t="str">
        <f>"חן בזק"</f>
        <v>חן בזק</v>
      </c>
      <c r="U445">
        <v>0</v>
      </c>
      <c r="V445">
        <v>0</v>
      </c>
      <c r="W445" s="2">
        <v>2303.2800000000002</v>
      </c>
      <c r="X445" s="2">
        <v>2303.2800000000002</v>
      </c>
      <c r="Z445" t="str">
        <f>"Y"</f>
        <v>Y</v>
      </c>
      <c r="AA445">
        <v>0</v>
      </c>
      <c r="AC445">
        <v>0</v>
      </c>
      <c r="AE445">
        <v>0</v>
      </c>
      <c r="AF445">
        <v>0</v>
      </c>
      <c r="AG445" s="2">
        <v>7939.41</v>
      </c>
      <c r="AH445">
        <v>0</v>
      </c>
      <c r="AI445" s="2">
        <v>7939.41</v>
      </c>
      <c r="AJ445" s="2">
        <v>2303.2800000000002</v>
      </c>
      <c r="AK445" s="2">
        <v>2303.2800000000002</v>
      </c>
      <c r="AL445" t="str">
        <f>"$"</f>
        <v>$</v>
      </c>
    </row>
    <row r="446" spans="1:38" x14ac:dyDescent="0.3">
      <c r="A446" t="str">
        <f>"SO20000305"</f>
        <v>SO20000305</v>
      </c>
      <c r="B446" t="str">
        <f>"E000315878"</f>
        <v>E000315878</v>
      </c>
      <c r="C446" t="str">
        <f>"בוצעה"</f>
        <v>בוצעה</v>
      </c>
      <c r="E446" s="3">
        <v>44031</v>
      </c>
      <c r="F446" s="3">
        <v>44244</v>
      </c>
      <c r="G446" t="str">
        <f>"700065"</f>
        <v>700065</v>
      </c>
      <c r="H446" t="str">
        <f>"אלתא מערכות בע""מ"</f>
        <v>אלתא מערכות בע"מ</v>
      </c>
      <c r="I446" t="str">
        <f>"ערן שלו"</f>
        <v>ערן שלו</v>
      </c>
      <c r="J446" t="str">
        <f>"000"</f>
        <v>000</v>
      </c>
      <c r="K446" s="1" t="str">
        <f>"תיקון 1013P651-001"</f>
        <v>תיקון 1013P651-001</v>
      </c>
      <c r="L446">
        <v>1</v>
      </c>
      <c r="M446" t="str">
        <f>"PR20000499"</f>
        <v>PR20000499</v>
      </c>
      <c r="N446" t="str">
        <f>"CABLE ASSY 1W"</f>
        <v>CABLE ASSY 1W</v>
      </c>
      <c r="O446">
        <v>0</v>
      </c>
      <c r="P446" t="str">
        <f>"$"</f>
        <v>$</v>
      </c>
      <c r="Q446" t="str">
        <f>"117"</f>
        <v>117</v>
      </c>
      <c r="R446" t="str">
        <f>"רתמות"</f>
        <v>רתמות</v>
      </c>
      <c r="S446" t="str">
        <f>"034"</f>
        <v>034</v>
      </c>
      <c r="T446" t="str">
        <f>"חן בזק"</f>
        <v>חן בזק</v>
      </c>
      <c r="U446">
        <v>0</v>
      </c>
      <c r="V446">
        <v>0</v>
      </c>
      <c r="W446">
        <v>0</v>
      </c>
      <c r="X446">
        <v>0</v>
      </c>
      <c r="Z446" t="str">
        <f>"Y"</f>
        <v>Y</v>
      </c>
      <c r="AA446">
        <v>0</v>
      </c>
      <c r="AC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 t="str">
        <f>"$"</f>
        <v>$</v>
      </c>
    </row>
    <row r="447" spans="1:38" x14ac:dyDescent="0.3">
      <c r="A447" t="str">
        <f>"SO20000306"</f>
        <v>SO20000306</v>
      </c>
      <c r="B447" t="str">
        <f>"E000317220"</f>
        <v>E000317220</v>
      </c>
      <c r="C447" t="str">
        <f>"בוצעה"</f>
        <v>בוצעה</v>
      </c>
      <c r="E447" s="3">
        <v>44031</v>
      </c>
      <c r="F447" s="3">
        <v>44166</v>
      </c>
      <c r="G447" t="str">
        <f>"700065"</f>
        <v>700065</v>
      </c>
      <c r="H447" t="str">
        <f>"אלתא מערכות בע""מ"</f>
        <v>אלתא מערכות בע"מ</v>
      </c>
      <c r="I447" t="str">
        <f>"ערן שלו"</f>
        <v>ערן שלו</v>
      </c>
      <c r="J447" t="str">
        <f>"OP-AR01905"</f>
        <v>OP-AR01905</v>
      </c>
      <c r="K447" s="1" t="str">
        <f>"1027L265-001 - CABLE ASSY WR015"</f>
        <v>1027L265-001 - CABLE ASSY WR015</v>
      </c>
      <c r="L447">
        <v>8</v>
      </c>
      <c r="M447" t="str">
        <f>"PR20000495"</f>
        <v>PR20000495</v>
      </c>
      <c r="N447" t="str">
        <f>"DC POWER 28V TO MCS FAN"</f>
        <v>DC POWER 28V TO MCS FAN</v>
      </c>
      <c r="O447" s="2">
        <v>1050</v>
      </c>
      <c r="P447" t="str">
        <f>"$"</f>
        <v>$</v>
      </c>
      <c r="Q447" t="str">
        <f>"000"</f>
        <v>000</v>
      </c>
      <c r="R447" t="str">
        <f>"כללית"</f>
        <v>כללית</v>
      </c>
      <c r="S447" t="str">
        <f>"034"</f>
        <v>034</v>
      </c>
      <c r="T447" t="str">
        <f>"חן בזק"</f>
        <v>חן בזק</v>
      </c>
      <c r="U447">
        <v>0</v>
      </c>
      <c r="V447">
        <v>0</v>
      </c>
      <c r="W447" s="2">
        <v>1050</v>
      </c>
      <c r="X447" s="2">
        <v>8400</v>
      </c>
      <c r="Z447" t="str">
        <f>"Y"</f>
        <v>Y</v>
      </c>
      <c r="AA447">
        <v>0</v>
      </c>
      <c r="AC447">
        <v>0</v>
      </c>
      <c r="AE447">
        <v>0</v>
      </c>
      <c r="AF447">
        <v>0</v>
      </c>
      <c r="AG447" s="2">
        <v>3619.35</v>
      </c>
      <c r="AH447">
        <v>0</v>
      </c>
      <c r="AI447" s="2">
        <v>28954.799999999999</v>
      </c>
      <c r="AJ447" s="2">
        <v>8400</v>
      </c>
      <c r="AK447" s="2">
        <v>8400</v>
      </c>
      <c r="AL447" t="str">
        <f>"$"</f>
        <v>$</v>
      </c>
    </row>
    <row r="448" spans="1:38" x14ac:dyDescent="0.3">
      <c r="A448" t="str">
        <f>"SO20000306"</f>
        <v>SO20000306</v>
      </c>
      <c r="B448" t="str">
        <f>"E000317220"</f>
        <v>E000317220</v>
      </c>
      <c r="C448" t="str">
        <f>"בוצעה"</f>
        <v>בוצעה</v>
      </c>
      <c r="E448" s="3">
        <v>44031</v>
      </c>
      <c r="F448" s="3">
        <v>44166</v>
      </c>
      <c r="G448" t="str">
        <f>"700065"</f>
        <v>700065</v>
      </c>
      <c r="H448" t="str">
        <f>"אלתא מערכות בע""מ"</f>
        <v>אלתא מערכות בע"מ</v>
      </c>
      <c r="I448" t="str">
        <f>"ערן שלו"</f>
        <v>ערן שלו</v>
      </c>
      <c r="J448" t="str">
        <f>"OP-AR01906"</f>
        <v>OP-AR01906</v>
      </c>
      <c r="K448" s="1" t="str">
        <f>"1039V952-001 - CABLE ASSY WR102"</f>
        <v>1039V952-001 - CABLE ASSY WR102</v>
      </c>
      <c r="L448">
        <v>7</v>
      </c>
      <c r="M448" t="str">
        <f>"PR20000495"</f>
        <v>PR20000495</v>
      </c>
      <c r="N448" t="str">
        <f>"DC POWER 28V TO MCS FAN"</f>
        <v>DC POWER 28V TO MCS FAN</v>
      </c>
      <c r="O448">
        <v>944</v>
      </c>
      <c r="P448" t="str">
        <f>"$"</f>
        <v>$</v>
      </c>
      <c r="Q448" t="str">
        <f>"000"</f>
        <v>000</v>
      </c>
      <c r="R448" t="str">
        <f>"כללית"</f>
        <v>כללית</v>
      </c>
      <c r="S448" t="str">
        <f>"034"</f>
        <v>034</v>
      </c>
      <c r="T448" t="str">
        <f>"חן בזק"</f>
        <v>חן בזק</v>
      </c>
      <c r="U448">
        <v>0</v>
      </c>
      <c r="V448">
        <v>0</v>
      </c>
      <c r="W448">
        <v>944</v>
      </c>
      <c r="X448" s="2">
        <v>6608</v>
      </c>
      <c r="Z448" t="str">
        <f>"Y"</f>
        <v>Y</v>
      </c>
      <c r="AA448">
        <v>0</v>
      </c>
      <c r="AC448">
        <v>0</v>
      </c>
      <c r="AE448">
        <v>0</v>
      </c>
      <c r="AF448">
        <v>0</v>
      </c>
      <c r="AG448" s="2">
        <v>3253.97</v>
      </c>
      <c r="AH448">
        <v>0</v>
      </c>
      <c r="AI448" s="2">
        <v>22777.78</v>
      </c>
      <c r="AJ448" s="2">
        <v>6608</v>
      </c>
      <c r="AK448" s="2">
        <v>6608</v>
      </c>
      <c r="AL448" t="str">
        <f>"$"</f>
        <v>$</v>
      </c>
    </row>
    <row r="449" spans="1:38" x14ac:dyDescent="0.3">
      <c r="A449" t="str">
        <f>"SO20000307"</f>
        <v>SO20000307</v>
      </c>
      <c r="B449" t="str">
        <f>"E000316435"</f>
        <v>E000316435</v>
      </c>
      <c r="C449" t="str">
        <f>"בוצעה"</f>
        <v>בוצעה</v>
      </c>
      <c r="E449" s="3">
        <v>44031</v>
      </c>
      <c r="F449" s="3">
        <v>44145</v>
      </c>
      <c r="G449" t="str">
        <f>"700065"</f>
        <v>700065</v>
      </c>
      <c r="H449" t="str">
        <f>"אלתא מערכות בע""מ"</f>
        <v>אלתא מערכות בע"מ</v>
      </c>
      <c r="I449" t="str">
        <f>"ערן שלו"</f>
        <v>ערן שלו</v>
      </c>
      <c r="J449" t="str">
        <f>"OP-AR01935"</f>
        <v>OP-AR01935</v>
      </c>
      <c r="K449" s="1" t="str">
        <f>"1023B563-001/B  HARNESS WV063 - JACKS MOTOR POWE"</f>
        <v>1023B563-001/B  HARNESS WV063 - JACKS MOTOR POWE</v>
      </c>
      <c r="L449">
        <v>1</v>
      </c>
      <c r="M449" t="str">
        <f>"PR20000500"</f>
        <v>PR20000500</v>
      </c>
      <c r="N449" t="str">
        <f>"ARNESS WV063 - JACKS MOTOR POWER"</f>
        <v>ARNESS WV063 - JACKS MOTOR POWER</v>
      </c>
      <c r="O449">
        <v>463.86</v>
      </c>
      <c r="P449" t="str">
        <f>"$"</f>
        <v>$</v>
      </c>
      <c r="Q449" t="str">
        <f>"000"</f>
        <v>000</v>
      </c>
      <c r="R449" t="str">
        <f>"כללית"</f>
        <v>כללית</v>
      </c>
      <c r="S449" t="str">
        <f>"034"</f>
        <v>034</v>
      </c>
      <c r="T449" t="str">
        <f>"חן בזק"</f>
        <v>חן בזק</v>
      </c>
      <c r="U449">
        <v>0</v>
      </c>
      <c r="V449">
        <v>0</v>
      </c>
      <c r="W449">
        <v>463.86</v>
      </c>
      <c r="X449">
        <v>463.86</v>
      </c>
      <c r="Z449" t="str">
        <f>"Y"</f>
        <v>Y</v>
      </c>
      <c r="AA449">
        <v>0</v>
      </c>
      <c r="AC449">
        <v>0</v>
      </c>
      <c r="AE449">
        <v>0</v>
      </c>
      <c r="AF449">
        <v>0</v>
      </c>
      <c r="AG449" s="2">
        <v>1598.93</v>
      </c>
      <c r="AH449">
        <v>0</v>
      </c>
      <c r="AI449" s="2">
        <v>1598.93</v>
      </c>
      <c r="AJ449">
        <v>463.86</v>
      </c>
      <c r="AK449">
        <v>463.86</v>
      </c>
      <c r="AL449" t="str">
        <f>"$"</f>
        <v>$</v>
      </c>
    </row>
    <row r="450" spans="1:38" x14ac:dyDescent="0.3">
      <c r="A450" t="str">
        <f>"SO20000307"</f>
        <v>SO20000307</v>
      </c>
      <c r="B450" t="str">
        <f>"E000316435"</f>
        <v>E000316435</v>
      </c>
      <c r="C450" t="str">
        <f>"בוצעה"</f>
        <v>בוצעה</v>
      </c>
      <c r="E450" s="3">
        <v>44031</v>
      </c>
      <c r="F450" s="3">
        <v>44145</v>
      </c>
      <c r="G450" t="str">
        <f>"700065"</f>
        <v>700065</v>
      </c>
      <c r="H450" t="str">
        <f>"אלתא מערכות בע""מ"</f>
        <v>אלתא מערכות בע"מ</v>
      </c>
      <c r="I450" t="str">
        <f>"ערן שלו"</f>
        <v>ערן שלו</v>
      </c>
      <c r="J450" t="str">
        <f>"OP-AR01936"</f>
        <v>OP-AR01936</v>
      </c>
      <c r="K450" s="1" t="str">
        <f>"1023B564-001   CABLE ASSY WV064"</f>
        <v>1023B564-001   CABLE ASSY WV064</v>
      </c>
      <c r="L450">
        <v>8</v>
      </c>
      <c r="M450" t="str">
        <f>"PR20000500"</f>
        <v>PR20000500</v>
      </c>
      <c r="N450" t="str">
        <f>"ARNESS WV063 - JACKS MOTOR POWER"</f>
        <v>ARNESS WV063 - JACKS MOTOR POWER</v>
      </c>
      <c r="O450">
        <v>309.24</v>
      </c>
      <c r="P450" t="str">
        <f>"$"</f>
        <v>$</v>
      </c>
      <c r="Q450" t="str">
        <f>"000"</f>
        <v>000</v>
      </c>
      <c r="R450" t="str">
        <f>"כללית"</f>
        <v>כללית</v>
      </c>
      <c r="S450" t="str">
        <f>"034"</f>
        <v>034</v>
      </c>
      <c r="T450" t="str">
        <f>"חן בזק"</f>
        <v>חן בזק</v>
      </c>
      <c r="U450">
        <v>0</v>
      </c>
      <c r="V450">
        <v>0</v>
      </c>
      <c r="W450">
        <v>309.24</v>
      </c>
      <c r="X450" s="2">
        <v>2473.92</v>
      </c>
      <c r="Z450" t="str">
        <f>"Y"</f>
        <v>Y</v>
      </c>
      <c r="AA450">
        <v>0</v>
      </c>
      <c r="AC450">
        <v>0</v>
      </c>
      <c r="AE450">
        <v>0</v>
      </c>
      <c r="AF450">
        <v>0</v>
      </c>
      <c r="AG450" s="2">
        <v>1065.95</v>
      </c>
      <c r="AH450">
        <v>0</v>
      </c>
      <c r="AI450" s="2">
        <v>8527.6</v>
      </c>
      <c r="AJ450" s="2">
        <v>2473.92</v>
      </c>
      <c r="AK450" s="2">
        <v>2473.92</v>
      </c>
      <c r="AL450" t="str">
        <f>"$"</f>
        <v>$</v>
      </c>
    </row>
    <row r="451" spans="1:38" x14ac:dyDescent="0.3">
      <c r="A451" t="str">
        <f>"SO20000307"</f>
        <v>SO20000307</v>
      </c>
      <c r="B451" t="str">
        <f>"E000316435"</f>
        <v>E000316435</v>
      </c>
      <c r="C451" t="str">
        <f>"בוצעה"</f>
        <v>בוצעה</v>
      </c>
      <c r="E451" s="3">
        <v>44031</v>
      </c>
      <c r="F451" s="3">
        <v>44145</v>
      </c>
      <c r="G451" t="str">
        <f>"700065"</f>
        <v>700065</v>
      </c>
      <c r="H451" t="str">
        <f>"אלתא מערכות בע""מ"</f>
        <v>אלתא מערכות בע"מ</v>
      </c>
      <c r="I451" t="str">
        <f>"ערן שלו"</f>
        <v>ערן שלו</v>
      </c>
      <c r="J451" t="str">
        <f>"OP-AR01935"</f>
        <v>OP-AR01935</v>
      </c>
      <c r="K451" s="1" t="str">
        <f>"1023B563-001/B  HARNESS WV063 - JACKS MOTOR POWE"</f>
        <v>1023B563-001/B  HARNESS WV063 - JACKS MOTOR POWE</v>
      </c>
      <c r="L451">
        <v>8</v>
      </c>
      <c r="M451" t="str">
        <f>"PR20000500"</f>
        <v>PR20000500</v>
      </c>
      <c r="N451" t="str">
        <f>"ARNESS WV063 - JACKS MOTOR POWER"</f>
        <v>ARNESS WV063 - JACKS MOTOR POWER</v>
      </c>
      <c r="O451">
        <v>463.86</v>
      </c>
      <c r="P451" t="str">
        <f>"$"</f>
        <v>$</v>
      </c>
      <c r="Q451" t="str">
        <f>"000"</f>
        <v>000</v>
      </c>
      <c r="R451" t="str">
        <f>"כללית"</f>
        <v>כללית</v>
      </c>
      <c r="S451" t="str">
        <f>"034"</f>
        <v>034</v>
      </c>
      <c r="T451" t="str">
        <f>"חן בזק"</f>
        <v>חן בזק</v>
      </c>
      <c r="U451">
        <v>0</v>
      </c>
      <c r="V451">
        <v>0</v>
      </c>
      <c r="W451">
        <v>463.86</v>
      </c>
      <c r="X451" s="2">
        <v>3710.88</v>
      </c>
      <c r="Z451" t="str">
        <f>"Y"</f>
        <v>Y</v>
      </c>
      <c r="AA451">
        <v>0</v>
      </c>
      <c r="AC451">
        <v>0</v>
      </c>
      <c r="AE451">
        <v>0</v>
      </c>
      <c r="AF451">
        <v>0</v>
      </c>
      <c r="AG451" s="2">
        <v>1598.93</v>
      </c>
      <c r="AH451">
        <v>0</v>
      </c>
      <c r="AI451" s="2">
        <v>12791.4</v>
      </c>
      <c r="AJ451" s="2">
        <v>3710.88</v>
      </c>
      <c r="AK451" s="2">
        <v>3710.88</v>
      </c>
      <c r="AL451" t="str">
        <f>"$"</f>
        <v>$</v>
      </c>
    </row>
    <row r="452" spans="1:38" x14ac:dyDescent="0.3">
      <c r="A452" t="str">
        <f>"SO20000307"</f>
        <v>SO20000307</v>
      </c>
      <c r="B452" t="str">
        <f>"E000316435"</f>
        <v>E000316435</v>
      </c>
      <c r="C452" t="str">
        <f>"בוצעה"</f>
        <v>בוצעה</v>
      </c>
      <c r="E452" s="3">
        <v>44031</v>
      </c>
      <c r="F452" s="3">
        <v>44145</v>
      </c>
      <c r="G452" t="str">
        <f>"700065"</f>
        <v>700065</v>
      </c>
      <c r="H452" t="str">
        <f>"אלתא מערכות בע""מ"</f>
        <v>אלתא מערכות בע"מ</v>
      </c>
      <c r="I452" t="str">
        <f>"ערן שלו"</f>
        <v>ערן שלו</v>
      </c>
      <c r="J452" t="str">
        <f>"OP-AR01937"</f>
        <v>OP-AR01937</v>
      </c>
      <c r="K452" s="1" t="str">
        <f>"1023B599-001  WV099 ELEVATION AXIS WARING SWIT"</f>
        <v>1023B599-001  WV099 ELEVATION AXIS WARING SWIT</v>
      </c>
      <c r="L452">
        <v>16</v>
      </c>
      <c r="M452" t="str">
        <f>"PR20000500"</f>
        <v>PR20000500</v>
      </c>
      <c r="N452" t="str">
        <f>"ARNESS WV063 - JACKS MOTOR POWER"</f>
        <v>ARNESS WV063 - JACKS MOTOR POWER</v>
      </c>
      <c r="O452" s="2">
        <v>1101.68</v>
      </c>
      <c r="P452" t="str">
        <f>"$"</f>
        <v>$</v>
      </c>
      <c r="Q452" t="str">
        <f>"000"</f>
        <v>000</v>
      </c>
      <c r="R452" t="str">
        <f>"כללית"</f>
        <v>כללית</v>
      </c>
      <c r="S452" t="str">
        <f>"034"</f>
        <v>034</v>
      </c>
      <c r="T452" t="str">
        <f>"חן בזק"</f>
        <v>חן בזק</v>
      </c>
      <c r="U452">
        <v>0</v>
      </c>
      <c r="V452">
        <v>0</v>
      </c>
      <c r="W452" s="2">
        <v>1101.68</v>
      </c>
      <c r="X452" s="2">
        <v>17626.88</v>
      </c>
      <c r="Z452" t="str">
        <f>"Y"</f>
        <v>Y</v>
      </c>
      <c r="AA452">
        <v>0</v>
      </c>
      <c r="AC452">
        <v>0</v>
      </c>
      <c r="AE452">
        <v>0</v>
      </c>
      <c r="AF452">
        <v>0</v>
      </c>
      <c r="AG452" s="2">
        <v>3797.49</v>
      </c>
      <c r="AH452">
        <v>0</v>
      </c>
      <c r="AI452" s="2">
        <v>60759.86</v>
      </c>
      <c r="AJ452" s="2">
        <v>17626.88</v>
      </c>
      <c r="AK452" s="2">
        <v>17626.88</v>
      </c>
      <c r="AL452" t="str">
        <f>"$"</f>
        <v>$</v>
      </c>
    </row>
    <row r="453" spans="1:38" x14ac:dyDescent="0.3">
      <c r="A453" t="str">
        <f>"SO20000307"</f>
        <v>SO20000307</v>
      </c>
      <c r="B453" t="str">
        <f>"E000316435"</f>
        <v>E000316435</v>
      </c>
      <c r="C453" t="str">
        <f>"בוצעה"</f>
        <v>בוצעה</v>
      </c>
      <c r="E453" s="3">
        <v>44031</v>
      </c>
      <c r="F453" s="3">
        <v>44244</v>
      </c>
      <c r="G453" t="str">
        <f>"700065"</f>
        <v>700065</v>
      </c>
      <c r="H453" t="str">
        <f>"אלתא מערכות בע""מ"</f>
        <v>אלתא מערכות בע"מ</v>
      </c>
      <c r="I453" t="str">
        <f>"ערן שלו"</f>
        <v>ערן שלו</v>
      </c>
      <c r="J453" t="str">
        <f>"cust000756"</f>
        <v>cust000756</v>
      </c>
      <c r="K453" s="1" t="str">
        <f>"1023B599-001/B WV099 אלתא"</f>
        <v>1023B599-001/B WV099 אלתא</v>
      </c>
      <c r="L453">
        <v>16</v>
      </c>
      <c r="M453" t="str">
        <f>"PR20000500"</f>
        <v>PR20000500</v>
      </c>
      <c r="N453" t="str">
        <f>"ARNESS WV063 - JACKS MOTOR POWER"</f>
        <v>ARNESS WV063 - JACKS MOTOR POWER</v>
      </c>
      <c r="O453">
        <v>0</v>
      </c>
      <c r="P453" t="str">
        <f>"$"</f>
        <v>$</v>
      </c>
      <c r="Q453" t="str">
        <f>"000"</f>
        <v>000</v>
      </c>
      <c r="R453" t="str">
        <f>"כללית"</f>
        <v>כללית</v>
      </c>
      <c r="S453" t="str">
        <f>"034"</f>
        <v>034</v>
      </c>
      <c r="T453" t="str">
        <f>"חן בזק"</f>
        <v>חן בזק</v>
      </c>
      <c r="U453">
        <v>0</v>
      </c>
      <c r="V453">
        <v>0</v>
      </c>
      <c r="W453">
        <v>0</v>
      </c>
      <c r="X453">
        <v>0</v>
      </c>
      <c r="Z453" t="str">
        <f>"Y"</f>
        <v>Y</v>
      </c>
      <c r="AA453">
        <v>0</v>
      </c>
      <c r="AC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 t="str">
        <f>"$"</f>
        <v>$</v>
      </c>
    </row>
    <row r="454" spans="1:38" x14ac:dyDescent="0.3">
      <c r="A454" t="str">
        <f>"SO20000308"</f>
        <v>SO20000308</v>
      </c>
      <c r="B454" t="str">
        <f>"E000316577"</f>
        <v>E000316577</v>
      </c>
      <c r="C454" t="str">
        <f>"בוצעה"</f>
        <v>בוצעה</v>
      </c>
      <c r="E454" s="3">
        <v>44031</v>
      </c>
      <c r="F454" s="3">
        <v>44089</v>
      </c>
      <c r="G454" t="str">
        <f>"700065"</f>
        <v>700065</v>
      </c>
      <c r="H454" t="str">
        <f>"אלתא מערכות בע""מ"</f>
        <v>אלתא מערכות בע"מ</v>
      </c>
      <c r="I454" t="str">
        <f>"ערן שלו"</f>
        <v>ערן שלו</v>
      </c>
      <c r="J454" t="str">
        <f>"OP-AR01934"</f>
        <v>OP-AR01934</v>
      </c>
      <c r="K454" s="1" t="str">
        <f>"1038N524-001/A   CONTROL CABLE"</f>
        <v>1038N524-001/A   CONTROL CABLE</v>
      </c>
      <c r="L454">
        <v>2</v>
      </c>
      <c r="M454" t="str">
        <f>"PR20000501"</f>
        <v>PR20000501</v>
      </c>
      <c r="N454" t="str">
        <f>"CONTROL CABLE"</f>
        <v>CONTROL CABLE</v>
      </c>
      <c r="O454">
        <v>742.21</v>
      </c>
      <c r="P454" t="str">
        <f>"$"</f>
        <v>$</v>
      </c>
      <c r="Q454" t="str">
        <f>"000"</f>
        <v>000</v>
      </c>
      <c r="R454" t="str">
        <f>"כללית"</f>
        <v>כללית</v>
      </c>
      <c r="S454" t="str">
        <f>"034"</f>
        <v>034</v>
      </c>
      <c r="T454" t="str">
        <f>"חן בזק"</f>
        <v>חן בזק</v>
      </c>
      <c r="U454">
        <v>0</v>
      </c>
      <c r="V454">
        <v>0</v>
      </c>
      <c r="W454">
        <v>742.21</v>
      </c>
      <c r="X454" s="2">
        <v>1484.42</v>
      </c>
      <c r="Z454" t="str">
        <f>"Y"</f>
        <v>Y</v>
      </c>
      <c r="AA454">
        <v>0</v>
      </c>
      <c r="AC454">
        <v>0</v>
      </c>
      <c r="AE454">
        <v>0</v>
      </c>
      <c r="AF454">
        <v>0</v>
      </c>
      <c r="AG454" s="2">
        <v>2558.4</v>
      </c>
      <c r="AH454">
        <v>0</v>
      </c>
      <c r="AI454" s="2">
        <v>5116.8</v>
      </c>
      <c r="AJ454" s="2">
        <v>1484.42</v>
      </c>
      <c r="AK454" s="2">
        <v>1484.42</v>
      </c>
      <c r="AL454" t="str">
        <f>"$"</f>
        <v>$</v>
      </c>
    </row>
    <row r="455" spans="1:38" x14ac:dyDescent="0.3">
      <c r="A455" t="str">
        <f>"SO20000308"</f>
        <v>SO20000308</v>
      </c>
      <c r="B455" t="str">
        <f>"E000316577"</f>
        <v>E000316577</v>
      </c>
      <c r="C455" t="str">
        <f>"בוצעה"</f>
        <v>בוצעה</v>
      </c>
      <c r="E455" s="3">
        <v>44031</v>
      </c>
      <c r="F455" s="3">
        <v>44089</v>
      </c>
      <c r="G455" t="str">
        <f>"700065"</f>
        <v>700065</v>
      </c>
      <c r="H455" t="str">
        <f>"אלתא מערכות בע""מ"</f>
        <v>אלתא מערכות בע"מ</v>
      </c>
      <c r="I455" t="str">
        <f>"ערן שלו"</f>
        <v>ערן שלו</v>
      </c>
      <c r="J455" t="str">
        <f>"OP-AR01934"</f>
        <v>OP-AR01934</v>
      </c>
      <c r="K455" s="1" t="str">
        <f>"1038N524-001/A   CONTROL CABLE"</f>
        <v>1038N524-001/A   CONTROL CABLE</v>
      </c>
      <c r="L455">
        <v>2</v>
      </c>
      <c r="M455" t="str">
        <f>"PR20000501"</f>
        <v>PR20000501</v>
      </c>
      <c r="N455" t="str">
        <f>"CONTROL CABLE"</f>
        <v>CONTROL CABLE</v>
      </c>
      <c r="O455">
        <v>742.21</v>
      </c>
      <c r="P455" t="str">
        <f>"$"</f>
        <v>$</v>
      </c>
      <c r="Q455" t="str">
        <f>"000"</f>
        <v>000</v>
      </c>
      <c r="R455" t="str">
        <f>"כללית"</f>
        <v>כללית</v>
      </c>
      <c r="S455" t="str">
        <f>"034"</f>
        <v>034</v>
      </c>
      <c r="T455" t="str">
        <f>"חן בזק"</f>
        <v>חן בזק</v>
      </c>
      <c r="U455">
        <v>0</v>
      </c>
      <c r="V455">
        <v>0</v>
      </c>
      <c r="W455">
        <v>742.21</v>
      </c>
      <c r="X455" s="2">
        <v>1484.42</v>
      </c>
      <c r="Z455" t="str">
        <f>"Y"</f>
        <v>Y</v>
      </c>
      <c r="AA455">
        <v>0</v>
      </c>
      <c r="AC455">
        <v>0</v>
      </c>
      <c r="AE455">
        <v>0</v>
      </c>
      <c r="AF455">
        <v>0</v>
      </c>
      <c r="AG455" s="2">
        <v>2558.4</v>
      </c>
      <c r="AH455">
        <v>0</v>
      </c>
      <c r="AI455" s="2">
        <v>5116.8</v>
      </c>
      <c r="AJ455" s="2">
        <v>1484.42</v>
      </c>
      <c r="AK455" s="2">
        <v>1484.42</v>
      </c>
      <c r="AL455" t="str">
        <f>"$"</f>
        <v>$</v>
      </c>
    </row>
    <row r="456" spans="1:38" x14ac:dyDescent="0.3">
      <c r="A456" t="str">
        <f>"SO20000308"</f>
        <v>SO20000308</v>
      </c>
      <c r="B456" t="str">
        <f>"E000316577"</f>
        <v>E000316577</v>
      </c>
      <c r="C456" t="str">
        <f>"בוצעה"</f>
        <v>בוצעה</v>
      </c>
      <c r="E456" s="3">
        <v>44031</v>
      </c>
      <c r="F456" s="3">
        <v>44089</v>
      </c>
      <c r="G456" t="str">
        <f>"700065"</f>
        <v>700065</v>
      </c>
      <c r="H456" t="str">
        <f>"אלתא מערכות בע""מ"</f>
        <v>אלתא מערכות בע"מ</v>
      </c>
      <c r="I456" t="str">
        <f>"ערן שלו"</f>
        <v>ערן שלו</v>
      </c>
      <c r="J456" t="str">
        <f>"OP-AR01934"</f>
        <v>OP-AR01934</v>
      </c>
      <c r="K456" s="1" t="str">
        <f>"1038N524-001/A   CONTROL CABLE"</f>
        <v>1038N524-001/A   CONTROL CABLE</v>
      </c>
      <c r="L456">
        <v>2</v>
      </c>
      <c r="M456" t="str">
        <f>"PR20000501"</f>
        <v>PR20000501</v>
      </c>
      <c r="N456" t="str">
        <f>"CONTROL CABLE"</f>
        <v>CONTROL CABLE</v>
      </c>
      <c r="O456">
        <v>742.21</v>
      </c>
      <c r="P456" t="str">
        <f>"$"</f>
        <v>$</v>
      </c>
      <c r="Q456" t="str">
        <f>"000"</f>
        <v>000</v>
      </c>
      <c r="R456" t="str">
        <f>"כללית"</f>
        <v>כללית</v>
      </c>
      <c r="S456" t="str">
        <f>"034"</f>
        <v>034</v>
      </c>
      <c r="T456" t="str">
        <f>"חן בזק"</f>
        <v>חן בזק</v>
      </c>
      <c r="U456">
        <v>0</v>
      </c>
      <c r="V456">
        <v>0</v>
      </c>
      <c r="W456">
        <v>742.21</v>
      </c>
      <c r="X456" s="2">
        <v>1484.42</v>
      </c>
      <c r="Z456" t="str">
        <f>"Y"</f>
        <v>Y</v>
      </c>
      <c r="AA456">
        <v>0</v>
      </c>
      <c r="AC456">
        <v>0</v>
      </c>
      <c r="AE456">
        <v>0</v>
      </c>
      <c r="AF456">
        <v>0</v>
      </c>
      <c r="AG456" s="2">
        <v>2558.4</v>
      </c>
      <c r="AH456">
        <v>0</v>
      </c>
      <c r="AI456" s="2">
        <v>5116.8</v>
      </c>
      <c r="AJ456" s="2">
        <v>1484.42</v>
      </c>
      <c r="AK456" s="2">
        <v>1484.42</v>
      </c>
      <c r="AL456" t="str">
        <f>"$"</f>
        <v>$</v>
      </c>
    </row>
    <row r="457" spans="1:38" x14ac:dyDescent="0.3">
      <c r="A457" t="str">
        <f>"SO20000309"</f>
        <v>SO20000309</v>
      </c>
      <c r="B457" t="str">
        <f>"E000316387"</f>
        <v>E000316387</v>
      </c>
      <c r="C457" t="str">
        <f>"בוצעה"</f>
        <v>בוצעה</v>
      </c>
      <c r="E457" s="3">
        <v>44031</v>
      </c>
      <c r="F457" s="3">
        <v>44155</v>
      </c>
      <c r="G457" t="str">
        <f>"700065"</f>
        <v>700065</v>
      </c>
      <c r="H457" t="str">
        <f>"אלתא מערכות בע""מ"</f>
        <v>אלתא מערכות בע"מ</v>
      </c>
      <c r="I457" t="str">
        <f>"ערן שלו"</f>
        <v>ערן שלו</v>
      </c>
      <c r="J457" t="str">
        <f>"OP-AR01921"</f>
        <v>OP-AR01921</v>
      </c>
      <c r="K457" s="1" t="str">
        <f>"2114B156-001/-  BLKXW4 CABLE ASSY (MSTU CONTROL)"</f>
        <v>2114B156-001/-  BLKXW4 CABLE ASSY (MSTU CONTROL)</v>
      </c>
      <c r="L457">
        <v>3</v>
      </c>
      <c r="M457" t="str">
        <f>"PR20000502"</f>
        <v>PR20000502</v>
      </c>
      <c r="N457" t="str">
        <f>"BLKXW4 CABLE ASSY (MSTU CONTROL)"</f>
        <v>BLKXW4 CABLE ASSY (MSTU CONTROL)</v>
      </c>
      <c r="O457">
        <v>652.21</v>
      </c>
      <c r="P457" t="str">
        <f>"$"</f>
        <v>$</v>
      </c>
      <c r="Q457" t="str">
        <f>"117"</f>
        <v>117</v>
      </c>
      <c r="R457" t="str">
        <f>"רתמות"</f>
        <v>רתמות</v>
      </c>
      <c r="S457" t="str">
        <f>"034"</f>
        <v>034</v>
      </c>
      <c r="T457" t="str">
        <f>"חן בזק"</f>
        <v>חן בזק</v>
      </c>
      <c r="U457">
        <v>0</v>
      </c>
      <c r="V457">
        <v>0</v>
      </c>
      <c r="W457">
        <v>652.21</v>
      </c>
      <c r="X457" s="2">
        <v>1956.63</v>
      </c>
      <c r="Z457" t="str">
        <f>"Y"</f>
        <v>Y</v>
      </c>
      <c r="AA457">
        <v>0</v>
      </c>
      <c r="AC457">
        <v>0</v>
      </c>
      <c r="AE457">
        <v>0</v>
      </c>
      <c r="AF457">
        <v>0</v>
      </c>
      <c r="AG457" s="2">
        <v>2248.17</v>
      </c>
      <c r="AH457">
        <v>0</v>
      </c>
      <c r="AI457" s="2">
        <v>6744.5</v>
      </c>
      <c r="AJ457" s="2">
        <v>1956.63</v>
      </c>
      <c r="AK457" s="2">
        <v>1956.63</v>
      </c>
      <c r="AL457" t="str">
        <f>"$"</f>
        <v>$</v>
      </c>
    </row>
    <row r="458" spans="1:38" x14ac:dyDescent="0.3">
      <c r="A458" t="str">
        <f>"SO20000309"</f>
        <v>SO20000309</v>
      </c>
      <c r="B458" t="str">
        <f>"E000316387"</f>
        <v>E000316387</v>
      </c>
      <c r="C458" t="str">
        <f>"בוצעה"</f>
        <v>בוצעה</v>
      </c>
      <c r="E458" s="3">
        <v>44031</v>
      </c>
      <c r="F458" s="3">
        <v>44155</v>
      </c>
      <c r="G458" t="str">
        <f>"700065"</f>
        <v>700065</v>
      </c>
      <c r="H458" t="str">
        <f>"אלתא מערכות בע""מ"</f>
        <v>אלתא מערכות בע"מ</v>
      </c>
      <c r="I458" t="str">
        <f>"ערן שלו"</f>
        <v>ערן שלו</v>
      </c>
      <c r="J458" t="str">
        <f>"OP-AR01922"</f>
        <v>OP-AR01922</v>
      </c>
      <c r="K458" s="1" t="str">
        <f>"2114B154-001/A  BLKXW3 CABLE ASSY (MSTU POWER)"</f>
        <v>2114B154-001/A  BLKXW3 CABLE ASSY (MSTU POWER)</v>
      </c>
      <c r="L458">
        <v>3</v>
      </c>
      <c r="M458" t="str">
        <f>"PR20000502"</f>
        <v>PR20000502</v>
      </c>
      <c r="N458" t="str">
        <f>"BLKXW4 CABLE ASSY (MSTU CONTROL)"</f>
        <v>BLKXW4 CABLE ASSY (MSTU CONTROL)</v>
      </c>
      <c r="O458">
        <v>622.49</v>
      </c>
      <c r="P458" t="str">
        <f>"$"</f>
        <v>$</v>
      </c>
      <c r="Q458" t="str">
        <f>"117"</f>
        <v>117</v>
      </c>
      <c r="R458" t="str">
        <f>"רתמות"</f>
        <v>רתמות</v>
      </c>
      <c r="S458" t="str">
        <f>"034"</f>
        <v>034</v>
      </c>
      <c r="T458" t="str">
        <f>"חן בזק"</f>
        <v>חן בזק</v>
      </c>
      <c r="U458">
        <v>0</v>
      </c>
      <c r="V458">
        <v>0</v>
      </c>
      <c r="W458">
        <v>622.49</v>
      </c>
      <c r="X458" s="2">
        <v>1867.47</v>
      </c>
      <c r="Z458" t="str">
        <f>"Y"</f>
        <v>Y</v>
      </c>
      <c r="AA458">
        <v>0</v>
      </c>
      <c r="AC458">
        <v>0</v>
      </c>
      <c r="AE458">
        <v>0</v>
      </c>
      <c r="AF458">
        <v>0</v>
      </c>
      <c r="AG458" s="2">
        <v>2145.7199999999998</v>
      </c>
      <c r="AH458">
        <v>0</v>
      </c>
      <c r="AI458" s="2">
        <v>6437.17</v>
      </c>
      <c r="AJ458" s="2">
        <v>1867.47</v>
      </c>
      <c r="AK458" s="2">
        <v>1867.47</v>
      </c>
      <c r="AL458" t="str">
        <f>"$"</f>
        <v>$</v>
      </c>
    </row>
    <row r="459" spans="1:38" x14ac:dyDescent="0.3">
      <c r="A459" t="str">
        <f>"SO20000309"</f>
        <v>SO20000309</v>
      </c>
      <c r="B459" t="str">
        <f>"E000316387"</f>
        <v>E000316387</v>
      </c>
      <c r="C459" t="str">
        <f>"בוצעה"</f>
        <v>בוצעה</v>
      </c>
      <c r="E459" s="3">
        <v>44031</v>
      </c>
      <c r="F459" s="3">
        <v>44155</v>
      </c>
      <c r="G459" t="str">
        <f>"700065"</f>
        <v>700065</v>
      </c>
      <c r="H459" t="str">
        <f>"אלתא מערכות בע""מ"</f>
        <v>אלתא מערכות בע"מ</v>
      </c>
      <c r="I459" t="str">
        <f>"ערן שלו"</f>
        <v>ערן שלו</v>
      </c>
      <c r="J459" t="str">
        <f>"OP-AR01923"</f>
        <v>OP-AR01923</v>
      </c>
      <c r="K459" s="1" t="str">
        <f>"2114B152-001/D BLKXW2 CABLE ASSY (SSTU DC POWER"</f>
        <v>2114B152-001/D BLKXW2 CABLE ASSY (SSTU DC POWER</v>
      </c>
      <c r="L459">
        <v>3</v>
      </c>
      <c r="M459" t="str">
        <f>"PR20000502"</f>
        <v>PR20000502</v>
      </c>
      <c r="N459" t="str">
        <f>"BLKXW4 CABLE ASSY (MSTU CONTROL)"</f>
        <v>BLKXW4 CABLE ASSY (MSTU CONTROL)</v>
      </c>
      <c r="O459">
        <v>634.16</v>
      </c>
      <c r="P459" t="str">
        <f>"$"</f>
        <v>$</v>
      </c>
      <c r="Q459" t="str">
        <f>"117"</f>
        <v>117</v>
      </c>
      <c r="R459" t="str">
        <f>"רתמות"</f>
        <v>רתמות</v>
      </c>
      <c r="S459" t="str">
        <f>"034"</f>
        <v>034</v>
      </c>
      <c r="T459" t="str">
        <f>"חן בזק"</f>
        <v>חן בזק</v>
      </c>
      <c r="U459">
        <v>0</v>
      </c>
      <c r="V459">
        <v>0</v>
      </c>
      <c r="W459">
        <v>634.16</v>
      </c>
      <c r="X459" s="2">
        <v>1902.48</v>
      </c>
      <c r="Z459" t="str">
        <f>"Y"</f>
        <v>Y</v>
      </c>
      <c r="AA459">
        <v>0</v>
      </c>
      <c r="AC459">
        <v>0</v>
      </c>
      <c r="AE459">
        <v>0</v>
      </c>
      <c r="AF459">
        <v>0</v>
      </c>
      <c r="AG459" s="2">
        <v>2185.9499999999998</v>
      </c>
      <c r="AH459">
        <v>0</v>
      </c>
      <c r="AI459" s="2">
        <v>6557.85</v>
      </c>
      <c r="AJ459" s="2">
        <v>1902.48</v>
      </c>
      <c r="AK459" s="2">
        <v>1902.48</v>
      </c>
      <c r="AL459" t="str">
        <f>"$"</f>
        <v>$</v>
      </c>
    </row>
    <row r="460" spans="1:38" x14ac:dyDescent="0.3">
      <c r="A460" t="str">
        <f>"SO20000309"</f>
        <v>SO20000309</v>
      </c>
      <c r="B460" t="str">
        <f>"E000316387"</f>
        <v>E000316387</v>
      </c>
      <c r="C460" t="str">
        <f>"בוצעה"</f>
        <v>בוצעה</v>
      </c>
      <c r="E460" s="3">
        <v>44031</v>
      </c>
      <c r="F460" s="3">
        <v>44155</v>
      </c>
      <c r="G460" t="str">
        <f>"700065"</f>
        <v>700065</v>
      </c>
      <c r="H460" t="str">
        <f>"אלתא מערכות בע""מ"</f>
        <v>אלתא מערכות בע"מ</v>
      </c>
      <c r="I460" t="str">
        <f>"ערן שלו"</f>
        <v>ערן שלו</v>
      </c>
      <c r="J460" t="str">
        <f>"OP-AR01924"</f>
        <v>OP-AR01924</v>
      </c>
      <c r="K460" s="1" t="str">
        <f>"2114B150-001/A1 BLKXW1 CABLE ASSY (SSTU AC POWER"</f>
        <v>2114B150-001/A1 BLKXW1 CABLE ASSY (SSTU AC POWER</v>
      </c>
      <c r="L460">
        <v>3</v>
      </c>
      <c r="M460" t="str">
        <f>"PR20000502"</f>
        <v>PR20000502</v>
      </c>
      <c r="N460" t="str">
        <f>"BLKXW4 CABLE ASSY (MSTU CONTROL)"</f>
        <v>BLKXW4 CABLE ASSY (MSTU CONTROL)</v>
      </c>
      <c r="O460">
        <v>239.83</v>
      </c>
      <c r="P460" t="str">
        <f>"$"</f>
        <v>$</v>
      </c>
      <c r="Q460" t="str">
        <f>"117"</f>
        <v>117</v>
      </c>
      <c r="R460" t="str">
        <f>"רתמות"</f>
        <v>רתמות</v>
      </c>
      <c r="S460" t="str">
        <f>"034"</f>
        <v>034</v>
      </c>
      <c r="T460" t="str">
        <f>"חן בזק"</f>
        <v>חן בזק</v>
      </c>
      <c r="U460">
        <v>0</v>
      </c>
      <c r="V460">
        <v>0</v>
      </c>
      <c r="W460">
        <v>239.83</v>
      </c>
      <c r="X460">
        <v>719.49</v>
      </c>
      <c r="Z460" t="str">
        <f>"Y"</f>
        <v>Y</v>
      </c>
      <c r="AA460">
        <v>0</v>
      </c>
      <c r="AC460">
        <v>0</v>
      </c>
      <c r="AE460">
        <v>0</v>
      </c>
      <c r="AF460">
        <v>0</v>
      </c>
      <c r="AG460">
        <v>826.69</v>
      </c>
      <c r="AH460">
        <v>0</v>
      </c>
      <c r="AI460" s="2">
        <v>2480.08</v>
      </c>
      <c r="AJ460">
        <v>719.49</v>
      </c>
      <c r="AK460">
        <v>719.49</v>
      </c>
      <c r="AL460" t="str">
        <f>"$"</f>
        <v>$</v>
      </c>
    </row>
    <row r="461" spans="1:38" x14ac:dyDescent="0.3">
      <c r="A461" t="str">
        <f>"SO20000309"</f>
        <v>SO20000309</v>
      </c>
      <c r="B461" t="str">
        <f>"E000316387"</f>
        <v>E000316387</v>
      </c>
      <c r="C461" t="str">
        <f>"בוצעה"</f>
        <v>בוצעה</v>
      </c>
      <c r="E461" s="3">
        <v>44031</v>
      </c>
      <c r="F461" s="3">
        <v>44155</v>
      </c>
      <c r="G461" t="str">
        <f>"700065"</f>
        <v>700065</v>
      </c>
      <c r="H461" t="str">
        <f>"אלתא מערכות בע""מ"</f>
        <v>אלתא מערכות בע"מ</v>
      </c>
      <c r="I461" t="str">
        <f>"ערן שלו"</f>
        <v>ערן שלו</v>
      </c>
      <c r="J461" t="str">
        <f>"OP-AR01925"</f>
        <v>OP-AR01925</v>
      </c>
      <c r="K461" s="1" t="str">
        <f>"2114B421-002/-1 CABLE ASSY BFUW101"</f>
        <v>2114B421-002/-1 CABLE ASSY BFUW101</v>
      </c>
      <c r="L461">
        <v>1</v>
      </c>
      <c r="M461" t="str">
        <f>"PR20000502"</f>
        <v>PR20000502</v>
      </c>
      <c r="N461" t="str">
        <f>"BLKXW4 CABLE ASSY (MSTU CONTROL)"</f>
        <v>BLKXW4 CABLE ASSY (MSTU CONTROL)</v>
      </c>
      <c r="O461" s="2">
        <v>1153.67</v>
      </c>
      <c r="P461" t="str">
        <f>"$"</f>
        <v>$</v>
      </c>
      <c r="Q461" t="str">
        <f>"117"</f>
        <v>117</v>
      </c>
      <c r="R461" t="str">
        <f>"רתמות"</f>
        <v>רתמות</v>
      </c>
      <c r="S461" t="str">
        <f>"034"</f>
        <v>034</v>
      </c>
      <c r="T461" t="str">
        <f>"חן בזק"</f>
        <v>חן בזק</v>
      </c>
      <c r="U461">
        <v>0</v>
      </c>
      <c r="V461">
        <v>0</v>
      </c>
      <c r="W461" s="2">
        <v>1153.67</v>
      </c>
      <c r="X461" s="2">
        <v>1153.67</v>
      </c>
      <c r="Z461" t="str">
        <f>"Y"</f>
        <v>Y</v>
      </c>
      <c r="AA461">
        <v>0</v>
      </c>
      <c r="AC461">
        <v>0</v>
      </c>
      <c r="AE461">
        <v>0</v>
      </c>
      <c r="AF461">
        <v>0</v>
      </c>
      <c r="AG461" s="2">
        <v>3976.7</v>
      </c>
      <c r="AH461">
        <v>0</v>
      </c>
      <c r="AI461" s="2">
        <v>3976.7</v>
      </c>
      <c r="AJ461" s="2">
        <v>1153.67</v>
      </c>
      <c r="AK461" s="2">
        <v>1153.67</v>
      </c>
      <c r="AL461" t="str">
        <f>"$"</f>
        <v>$</v>
      </c>
    </row>
    <row r="462" spans="1:38" x14ac:dyDescent="0.3">
      <c r="A462" t="str">
        <f>"SO20000309"</f>
        <v>SO20000309</v>
      </c>
      <c r="B462" t="str">
        <f>"E000316387"</f>
        <v>E000316387</v>
      </c>
      <c r="C462" t="str">
        <f>"בוצעה"</f>
        <v>בוצעה</v>
      </c>
      <c r="E462" s="3">
        <v>44031</v>
      </c>
      <c r="F462" s="3">
        <v>44155</v>
      </c>
      <c r="G462" t="str">
        <f>"700065"</f>
        <v>700065</v>
      </c>
      <c r="H462" t="str">
        <f>"אלתא מערכות בע""מ"</f>
        <v>אלתא מערכות בע"מ</v>
      </c>
      <c r="I462" t="str">
        <f>"ערן שלו"</f>
        <v>ערן שלו</v>
      </c>
      <c r="J462" t="str">
        <f>"OP-AR01926"</f>
        <v>OP-AR01926</v>
      </c>
      <c r="K462" s="1" t="str">
        <f>"2114B422-001/B BFU BFUW102 CABLE ASSY"</f>
        <v>2114B422-001/B BFU BFUW102 CABLE ASSY</v>
      </c>
      <c r="L462">
        <v>1</v>
      </c>
      <c r="M462" t="str">
        <f>"PR20000502"</f>
        <v>PR20000502</v>
      </c>
      <c r="N462" t="str">
        <f>"BLKXW4 CABLE ASSY (MSTU CONTROL)"</f>
        <v>BLKXW4 CABLE ASSY (MSTU CONTROL)</v>
      </c>
      <c r="O462">
        <v>266.04000000000002</v>
      </c>
      <c r="P462" t="str">
        <f>"$"</f>
        <v>$</v>
      </c>
      <c r="Q462" t="str">
        <f>"117"</f>
        <v>117</v>
      </c>
      <c r="R462" t="str">
        <f>"רתמות"</f>
        <v>רתמות</v>
      </c>
      <c r="S462" t="str">
        <f>"034"</f>
        <v>034</v>
      </c>
      <c r="T462" t="str">
        <f>"חן בזק"</f>
        <v>חן בזק</v>
      </c>
      <c r="U462">
        <v>0</v>
      </c>
      <c r="V462">
        <v>0</v>
      </c>
      <c r="W462">
        <v>266.04000000000002</v>
      </c>
      <c r="X462">
        <v>266.04000000000002</v>
      </c>
      <c r="Z462" t="str">
        <f>"Y"</f>
        <v>Y</v>
      </c>
      <c r="AA462">
        <v>0</v>
      </c>
      <c r="AC462">
        <v>0</v>
      </c>
      <c r="AE462">
        <v>0</v>
      </c>
      <c r="AF462">
        <v>0</v>
      </c>
      <c r="AG462">
        <v>917.04</v>
      </c>
      <c r="AH462">
        <v>0</v>
      </c>
      <c r="AI462">
        <v>917.04</v>
      </c>
      <c r="AJ462">
        <v>266.04000000000002</v>
      </c>
      <c r="AK462">
        <v>266.04000000000002</v>
      </c>
      <c r="AL462" t="str">
        <f>"$"</f>
        <v>$</v>
      </c>
    </row>
    <row r="463" spans="1:38" x14ac:dyDescent="0.3">
      <c r="A463" t="str">
        <f>"SO20000309"</f>
        <v>SO20000309</v>
      </c>
      <c r="B463" t="str">
        <f>"E000316387"</f>
        <v>E000316387</v>
      </c>
      <c r="C463" t="str">
        <f>"בוצעה"</f>
        <v>בוצעה</v>
      </c>
      <c r="E463" s="3">
        <v>44031</v>
      </c>
      <c r="F463" s="3">
        <v>44155</v>
      </c>
      <c r="G463" t="str">
        <f>"700065"</f>
        <v>700065</v>
      </c>
      <c r="H463" t="str">
        <f>"אלתא מערכות בע""מ"</f>
        <v>אלתא מערכות בע"מ</v>
      </c>
      <c r="I463" t="str">
        <f>"ערן שלו"</f>
        <v>ערן שלו</v>
      </c>
      <c r="J463" t="str">
        <f>"OP-AR01927"</f>
        <v>OP-AR01927</v>
      </c>
      <c r="K463" s="1" t="str">
        <f>"4006M608-001/C1  RSW53 CABLE ASSY"</f>
        <v>4006M608-001/C1  RSW53 CABLE ASSY</v>
      </c>
      <c r="L463">
        <v>2</v>
      </c>
      <c r="M463" t="str">
        <f>"PR20000502"</f>
        <v>PR20000502</v>
      </c>
      <c r="N463" t="str">
        <f>"BLKXW4 CABLE ASSY (MSTU CONTROL)"</f>
        <v>BLKXW4 CABLE ASSY (MSTU CONTROL)</v>
      </c>
      <c r="O463">
        <v>761.11</v>
      </c>
      <c r="P463" t="str">
        <f>"$"</f>
        <v>$</v>
      </c>
      <c r="Q463" t="str">
        <f>"117"</f>
        <v>117</v>
      </c>
      <c r="R463" t="str">
        <f>"רתמות"</f>
        <v>רתמות</v>
      </c>
      <c r="S463" t="str">
        <f>"034"</f>
        <v>034</v>
      </c>
      <c r="T463" t="str">
        <f>"חן בזק"</f>
        <v>חן בזק</v>
      </c>
      <c r="U463">
        <v>0</v>
      </c>
      <c r="V463">
        <v>0</v>
      </c>
      <c r="W463">
        <v>761.11</v>
      </c>
      <c r="X463" s="2">
        <v>1522.22</v>
      </c>
      <c r="Z463" t="str">
        <f>"Y"</f>
        <v>Y</v>
      </c>
      <c r="AA463">
        <v>0</v>
      </c>
      <c r="AC463">
        <v>0</v>
      </c>
      <c r="AE463">
        <v>0</v>
      </c>
      <c r="AF463">
        <v>0</v>
      </c>
      <c r="AG463" s="2">
        <v>2623.55</v>
      </c>
      <c r="AH463">
        <v>0</v>
      </c>
      <c r="AI463" s="2">
        <v>5247.09</v>
      </c>
      <c r="AJ463" s="2">
        <v>1522.22</v>
      </c>
      <c r="AK463" s="2">
        <v>1522.22</v>
      </c>
      <c r="AL463" t="str">
        <f>"$"</f>
        <v>$</v>
      </c>
    </row>
    <row r="464" spans="1:38" x14ac:dyDescent="0.3">
      <c r="A464" t="str">
        <f>"SO20000309"</f>
        <v>SO20000309</v>
      </c>
      <c r="B464" t="str">
        <f>"E000316387"</f>
        <v>E000316387</v>
      </c>
      <c r="C464" t="str">
        <f>"בוצעה"</f>
        <v>בוצעה</v>
      </c>
      <c r="E464" s="3">
        <v>44031</v>
      </c>
      <c r="F464" s="3">
        <v>44155</v>
      </c>
      <c r="G464" t="str">
        <f>"700065"</f>
        <v>700065</v>
      </c>
      <c r="H464" t="str">
        <f>"אלתא מערכות בע""מ"</f>
        <v>אלתא מערכות בע"מ</v>
      </c>
      <c r="I464" t="str">
        <f>"ערן שלו"</f>
        <v>ערן שלו</v>
      </c>
      <c r="J464" t="str">
        <f>"OP-AR01928"</f>
        <v>OP-AR01928</v>
      </c>
      <c r="K464" s="1" t="str">
        <f>"2109B892-001/-  GHXW7 CABLE ASSY (PR GU TRU CTRL"</f>
        <v>2109B892-001/-  GHXW7 CABLE ASSY (PR GU TRU CTRL</v>
      </c>
      <c r="L464">
        <v>2</v>
      </c>
      <c r="M464" t="str">
        <f>"PR20000502"</f>
        <v>PR20000502</v>
      </c>
      <c r="N464" t="str">
        <f>"BLKXW4 CABLE ASSY (MSTU CONTROL)"</f>
        <v>BLKXW4 CABLE ASSY (MSTU CONTROL)</v>
      </c>
      <c r="O464">
        <v>608.84</v>
      </c>
      <c r="P464" t="str">
        <f>"$"</f>
        <v>$</v>
      </c>
      <c r="Q464" t="str">
        <f>"117"</f>
        <v>117</v>
      </c>
      <c r="R464" t="str">
        <f>"רתמות"</f>
        <v>רתמות</v>
      </c>
      <c r="S464" t="str">
        <f>"034"</f>
        <v>034</v>
      </c>
      <c r="T464" t="str">
        <f>"חן בזק"</f>
        <v>חן בזק</v>
      </c>
      <c r="U464">
        <v>0</v>
      </c>
      <c r="V464">
        <v>0</v>
      </c>
      <c r="W464">
        <v>608.84</v>
      </c>
      <c r="X464" s="2">
        <v>1217.68</v>
      </c>
      <c r="Z464" t="str">
        <f>"Y"</f>
        <v>Y</v>
      </c>
      <c r="AA464">
        <v>0</v>
      </c>
      <c r="AC464">
        <v>0</v>
      </c>
      <c r="AE464">
        <v>0</v>
      </c>
      <c r="AF464">
        <v>0</v>
      </c>
      <c r="AG464" s="2">
        <v>2098.67</v>
      </c>
      <c r="AH464">
        <v>0</v>
      </c>
      <c r="AI464" s="2">
        <v>4197.34</v>
      </c>
      <c r="AJ464" s="2">
        <v>1217.68</v>
      </c>
      <c r="AK464" s="2">
        <v>1217.68</v>
      </c>
      <c r="AL464" t="str">
        <f>"$"</f>
        <v>$</v>
      </c>
    </row>
    <row r="465" spans="1:38" x14ac:dyDescent="0.3">
      <c r="A465" t="str">
        <f>"SO20000309"</f>
        <v>SO20000309</v>
      </c>
      <c r="B465" t="str">
        <f>"E000316387"</f>
        <v>E000316387</v>
      </c>
      <c r="C465" t="str">
        <f>"בוצעה"</f>
        <v>בוצעה</v>
      </c>
      <c r="E465" s="3">
        <v>44031</v>
      </c>
      <c r="F465" s="3">
        <v>44155</v>
      </c>
      <c r="G465" t="str">
        <f>"700065"</f>
        <v>700065</v>
      </c>
      <c r="H465" t="str">
        <f>"אלתא מערכות בע""מ"</f>
        <v>אלתא מערכות בע"מ</v>
      </c>
      <c r="I465" t="str">
        <f>"ערן שלו"</f>
        <v>ערן שלו</v>
      </c>
      <c r="J465" t="str">
        <f>"OP-AR01929"</f>
        <v>OP-AR01929</v>
      </c>
      <c r="K465" s="1" t="str">
        <f>"2109B896-001/-  GHXW9 CABLE ASSY (PR GU TRU POWE"</f>
        <v>2109B896-001/-  GHXW9 CABLE ASSY (PR GU TRU POWE</v>
      </c>
      <c r="L465">
        <v>2</v>
      </c>
      <c r="M465" t="str">
        <f>"PR20000502"</f>
        <v>PR20000502</v>
      </c>
      <c r="N465" t="str">
        <f>"BLKXW4 CABLE ASSY (MSTU CONTROL)"</f>
        <v>BLKXW4 CABLE ASSY (MSTU CONTROL)</v>
      </c>
      <c r="O465">
        <v>298.3</v>
      </c>
      <c r="P465" t="str">
        <f>"$"</f>
        <v>$</v>
      </c>
      <c r="Q465" t="str">
        <f>"117"</f>
        <v>117</v>
      </c>
      <c r="R465" t="str">
        <f>"רתמות"</f>
        <v>רתמות</v>
      </c>
      <c r="S465" t="str">
        <f>"034"</f>
        <v>034</v>
      </c>
      <c r="T465" t="str">
        <f>"חן בזק"</f>
        <v>חן בזק</v>
      </c>
      <c r="U465">
        <v>0</v>
      </c>
      <c r="V465">
        <v>0</v>
      </c>
      <c r="W465">
        <v>298.3</v>
      </c>
      <c r="X465">
        <v>596.6</v>
      </c>
      <c r="Z465" t="str">
        <f>"Y"</f>
        <v>Y</v>
      </c>
      <c r="AA465">
        <v>0</v>
      </c>
      <c r="AC465">
        <v>0</v>
      </c>
      <c r="AE465">
        <v>0</v>
      </c>
      <c r="AF465">
        <v>0</v>
      </c>
      <c r="AG465" s="2">
        <v>1028.24</v>
      </c>
      <c r="AH465">
        <v>0</v>
      </c>
      <c r="AI465" s="2">
        <v>2056.48</v>
      </c>
      <c r="AJ465">
        <v>596.6</v>
      </c>
      <c r="AK465">
        <v>596.6</v>
      </c>
      <c r="AL465" t="str">
        <f>"$"</f>
        <v>$</v>
      </c>
    </row>
    <row r="466" spans="1:38" x14ac:dyDescent="0.3">
      <c r="A466" t="str">
        <f>"SO20000309"</f>
        <v>SO20000309</v>
      </c>
      <c r="B466" t="str">
        <f>"E000316387"</f>
        <v>E000316387</v>
      </c>
      <c r="C466" t="str">
        <f>"בוצעה"</f>
        <v>בוצעה</v>
      </c>
      <c r="E466" s="3">
        <v>44031</v>
      </c>
      <c r="F466" s="3">
        <v>44525</v>
      </c>
      <c r="G466" t="str">
        <f>"700065"</f>
        <v>700065</v>
      </c>
      <c r="H466" t="str">
        <f>"אלתא מערכות בע""מ"</f>
        <v>אלתא מערכות בע"מ</v>
      </c>
      <c r="I466" t="str">
        <f>"ערן שלו"</f>
        <v>ערן שלו</v>
      </c>
      <c r="J466" t="str">
        <f>"OP-AR01930"</f>
        <v>OP-AR01930</v>
      </c>
      <c r="K466" s="1" t="str">
        <f>"NRE FOR E000316387"</f>
        <v>NRE FOR E000316387</v>
      </c>
      <c r="L466">
        <v>1</v>
      </c>
      <c r="M466" t="str">
        <f>"PR20000502"</f>
        <v>PR20000502</v>
      </c>
      <c r="N466" t="str">
        <f>"BLKXW4 CABLE ASSY (MSTU CONTROL)"</f>
        <v>BLKXW4 CABLE ASSY (MSTU CONTROL)</v>
      </c>
      <c r="O466">
        <v>600</v>
      </c>
      <c r="P466" t="str">
        <f>"$"</f>
        <v>$</v>
      </c>
      <c r="Q466" t="str">
        <f>"117"</f>
        <v>117</v>
      </c>
      <c r="R466" t="str">
        <f>"רתמות"</f>
        <v>רתמות</v>
      </c>
      <c r="S466" t="str">
        <f>"034"</f>
        <v>034</v>
      </c>
      <c r="T466" t="str">
        <f>"חן בזק"</f>
        <v>חן בזק</v>
      </c>
      <c r="U466">
        <v>0</v>
      </c>
      <c r="V466">
        <v>0</v>
      </c>
      <c r="W466">
        <v>600</v>
      </c>
      <c r="X466">
        <v>600</v>
      </c>
      <c r="Z466" t="str">
        <f>"Y"</f>
        <v>Y</v>
      </c>
      <c r="AA466">
        <v>1</v>
      </c>
      <c r="AC466">
        <v>0</v>
      </c>
      <c r="AE466">
        <v>0</v>
      </c>
      <c r="AF466">
        <v>0</v>
      </c>
      <c r="AG466" s="2">
        <v>2068.1999999999998</v>
      </c>
      <c r="AH466">
        <v>0</v>
      </c>
      <c r="AI466" s="2">
        <v>2068.1999999999998</v>
      </c>
      <c r="AJ466">
        <v>600</v>
      </c>
      <c r="AK466">
        <v>600</v>
      </c>
      <c r="AL466" t="str">
        <f>"$"</f>
        <v>$</v>
      </c>
    </row>
    <row r="467" spans="1:38" x14ac:dyDescent="0.3">
      <c r="A467" t="str">
        <f>"SO20000311"</f>
        <v>SO20000311</v>
      </c>
      <c r="B467" t="str">
        <f>"E000316388"</f>
        <v>E000316388</v>
      </c>
      <c r="C467" t="str">
        <f>"בוצעה"</f>
        <v>בוצעה</v>
      </c>
      <c r="E467" s="3">
        <v>44032</v>
      </c>
      <c r="F467" s="3">
        <v>44136</v>
      </c>
      <c r="G467" t="str">
        <f>"700065"</f>
        <v>700065</v>
      </c>
      <c r="H467" t="str">
        <f>"אלתא מערכות בע""מ"</f>
        <v>אלתא מערכות בע"מ</v>
      </c>
      <c r="I467" t="str">
        <f>"ערן שלו"</f>
        <v>ערן שלו</v>
      </c>
      <c r="J467" t="str">
        <f>"OP-AR01931"</f>
        <v>OP-AR01931</v>
      </c>
      <c r="K467" s="1" t="str">
        <f>"1038H744-001/-  WF2 MEDIA CONVERTOR P.S. CABLE"</f>
        <v>1038H744-001/-  WF2 MEDIA CONVERTOR P.S. CABLE</v>
      </c>
      <c r="L467">
        <v>2</v>
      </c>
      <c r="M467" t="str">
        <f>"PR20000505"</f>
        <v>PR20000505</v>
      </c>
      <c r="N467" t="str">
        <f>"WF2 MEDIA CONVERTOR P.S. CABLE"</f>
        <v>WF2 MEDIA CONVERTOR P.S. CABLE</v>
      </c>
      <c r="O467">
        <v>280.88</v>
      </c>
      <c r="P467" t="str">
        <f>"$"</f>
        <v>$</v>
      </c>
      <c r="Q467" t="str">
        <f>"117"</f>
        <v>117</v>
      </c>
      <c r="R467" t="str">
        <f>"רתמות"</f>
        <v>רתמות</v>
      </c>
      <c r="S467" t="str">
        <f>"034"</f>
        <v>034</v>
      </c>
      <c r="T467" t="str">
        <f>"חן בזק"</f>
        <v>חן בזק</v>
      </c>
      <c r="U467">
        <v>0</v>
      </c>
      <c r="V467">
        <v>0</v>
      </c>
      <c r="W467">
        <v>280.88</v>
      </c>
      <c r="X467">
        <v>561.76</v>
      </c>
      <c r="Z467" t="str">
        <f>"Y"</f>
        <v>Y</v>
      </c>
      <c r="AA467">
        <v>0</v>
      </c>
      <c r="AC467">
        <v>0</v>
      </c>
      <c r="AE467">
        <v>0</v>
      </c>
      <c r="AF467">
        <v>0</v>
      </c>
      <c r="AG467">
        <v>963.7</v>
      </c>
      <c r="AH467">
        <v>0</v>
      </c>
      <c r="AI467" s="2">
        <v>1927.4</v>
      </c>
      <c r="AJ467">
        <v>561.76</v>
      </c>
      <c r="AK467">
        <v>561.76</v>
      </c>
      <c r="AL467" t="str">
        <f>"$"</f>
        <v>$</v>
      </c>
    </row>
    <row r="468" spans="1:38" x14ac:dyDescent="0.3">
      <c r="A468" t="str">
        <f>"SO20000311"</f>
        <v>SO20000311</v>
      </c>
      <c r="B468" t="str">
        <f>"E000316388"</f>
        <v>E000316388</v>
      </c>
      <c r="C468" t="str">
        <f>"בוצעה"</f>
        <v>בוצעה</v>
      </c>
      <c r="E468" s="3">
        <v>44032</v>
      </c>
      <c r="F468" s="3">
        <v>44136</v>
      </c>
      <c r="G468" t="str">
        <f>"700065"</f>
        <v>700065</v>
      </c>
      <c r="H468" t="str">
        <f>"אלתא מערכות בע""מ"</f>
        <v>אלתא מערכות בע"מ</v>
      </c>
      <c r="I468" t="str">
        <f>"ערן שלו"</f>
        <v>ערן שלו</v>
      </c>
      <c r="J468" t="str">
        <f>"OP-AR01932"</f>
        <v>OP-AR01932</v>
      </c>
      <c r="K468" s="1" t="str">
        <f>"1038H743-001/-  WF1 FIO EL. CABLE"</f>
        <v>1038H743-001/-  WF1 FIO EL. CABLE</v>
      </c>
      <c r="L468">
        <v>2</v>
      </c>
      <c r="M468" t="str">
        <f>"PR20000505"</f>
        <v>PR20000505</v>
      </c>
      <c r="N468" t="str">
        <f>"WF2 MEDIA CONVERTOR P.S. CABLE"</f>
        <v>WF2 MEDIA CONVERTOR P.S. CABLE</v>
      </c>
      <c r="O468" s="2">
        <v>2516.92</v>
      </c>
      <c r="P468" t="str">
        <f>"$"</f>
        <v>$</v>
      </c>
      <c r="Q468" t="str">
        <f>"117"</f>
        <v>117</v>
      </c>
      <c r="R468" t="str">
        <f>"רתמות"</f>
        <v>רתמות</v>
      </c>
      <c r="S468" t="str">
        <f>"034"</f>
        <v>034</v>
      </c>
      <c r="T468" t="str">
        <f>"חן בזק"</f>
        <v>חן בזק</v>
      </c>
      <c r="U468">
        <v>0</v>
      </c>
      <c r="V468">
        <v>0</v>
      </c>
      <c r="W468" s="2">
        <v>2516.92</v>
      </c>
      <c r="X468" s="2">
        <v>5033.84</v>
      </c>
      <c r="Z468" t="str">
        <f>"Y"</f>
        <v>Y</v>
      </c>
      <c r="AA468">
        <v>0</v>
      </c>
      <c r="AC468">
        <v>0</v>
      </c>
      <c r="AE468">
        <v>0</v>
      </c>
      <c r="AF468">
        <v>0</v>
      </c>
      <c r="AG468" s="2">
        <v>8635.5499999999993</v>
      </c>
      <c r="AH468">
        <v>0</v>
      </c>
      <c r="AI468" s="2">
        <v>17271.11</v>
      </c>
      <c r="AJ468" s="2">
        <v>5033.84</v>
      </c>
      <c r="AK468" s="2">
        <v>5033.84</v>
      </c>
      <c r="AL468" t="str">
        <f>"$"</f>
        <v>$</v>
      </c>
    </row>
    <row r="469" spans="1:38" x14ac:dyDescent="0.3">
      <c r="A469" t="str">
        <f>"SO20000311"</f>
        <v>SO20000311</v>
      </c>
      <c r="B469" t="str">
        <f>"E000316388"</f>
        <v>E000316388</v>
      </c>
      <c r="C469" t="str">
        <f>"בוצעה"</f>
        <v>בוצעה</v>
      </c>
      <c r="E469" s="3">
        <v>44032</v>
      </c>
      <c r="F469" s="3">
        <v>44270</v>
      </c>
      <c r="G469" t="str">
        <f>"700065"</f>
        <v>700065</v>
      </c>
      <c r="H469" t="str">
        <f>"אלתא מערכות בע""מ"</f>
        <v>אלתא מערכות בע"מ</v>
      </c>
      <c r="I469" t="str">
        <f>"ערן שלו"</f>
        <v>ערן שלו</v>
      </c>
      <c r="J469" t="str">
        <f>"OP-AR01933"</f>
        <v>OP-AR01933</v>
      </c>
      <c r="K469" s="1" t="str">
        <f>"NRE FOR E000316388"</f>
        <v>NRE FOR E000316388</v>
      </c>
      <c r="L469">
        <v>1</v>
      </c>
      <c r="M469" t="str">
        <f>"PR20000505"</f>
        <v>PR20000505</v>
      </c>
      <c r="N469" t="str">
        <f>"WF2 MEDIA CONVERTOR P.S. CABLE"</f>
        <v>WF2 MEDIA CONVERTOR P.S. CABLE</v>
      </c>
      <c r="O469">
        <v>520</v>
      </c>
      <c r="P469" t="str">
        <f>"$"</f>
        <v>$</v>
      </c>
      <c r="Q469" t="str">
        <f>"117"</f>
        <v>117</v>
      </c>
      <c r="R469" t="str">
        <f>"רתמות"</f>
        <v>רתמות</v>
      </c>
      <c r="S469" t="str">
        <f>"034"</f>
        <v>034</v>
      </c>
      <c r="T469" t="str">
        <f>"חן בזק"</f>
        <v>חן בזק</v>
      </c>
      <c r="U469">
        <v>0</v>
      </c>
      <c r="V469">
        <v>0</v>
      </c>
      <c r="W469">
        <v>520</v>
      </c>
      <c r="X469">
        <v>520</v>
      </c>
      <c r="Z469" t="str">
        <f>"Y"</f>
        <v>Y</v>
      </c>
      <c r="AA469">
        <v>1</v>
      </c>
      <c r="AC469">
        <v>0</v>
      </c>
      <c r="AE469">
        <v>0</v>
      </c>
      <c r="AF469">
        <v>0</v>
      </c>
      <c r="AG469" s="2">
        <v>1784.12</v>
      </c>
      <c r="AH469">
        <v>0</v>
      </c>
      <c r="AI469" s="2">
        <v>1784.12</v>
      </c>
      <c r="AJ469">
        <v>520</v>
      </c>
      <c r="AK469">
        <v>520</v>
      </c>
      <c r="AL469" t="str">
        <f>"$"</f>
        <v>$</v>
      </c>
    </row>
    <row r="470" spans="1:38" x14ac:dyDescent="0.3">
      <c r="A470" t="str">
        <f>"SO20000319"</f>
        <v>SO20000319</v>
      </c>
      <c r="B470" t="str">
        <f>"E000316766"</f>
        <v>E000316766</v>
      </c>
      <c r="C470" t="str">
        <f>"בוצעה"</f>
        <v>בוצעה</v>
      </c>
      <c r="E470" s="3">
        <v>44034</v>
      </c>
      <c r="F470" s="3">
        <v>44185</v>
      </c>
      <c r="G470" t="str">
        <f>"700065"</f>
        <v>700065</v>
      </c>
      <c r="H470" t="str">
        <f>"אלתא מערכות בע""מ"</f>
        <v>אלתא מערכות בע"מ</v>
      </c>
      <c r="I470" t="str">
        <f>"ערן שלו"</f>
        <v>ערן שלו</v>
      </c>
      <c r="J470" t="str">
        <f>"OP-AR01945"</f>
        <v>OP-AR01945</v>
      </c>
      <c r="K470" s="1" t="str">
        <f>"1031B010-001/- - CABLE ASSY W010"</f>
        <v>1031B010-001/- - CABLE ASSY W010</v>
      </c>
      <c r="L470">
        <v>1</v>
      </c>
      <c r="M470" t="str">
        <f>"PR20000533"</f>
        <v>PR20000533</v>
      </c>
      <c r="N470" t="str">
        <f>"PDB TO MDU"</f>
        <v>PDB TO MDU</v>
      </c>
      <c r="O470" s="2">
        <v>1081.74</v>
      </c>
      <c r="P470" t="str">
        <f>"$"</f>
        <v>$</v>
      </c>
      <c r="Q470" t="str">
        <f>"117"</f>
        <v>117</v>
      </c>
      <c r="R470" t="str">
        <f>"רתמות"</f>
        <v>רתמות</v>
      </c>
      <c r="S470" t="str">
        <f>"034"</f>
        <v>034</v>
      </c>
      <c r="T470" t="str">
        <f>"חן בזק"</f>
        <v>חן בזק</v>
      </c>
      <c r="U470">
        <v>0</v>
      </c>
      <c r="V470">
        <v>0</v>
      </c>
      <c r="W470" s="2">
        <v>1081.74</v>
      </c>
      <c r="X470" s="2">
        <v>1081.74</v>
      </c>
      <c r="Z470" t="str">
        <f>"Y"</f>
        <v>Y</v>
      </c>
      <c r="AA470">
        <v>0</v>
      </c>
      <c r="AC470">
        <v>0</v>
      </c>
      <c r="AE470">
        <v>0</v>
      </c>
      <c r="AF470">
        <v>0</v>
      </c>
      <c r="AG470" s="2">
        <v>3698.47</v>
      </c>
      <c r="AH470">
        <v>0</v>
      </c>
      <c r="AI470" s="2">
        <v>3698.47</v>
      </c>
      <c r="AJ470" s="2">
        <v>1081.74</v>
      </c>
      <c r="AK470" s="2">
        <v>1081.74</v>
      </c>
      <c r="AL470" t="str">
        <f>"$"</f>
        <v>$</v>
      </c>
    </row>
    <row r="471" spans="1:38" x14ac:dyDescent="0.3">
      <c r="A471" t="str">
        <f>"SO20000319"</f>
        <v>SO20000319</v>
      </c>
      <c r="B471" t="str">
        <f>"E000316766"</f>
        <v>E000316766</v>
      </c>
      <c r="C471" t="str">
        <f>"בוצעה"</f>
        <v>בוצעה</v>
      </c>
      <c r="E471" s="3">
        <v>44034</v>
      </c>
      <c r="F471" s="3">
        <v>44185</v>
      </c>
      <c r="G471" t="str">
        <f>"700065"</f>
        <v>700065</v>
      </c>
      <c r="H471" t="str">
        <f>"אלתא מערכות בע""מ"</f>
        <v>אלתא מערכות בע"מ</v>
      </c>
      <c r="I471" t="str">
        <f>"ערן שלו"</f>
        <v>ערן שלו</v>
      </c>
      <c r="J471" t="str">
        <f>"OP-AR01946"</f>
        <v>OP-AR01946</v>
      </c>
      <c r="K471" s="1" t="str">
        <f>"1031B110-001/- - CABLE ASSY W110"</f>
        <v>1031B110-001/- - CABLE ASSY W110</v>
      </c>
      <c r="L471">
        <v>1</v>
      </c>
      <c r="M471" t="str">
        <f>"PR20000533"</f>
        <v>PR20000533</v>
      </c>
      <c r="N471" t="str">
        <f>"PDB TO MDU"</f>
        <v>PDB TO MDU</v>
      </c>
      <c r="O471" s="2">
        <v>3314.97</v>
      </c>
      <c r="P471" t="str">
        <f>"$"</f>
        <v>$</v>
      </c>
      <c r="Q471" t="str">
        <f>"117"</f>
        <v>117</v>
      </c>
      <c r="R471" t="str">
        <f>"רתמות"</f>
        <v>רתמות</v>
      </c>
      <c r="S471" t="str">
        <f>"034"</f>
        <v>034</v>
      </c>
      <c r="T471" t="str">
        <f>"חן בזק"</f>
        <v>חן בזק</v>
      </c>
      <c r="U471">
        <v>0</v>
      </c>
      <c r="V471">
        <v>0</v>
      </c>
      <c r="W471" s="2">
        <v>3314.97</v>
      </c>
      <c r="X471" s="2">
        <v>3314.97</v>
      </c>
      <c r="Z471" t="str">
        <f>"Y"</f>
        <v>Y</v>
      </c>
      <c r="AA471">
        <v>0</v>
      </c>
      <c r="AC471">
        <v>0</v>
      </c>
      <c r="AE471">
        <v>0</v>
      </c>
      <c r="AF471">
        <v>0</v>
      </c>
      <c r="AG471" s="2">
        <v>11333.88</v>
      </c>
      <c r="AH471">
        <v>0</v>
      </c>
      <c r="AI471" s="2">
        <v>11333.88</v>
      </c>
      <c r="AJ471" s="2">
        <v>3314.97</v>
      </c>
      <c r="AK471" s="2">
        <v>3314.97</v>
      </c>
      <c r="AL471" t="str">
        <f>"$"</f>
        <v>$</v>
      </c>
    </row>
    <row r="472" spans="1:38" x14ac:dyDescent="0.3">
      <c r="A472" t="str">
        <f>"SO20000319"</f>
        <v>SO20000319</v>
      </c>
      <c r="B472" t="str">
        <f>"E000316766"</f>
        <v>E000316766</v>
      </c>
      <c r="C472" t="str">
        <f>"בוצעה"</f>
        <v>בוצעה</v>
      </c>
      <c r="E472" s="3">
        <v>44034</v>
      </c>
      <c r="F472" s="3">
        <v>44185</v>
      </c>
      <c r="G472" t="str">
        <f>"700065"</f>
        <v>700065</v>
      </c>
      <c r="H472" t="str">
        <f>"אלתא מערכות בע""מ"</f>
        <v>אלתא מערכות בע"מ</v>
      </c>
      <c r="I472" t="str">
        <f>"ערן שלו"</f>
        <v>ערן שלו</v>
      </c>
      <c r="J472" t="str">
        <f>"OP-AR01947"</f>
        <v>OP-AR01947</v>
      </c>
      <c r="K472" s="1" t="str">
        <f>"1031B016-001/- - CABLE ASSY W016"</f>
        <v>1031B016-001/- - CABLE ASSY W016</v>
      </c>
      <c r="L472">
        <v>1</v>
      </c>
      <c r="M472" t="str">
        <f>"PR20000533"</f>
        <v>PR20000533</v>
      </c>
      <c r="N472" t="str">
        <f>"PDB TO MDU"</f>
        <v>PDB TO MDU</v>
      </c>
      <c r="O472">
        <v>960.53</v>
      </c>
      <c r="P472" t="str">
        <f>"$"</f>
        <v>$</v>
      </c>
      <c r="Q472" t="str">
        <f>"117"</f>
        <v>117</v>
      </c>
      <c r="R472" t="str">
        <f>"רתמות"</f>
        <v>רתמות</v>
      </c>
      <c r="S472" t="str">
        <f>"034"</f>
        <v>034</v>
      </c>
      <c r="T472" t="str">
        <f>"חן בזק"</f>
        <v>חן בזק</v>
      </c>
      <c r="U472">
        <v>0</v>
      </c>
      <c r="V472">
        <v>0</v>
      </c>
      <c r="W472">
        <v>960.53</v>
      </c>
      <c r="X472">
        <v>960.53</v>
      </c>
      <c r="Z472" t="str">
        <f>"Y"</f>
        <v>Y</v>
      </c>
      <c r="AA472">
        <v>0</v>
      </c>
      <c r="AC472">
        <v>0</v>
      </c>
      <c r="AE472">
        <v>0</v>
      </c>
      <c r="AF472">
        <v>0</v>
      </c>
      <c r="AG472" s="2">
        <v>3284.05</v>
      </c>
      <c r="AH472">
        <v>0</v>
      </c>
      <c r="AI472" s="2">
        <v>3284.05</v>
      </c>
      <c r="AJ472">
        <v>960.53</v>
      </c>
      <c r="AK472">
        <v>960.53</v>
      </c>
      <c r="AL472" t="str">
        <f>"$"</f>
        <v>$</v>
      </c>
    </row>
    <row r="473" spans="1:38" x14ac:dyDescent="0.3">
      <c r="A473" t="str">
        <f>"SO20000319"</f>
        <v>SO20000319</v>
      </c>
      <c r="B473" t="str">
        <f>"E000316766"</f>
        <v>E000316766</v>
      </c>
      <c r="C473" t="str">
        <f>"בוצעה"</f>
        <v>בוצעה</v>
      </c>
      <c r="E473" s="3">
        <v>44034</v>
      </c>
      <c r="F473" s="3">
        <v>44185</v>
      </c>
      <c r="G473" t="str">
        <f>"700065"</f>
        <v>700065</v>
      </c>
      <c r="H473" t="str">
        <f>"אלתא מערכות בע""מ"</f>
        <v>אלתא מערכות בע"מ</v>
      </c>
      <c r="I473" t="str">
        <f>"ערן שלו"</f>
        <v>ערן שלו</v>
      </c>
      <c r="J473" t="str">
        <f>"OP-AR01948"</f>
        <v>OP-AR01948</v>
      </c>
      <c r="K473" s="1" t="str">
        <f>"1031B020-001/- - CABLE ASSY W0020"</f>
        <v>1031B020-001/- - CABLE ASSY W0020</v>
      </c>
      <c r="L473">
        <v>1</v>
      </c>
      <c r="M473" t="str">
        <f>"PR20000533"</f>
        <v>PR20000533</v>
      </c>
      <c r="N473" t="str">
        <f>"PDB TO MDU"</f>
        <v>PDB TO MDU</v>
      </c>
      <c r="O473" s="2">
        <v>2550.11</v>
      </c>
      <c r="P473" t="str">
        <f>"$"</f>
        <v>$</v>
      </c>
      <c r="Q473" t="str">
        <f>"117"</f>
        <v>117</v>
      </c>
      <c r="R473" t="str">
        <f>"רתמות"</f>
        <v>רתמות</v>
      </c>
      <c r="S473" t="str">
        <f>"034"</f>
        <v>034</v>
      </c>
      <c r="T473" t="str">
        <f>"חן בזק"</f>
        <v>חן בזק</v>
      </c>
      <c r="U473">
        <v>0</v>
      </c>
      <c r="V473">
        <v>0</v>
      </c>
      <c r="W473" s="2">
        <v>2550.11</v>
      </c>
      <c r="X473" s="2">
        <v>2550.11</v>
      </c>
      <c r="Z473" t="str">
        <f>"Y"</f>
        <v>Y</v>
      </c>
      <c r="AA473">
        <v>0</v>
      </c>
      <c r="AC473">
        <v>0</v>
      </c>
      <c r="AE473">
        <v>0</v>
      </c>
      <c r="AF473">
        <v>0</v>
      </c>
      <c r="AG473" s="2">
        <v>8718.83</v>
      </c>
      <c r="AH473">
        <v>0</v>
      </c>
      <c r="AI473" s="2">
        <v>8718.83</v>
      </c>
      <c r="AJ473" s="2">
        <v>2550.11</v>
      </c>
      <c r="AK473" s="2">
        <v>2550.11</v>
      </c>
      <c r="AL473" t="str">
        <f>"$"</f>
        <v>$</v>
      </c>
    </row>
    <row r="474" spans="1:38" x14ac:dyDescent="0.3">
      <c r="A474" t="str">
        <f>"SO20000319"</f>
        <v>SO20000319</v>
      </c>
      <c r="B474" t="str">
        <f>"E000316766"</f>
        <v>E000316766</v>
      </c>
      <c r="C474" t="str">
        <f>"בוצעה"</f>
        <v>בוצעה</v>
      </c>
      <c r="E474" s="3">
        <v>44034</v>
      </c>
      <c r="F474" s="3">
        <v>44185</v>
      </c>
      <c r="G474" t="str">
        <f>"700065"</f>
        <v>700065</v>
      </c>
      <c r="H474" t="str">
        <f>"אלתא מערכות בע""מ"</f>
        <v>אלתא מערכות בע"מ</v>
      </c>
      <c r="I474" t="str">
        <f>"ערן שלו"</f>
        <v>ערן שלו</v>
      </c>
      <c r="J474" t="str">
        <f>"OP-AR01949"</f>
        <v>OP-AR01949</v>
      </c>
      <c r="K474" s="1" t="str">
        <f>"1031B131-001/A - CABLE ASSY W0131"</f>
        <v>1031B131-001/A - CABLE ASSY W0131</v>
      </c>
      <c r="L474">
        <v>1</v>
      </c>
      <c r="M474" t="str">
        <f>"PR20000533"</f>
        <v>PR20000533</v>
      </c>
      <c r="N474" t="str">
        <f>"PDB TO MDU"</f>
        <v>PDB TO MDU</v>
      </c>
      <c r="O474" s="2">
        <v>1927.78</v>
      </c>
      <c r="P474" t="str">
        <f>"$"</f>
        <v>$</v>
      </c>
      <c r="Q474" t="str">
        <f>"117"</f>
        <v>117</v>
      </c>
      <c r="R474" t="str">
        <f>"רתמות"</f>
        <v>רתמות</v>
      </c>
      <c r="S474" t="str">
        <f>"034"</f>
        <v>034</v>
      </c>
      <c r="T474" t="str">
        <f>"חן בזק"</f>
        <v>חן בזק</v>
      </c>
      <c r="U474">
        <v>0</v>
      </c>
      <c r="V474">
        <v>0</v>
      </c>
      <c r="W474" s="2">
        <v>1927.78</v>
      </c>
      <c r="X474" s="2">
        <v>1927.78</v>
      </c>
      <c r="Z474" t="str">
        <f>"Y"</f>
        <v>Y</v>
      </c>
      <c r="AA474">
        <v>0</v>
      </c>
      <c r="AC474">
        <v>0</v>
      </c>
      <c r="AE474">
        <v>0</v>
      </c>
      <c r="AF474">
        <v>0</v>
      </c>
      <c r="AG474" s="2">
        <v>6591.08</v>
      </c>
      <c r="AH474">
        <v>0</v>
      </c>
      <c r="AI474" s="2">
        <v>6591.08</v>
      </c>
      <c r="AJ474" s="2">
        <v>1927.78</v>
      </c>
      <c r="AK474" s="2">
        <v>1927.78</v>
      </c>
      <c r="AL474" t="str">
        <f>"$"</f>
        <v>$</v>
      </c>
    </row>
    <row r="475" spans="1:38" x14ac:dyDescent="0.3">
      <c r="A475" t="str">
        <f>"SO20000319"</f>
        <v>SO20000319</v>
      </c>
      <c r="B475" t="str">
        <f>"E000316766"</f>
        <v>E000316766</v>
      </c>
      <c r="C475" t="str">
        <f>"בוצעה"</f>
        <v>בוצעה</v>
      </c>
      <c r="E475" s="3">
        <v>44034</v>
      </c>
      <c r="F475" s="3">
        <v>44185</v>
      </c>
      <c r="G475" t="str">
        <f>"700065"</f>
        <v>700065</v>
      </c>
      <c r="H475" t="str">
        <f>"אלתא מערכות בע""מ"</f>
        <v>אלתא מערכות בע"מ</v>
      </c>
      <c r="I475" t="str">
        <f>"ערן שלו"</f>
        <v>ערן שלו</v>
      </c>
      <c r="J475" t="str">
        <f>"OP-AR01950"</f>
        <v>OP-AR01950</v>
      </c>
      <c r="K475" s="1" t="str">
        <f>"1031B172-001/A - CABLE ASSY W0172"</f>
        <v>1031B172-001/A - CABLE ASSY W0172</v>
      </c>
      <c r="L475">
        <v>1</v>
      </c>
      <c r="M475" t="str">
        <f>"PR20000533"</f>
        <v>PR20000533</v>
      </c>
      <c r="N475" t="str">
        <f>"PDB TO MDU"</f>
        <v>PDB TO MDU</v>
      </c>
      <c r="O475" s="2">
        <v>1279.29</v>
      </c>
      <c r="P475" t="str">
        <f>"$"</f>
        <v>$</v>
      </c>
      <c r="Q475" t="str">
        <f>"117"</f>
        <v>117</v>
      </c>
      <c r="R475" t="str">
        <f>"רתמות"</f>
        <v>רתמות</v>
      </c>
      <c r="S475" t="str">
        <f>"034"</f>
        <v>034</v>
      </c>
      <c r="T475" t="str">
        <f>"חן בזק"</f>
        <v>חן בזק</v>
      </c>
      <c r="U475">
        <v>0</v>
      </c>
      <c r="V475">
        <v>0</v>
      </c>
      <c r="W475" s="2">
        <v>1279.29</v>
      </c>
      <c r="X475" s="2">
        <v>1279.29</v>
      </c>
      <c r="Z475" t="str">
        <f>"Y"</f>
        <v>Y</v>
      </c>
      <c r="AA475">
        <v>0</v>
      </c>
      <c r="AC475">
        <v>0</v>
      </c>
      <c r="AE475">
        <v>0</v>
      </c>
      <c r="AF475">
        <v>0</v>
      </c>
      <c r="AG475" s="2">
        <v>4373.8900000000003</v>
      </c>
      <c r="AH475">
        <v>0</v>
      </c>
      <c r="AI475" s="2">
        <v>4373.8900000000003</v>
      </c>
      <c r="AJ475" s="2">
        <v>1279.29</v>
      </c>
      <c r="AK475" s="2">
        <v>1279.29</v>
      </c>
      <c r="AL475" t="str">
        <f>"$"</f>
        <v>$</v>
      </c>
    </row>
    <row r="476" spans="1:38" x14ac:dyDescent="0.3">
      <c r="A476" t="str">
        <f>"SO20000319"</f>
        <v>SO20000319</v>
      </c>
      <c r="B476" t="str">
        <f>"E000316766"</f>
        <v>E000316766</v>
      </c>
      <c r="C476" t="str">
        <f>"בוצעה"</f>
        <v>בוצעה</v>
      </c>
      <c r="E476" s="3">
        <v>44034</v>
      </c>
      <c r="F476" s="3">
        <v>44185</v>
      </c>
      <c r="G476" t="str">
        <f>"700065"</f>
        <v>700065</v>
      </c>
      <c r="H476" t="str">
        <f>"אלתא מערכות בע""מ"</f>
        <v>אלתא מערכות בע"מ</v>
      </c>
      <c r="I476" t="str">
        <f>"ערן שלו"</f>
        <v>ערן שלו</v>
      </c>
      <c r="J476" t="str">
        <f>"OP-AR01951"</f>
        <v>OP-AR01951</v>
      </c>
      <c r="K476" s="1" t="str">
        <f>"1031B024-001/A - CABLE ASSY W0024"</f>
        <v>1031B024-001/A - CABLE ASSY W0024</v>
      </c>
      <c r="L476">
        <v>1</v>
      </c>
      <c r="M476" t="str">
        <f>"PR20000533"</f>
        <v>PR20000533</v>
      </c>
      <c r="N476" t="str">
        <f>"PDB TO MDU"</f>
        <v>PDB TO MDU</v>
      </c>
      <c r="O476">
        <v>637.49</v>
      </c>
      <c r="P476" t="str">
        <f>"$"</f>
        <v>$</v>
      </c>
      <c r="Q476" t="str">
        <f>"117"</f>
        <v>117</v>
      </c>
      <c r="R476" t="str">
        <f>"רתמות"</f>
        <v>רתמות</v>
      </c>
      <c r="S476" t="str">
        <f>"034"</f>
        <v>034</v>
      </c>
      <c r="T476" t="str">
        <f>"חן בזק"</f>
        <v>חן בזק</v>
      </c>
      <c r="U476">
        <v>0</v>
      </c>
      <c r="V476">
        <v>0</v>
      </c>
      <c r="W476">
        <v>637.49</v>
      </c>
      <c r="X476">
        <v>637.49</v>
      </c>
      <c r="Z476" t="str">
        <f>"Y"</f>
        <v>Y</v>
      </c>
      <c r="AA476">
        <v>0</v>
      </c>
      <c r="AC476">
        <v>0</v>
      </c>
      <c r="AE476">
        <v>0</v>
      </c>
      <c r="AF476">
        <v>0</v>
      </c>
      <c r="AG476" s="2">
        <v>2179.58</v>
      </c>
      <c r="AH476">
        <v>0</v>
      </c>
      <c r="AI476" s="2">
        <v>2179.58</v>
      </c>
      <c r="AJ476">
        <v>637.49</v>
      </c>
      <c r="AK476">
        <v>637.49</v>
      </c>
      <c r="AL476" t="str">
        <f>"$"</f>
        <v>$</v>
      </c>
    </row>
    <row r="477" spans="1:38" x14ac:dyDescent="0.3">
      <c r="A477" t="str">
        <f>"SO20000319"</f>
        <v>SO20000319</v>
      </c>
      <c r="B477" t="str">
        <f>"E000316766"</f>
        <v>E000316766</v>
      </c>
      <c r="C477" t="str">
        <f>"בוצעה"</f>
        <v>בוצעה</v>
      </c>
      <c r="E477" s="3">
        <v>44034</v>
      </c>
      <c r="F477" s="3">
        <v>44185</v>
      </c>
      <c r="G477" t="str">
        <f>"700065"</f>
        <v>700065</v>
      </c>
      <c r="H477" t="str">
        <f>"אלתא מערכות בע""מ"</f>
        <v>אלתא מערכות בע"מ</v>
      </c>
      <c r="I477" t="str">
        <f>"ערן שלו"</f>
        <v>ערן שלו</v>
      </c>
      <c r="J477" t="str">
        <f>"OP-AR01952"</f>
        <v>OP-AR01952</v>
      </c>
      <c r="K477" s="1" t="str">
        <f>"1031B025-001/A - CABLE ASSY W0025"</f>
        <v>1031B025-001/A - CABLE ASSY W0025</v>
      </c>
      <c r="L477">
        <v>1</v>
      </c>
      <c r="M477" t="str">
        <f>"PR20000533"</f>
        <v>PR20000533</v>
      </c>
      <c r="N477" t="str">
        <f>"PDB TO MDU"</f>
        <v>PDB TO MDU</v>
      </c>
      <c r="O477">
        <v>739.39</v>
      </c>
      <c r="P477" t="str">
        <f>"$"</f>
        <v>$</v>
      </c>
      <c r="Q477" t="str">
        <f>"117"</f>
        <v>117</v>
      </c>
      <c r="R477" t="str">
        <f>"רתמות"</f>
        <v>רתמות</v>
      </c>
      <c r="S477" t="str">
        <f>"034"</f>
        <v>034</v>
      </c>
      <c r="T477" t="str">
        <f>"חן בזק"</f>
        <v>חן בזק</v>
      </c>
      <c r="U477">
        <v>0</v>
      </c>
      <c r="V477">
        <v>0</v>
      </c>
      <c r="W477">
        <v>739.39</v>
      </c>
      <c r="X477">
        <v>739.39</v>
      </c>
      <c r="Z477" t="str">
        <f>"Y"</f>
        <v>Y</v>
      </c>
      <c r="AA477">
        <v>0</v>
      </c>
      <c r="AC477">
        <v>0</v>
      </c>
      <c r="AE477">
        <v>0</v>
      </c>
      <c r="AF477">
        <v>0</v>
      </c>
      <c r="AG477" s="2">
        <v>2527.9699999999998</v>
      </c>
      <c r="AH477">
        <v>0</v>
      </c>
      <c r="AI477" s="2">
        <v>2527.9699999999998</v>
      </c>
      <c r="AJ477">
        <v>739.39</v>
      </c>
      <c r="AK477">
        <v>739.39</v>
      </c>
      <c r="AL477" t="str">
        <f>"$"</f>
        <v>$</v>
      </c>
    </row>
    <row r="478" spans="1:38" x14ac:dyDescent="0.3">
      <c r="A478" t="str">
        <f>"SO20000319"</f>
        <v>SO20000319</v>
      </c>
      <c r="B478" t="str">
        <f>"E000316766"</f>
        <v>E000316766</v>
      </c>
      <c r="C478" t="str">
        <f>"בוצעה"</f>
        <v>בוצעה</v>
      </c>
      <c r="E478" s="3">
        <v>44034</v>
      </c>
      <c r="F478" s="3">
        <v>44185</v>
      </c>
      <c r="G478" t="str">
        <f>"700065"</f>
        <v>700065</v>
      </c>
      <c r="H478" t="str">
        <f>"אלתא מערכות בע""מ"</f>
        <v>אלתא מערכות בע"מ</v>
      </c>
      <c r="I478" t="str">
        <f>"ערן שלו"</f>
        <v>ערן שלו</v>
      </c>
      <c r="J478" t="str">
        <f>"OP-AR01953"</f>
        <v>OP-AR01953</v>
      </c>
      <c r="K478" s="1" t="str">
        <f>"1031B014-001/- - CABLE ASSY W014"</f>
        <v>1031B014-001/- - CABLE ASSY W014</v>
      </c>
      <c r="L478">
        <v>1</v>
      </c>
      <c r="M478" t="str">
        <f>"PR20000533"</f>
        <v>PR20000533</v>
      </c>
      <c r="N478" t="str">
        <f>"PDB TO MDU"</f>
        <v>PDB TO MDU</v>
      </c>
      <c r="O478" s="2">
        <v>1625.96</v>
      </c>
      <c r="P478" t="str">
        <f>"$"</f>
        <v>$</v>
      </c>
      <c r="Q478" t="str">
        <f>"117"</f>
        <v>117</v>
      </c>
      <c r="R478" t="str">
        <f>"רתמות"</f>
        <v>רתמות</v>
      </c>
      <c r="S478" t="str">
        <f>"034"</f>
        <v>034</v>
      </c>
      <c r="T478" t="str">
        <f>"חן בזק"</f>
        <v>חן בזק</v>
      </c>
      <c r="U478">
        <v>0</v>
      </c>
      <c r="V478">
        <v>0</v>
      </c>
      <c r="W478" s="2">
        <v>1625.96</v>
      </c>
      <c r="X478" s="2">
        <v>1625.96</v>
      </c>
      <c r="Z478" t="str">
        <f>"Y"</f>
        <v>Y</v>
      </c>
      <c r="AA478">
        <v>0</v>
      </c>
      <c r="AC478">
        <v>0</v>
      </c>
      <c r="AE478">
        <v>0</v>
      </c>
      <c r="AF478">
        <v>0</v>
      </c>
      <c r="AG478" s="2">
        <v>5559.16</v>
      </c>
      <c r="AH478">
        <v>0</v>
      </c>
      <c r="AI478" s="2">
        <v>5559.16</v>
      </c>
      <c r="AJ478" s="2">
        <v>1625.96</v>
      </c>
      <c r="AK478" s="2">
        <v>1625.96</v>
      </c>
      <c r="AL478" t="str">
        <f>"$"</f>
        <v>$</v>
      </c>
    </row>
    <row r="479" spans="1:38" x14ac:dyDescent="0.3">
      <c r="A479" t="str">
        <f>"SO20000319"</f>
        <v>SO20000319</v>
      </c>
      <c r="B479" t="str">
        <f>"E000316766"</f>
        <v>E000316766</v>
      </c>
      <c r="C479" t="str">
        <f>"בוצעה"</f>
        <v>בוצעה</v>
      </c>
      <c r="E479" s="3">
        <v>44034</v>
      </c>
      <c r="F479" s="3">
        <v>44216</v>
      </c>
      <c r="G479" t="str">
        <f>"700065"</f>
        <v>700065</v>
      </c>
      <c r="H479" t="str">
        <f>"אלתא מערכות בע""מ"</f>
        <v>אלתא מערכות בע"מ</v>
      </c>
      <c r="I479" t="str">
        <f>"ערן שלו"</f>
        <v>ערן שלו</v>
      </c>
      <c r="J479" t="str">
        <f>"OP-AR01957"</f>
        <v>OP-AR01957</v>
      </c>
      <c r="K479" s="1" t="str">
        <f>"1031B114-001/- - CABLE ASSY W114"</f>
        <v>1031B114-001/- - CABLE ASSY W114</v>
      </c>
      <c r="L479">
        <v>1</v>
      </c>
      <c r="M479" t="str">
        <f>"PR20000533"</f>
        <v>PR20000533</v>
      </c>
      <c r="N479" t="str">
        <f>"PDB TO MDU"</f>
        <v>PDB TO MDU</v>
      </c>
      <c r="O479" s="2">
        <v>2664.31</v>
      </c>
      <c r="P479" t="str">
        <f>"$"</f>
        <v>$</v>
      </c>
      <c r="Q479" t="str">
        <f>"117"</f>
        <v>117</v>
      </c>
      <c r="R479" t="str">
        <f>"רתמות"</f>
        <v>רתמות</v>
      </c>
      <c r="S479" t="str">
        <f>"034"</f>
        <v>034</v>
      </c>
      <c r="T479" t="str">
        <f>"חן בזק"</f>
        <v>חן בזק</v>
      </c>
      <c r="U479">
        <v>0</v>
      </c>
      <c r="V479">
        <v>0</v>
      </c>
      <c r="W479" s="2">
        <v>2664.31</v>
      </c>
      <c r="X479" s="2">
        <v>2664.31</v>
      </c>
      <c r="Z479" t="str">
        <f>"Y"</f>
        <v>Y</v>
      </c>
      <c r="AA479">
        <v>0</v>
      </c>
      <c r="AC479">
        <v>0</v>
      </c>
      <c r="AE479">
        <v>0</v>
      </c>
      <c r="AF479">
        <v>0</v>
      </c>
      <c r="AG479" s="2">
        <v>9109.2800000000007</v>
      </c>
      <c r="AH479">
        <v>0</v>
      </c>
      <c r="AI479" s="2">
        <v>9109.2800000000007</v>
      </c>
      <c r="AJ479" s="2">
        <v>2664.31</v>
      </c>
      <c r="AK479" s="2">
        <v>2664.31</v>
      </c>
      <c r="AL479" t="str">
        <f>"$"</f>
        <v>$</v>
      </c>
    </row>
    <row r="480" spans="1:38" x14ac:dyDescent="0.3">
      <c r="A480" t="str">
        <f>"SO20000319"</f>
        <v>SO20000319</v>
      </c>
      <c r="B480" t="str">
        <f>"E000316766"</f>
        <v>E000316766</v>
      </c>
      <c r="C480" t="str">
        <f>"בוצעה"</f>
        <v>בוצעה</v>
      </c>
      <c r="E480" s="3">
        <v>44034</v>
      </c>
      <c r="F480" s="3">
        <v>44216</v>
      </c>
      <c r="G480" t="str">
        <f>"700065"</f>
        <v>700065</v>
      </c>
      <c r="H480" t="str">
        <f>"אלתא מערכות בע""מ"</f>
        <v>אלתא מערכות בע"מ</v>
      </c>
      <c r="I480" t="str">
        <f>"ערן שלו"</f>
        <v>ערן שלו</v>
      </c>
      <c r="J480" t="str">
        <f>"OP-AR01956"</f>
        <v>OP-AR01956</v>
      </c>
      <c r="K480" s="1" t="str">
        <f>"1031B112-001/- - CABLE ASSY W112"</f>
        <v>1031B112-001/- - CABLE ASSY W112</v>
      </c>
      <c r="L480">
        <v>1</v>
      </c>
      <c r="M480" t="str">
        <f>"PR20000533"</f>
        <v>PR20000533</v>
      </c>
      <c r="N480" t="str">
        <f>"PDB TO MDU"</f>
        <v>PDB TO MDU</v>
      </c>
      <c r="O480" s="2">
        <v>5050.6899999999996</v>
      </c>
      <c r="P480" t="str">
        <f>"$"</f>
        <v>$</v>
      </c>
      <c r="Q480" t="str">
        <f>"117"</f>
        <v>117</v>
      </c>
      <c r="R480" t="str">
        <f>"רתמות"</f>
        <v>רתמות</v>
      </c>
      <c r="S480" t="str">
        <f>"034"</f>
        <v>034</v>
      </c>
      <c r="T480" t="str">
        <f>"חן בזק"</f>
        <v>חן בזק</v>
      </c>
      <c r="U480">
        <v>0</v>
      </c>
      <c r="V480">
        <v>0</v>
      </c>
      <c r="W480" s="2">
        <v>5050.6899999999996</v>
      </c>
      <c r="X480" s="2">
        <v>5050.6899999999996</v>
      </c>
      <c r="Z480" t="str">
        <f>"Y"</f>
        <v>Y</v>
      </c>
      <c r="AA480">
        <v>0</v>
      </c>
      <c r="AC480">
        <v>0</v>
      </c>
      <c r="AE480">
        <v>0</v>
      </c>
      <c r="AF480">
        <v>0</v>
      </c>
      <c r="AG480" s="2">
        <v>17268.310000000001</v>
      </c>
      <c r="AH480">
        <v>0</v>
      </c>
      <c r="AI480" s="2">
        <v>17268.310000000001</v>
      </c>
      <c r="AJ480" s="2">
        <v>5050.6899999999996</v>
      </c>
      <c r="AK480" s="2">
        <v>5050.6899999999996</v>
      </c>
      <c r="AL480" t="str">
        <f>"$"</f>
        <v>$</v>
      </c>
    </row>
    <row r="481" spans="1:38" x14ac:dyDescent="0.3">
      <c r="A481" t="str">
        <f>"SO20000319"</f>
        <v>SO20000319</v>
      </c>
      <c r="B481" t="str">
        <f>"E000316766"</f>
        <v>E000316766</v>
      </c>
      <c r="C481" t="str">
        <f>"בוצעה"</f>
        <v>בוצעה</v>
      </c>
      <c r="E481" s="3">
        <v>44034</v>
      </c>
      <c r="F481" s="3">
        <v>44185</v>
      </c>
      <c r="G481" t="str">
        <f>"700065"</f>
        <v>700065</v>
      </c>
      <c r="H481" t="str">
        <f>"אלתא מערכות בע""מ"</f>
        <v>אלתא מערכות בע"מ</v>
      </c>
      <c r="I481" t="str">
        <f>"ערן שלו"</f>
        <v>ערן שלו</v>
      </c>
      <c r="J481" t="str">
        <f>"OP-AR01954"</f>
        <v>OP-AR01954</v>
      </c>
      <c r="K481" s="1" t="str">
        <f>"1031B015-001/- - CABLE ASSY W015"</f>
        <v>1031B015-001/- - CABLE ASSY W015</v>
      </c>
      <c r="L481">
        <v>1</v>
      </c>
      <c r="M481" t="str">
        <f>"PR20000533"</f>
        <v>PR20000533</v>
      </c>
      <c r="N481" t="str">
        <f>"PDB TO MDU"</f>
        <v>PDB TO MDU</v>
      </c>
      <c r="O481" s="2">
        <v>1628</v>
      </c>
      <c r="P481" t="str">
        <f>"$"</f>
        <v>$</v>
      </c>
      <c r="Q481" t="str">
        <f>"117"</f>
        <v>117</v>
      </c>
      <c r="R481" t="str">
        <f>"רתמות"</f>
        <v>רתמות</v>
      </c>
      <c r="S481" t="str">
        <f>"034"</f>
        <v>034</v>
      </c>
      <c r="T481" t="str">
        <f>"חן בזק"</f>
        <v>חן בזק</v>
      </c>
      <c r="U481">
        <v>0</v>
      </c>
      <c r="V481">
        <v>0</v>
      </c>
      <c r="W481" s="2">
        <v>1628</v>
      </c>
      <c r="X481" s="2">
        <v>1628</v>
      </c>
      <c r="Z481" t="str">
        <f>"Y"</f>
        <v>Y</v>
      </c>
      <c r="AA481">
        <v>0</v>
      </c>
      <c r="AC481">
        <v>0</v>
      </c>
      <c r="AE481">
        <v>0</v>
      </c>
      <c r="AF481">
        <v>0</v>
      </c>
      <c r="AG481" s="2">
        <v>5566.13</v>
      </c>
      <c r="AH481">
        <v>0</v>
      </c>
      <c r="AI481" s="2">
        <v>5566.13</v>
      </c>
      <c r="AJ481" s="2">
        <v>1628</v>
      </c>
      <c r="AK481" s="2">
        <v>1628</v>
      </c>
      <c r="AL481" t="str">
        <f>"$"</f>
        <v>$</v>
      </c>
    </row>
    <row r="482" spans="1:38" x14ac:dyDescent="0.3">
      <c r="A482" t="str">
        <f>"SO20000319"</f>
        <v>SO20000319</v>
      </c>
      <c r="B482" t="str">
        <f>"E000316766"</f>
        <v>E000316766</v>
      </c>
      <c r="C482" t="str">
        <f>"בוצעה"</f>
        <v>בוצעה</v>
      </c>
      <c r="E482" s="3">
        <v>44034</v>
      </c>
      <c r="F482" s="3">
        <v>44185</v>
      </c>
      <c r="G482" t="str">
        <f>"700065"</f>
        <v>700065</v>
      </c>
      <c r="H482" t="str">
        <f>"אלתא מערכות בע""מ"</f>
        <v>אלתא מערכות בע"מ</v>
      </c>
      <c r="I482" t="str">
        <f>"ערן שלו"</f>
        <v>ערן שלו</v>
      </c>
      <c r="J482" t="str">
        <f>"OP-AR01955"</f>
        <v>OP-AR01955</v>
      </c>
      <c r="K482" s="1" t="str">
        <f>"1031B109-001/- - CABLE ASSY W109"</f>
        <v>1031B109-001/- - CABLE ASSY W109</v>
      </c>
      <c r="L482">
        <v>1</v>
      </c>
      <c r="M482" t="str">
        <f>"PR20000533"</f>
        <v>PR20000533</v>
      </c>
      <c r="N482" t="str">
        <f>"PDB TO MDU"</f>
        <v>PDB TO MDU</v>
      </c>
      <c r="O482" s="2">
        <v>3333.09</v>
      </c>
      <c r="P482" t="str">
        <f>"$"</f>
        <v>$</v>
      </c>
      <c r="Q482" t="str">
        <f>"117"</f>
        <v>117</v>
      </c>
      <c r="R482" t="str">
        <f>"רתמות"</f>
        <v>רתמות</v>
      </c>
      <c r="S482" t="str">
        <f>"034"</f>
        <v>034</v>
      </c>
      <c r="T482" t="str">
        <f>"חן בזק"</f>
        <v>חן בזק</v>
      </c>
      <c r="U482">
        <v>0</v>
      </c>
      <c r="V482">
        <v>0</v>
      </c>
      <c r="W482" s="2">
        <v>3333.09</v>
      </c>
      <c r="X482" s="2">
        <v>3333.09</v>
      </c>
      <c r="Z482" t="str">
        <f>"Y"</f>
        <v>Y</v>
      </c>
      <c r="AA482">
        <v>0</v>
      </c>
      <c r="AC482">
        <v>0</v>
      </c>
      <c r="AE482">
        <v>0</v>
      </c>
      <c r="AF482">
        <v>0</v>
      </c>
      <c r="AG482" s="2">
        <v>11395.83</v>
      </c>
      <c r="AH482">
        <v>0</v>
      </c>
      <c r="AI482" s="2">
        <v>11395.83</v>
      </c>
      <c r="AJ482" s="2">
        <v>3333.09</v>
      </c>
      <c r="AK482" s="2">
        <v>3333.09</v>
      </c>
      <c r="AL482" t="str">
        <f>"$"</f>
        <v>$</v>
      </c>
    </row>
    <row r="483" spans="1:38" x14ac:dyDescent="0.3">
      <c r="A483" t="str">
        <f>"SO20000319"</f>
        <v>SO20000319</v>
      </c>
      <c r="B483" t="str">
        <f>"E000316766"</f>
        <v>E000316766</v>
      </c>
      <c r="C483" t="str">
        <f>"בוצעה"</f>
        <v>בוצעה</v>
      </c>
      <c r="E483" s="3">
        <v>44034</v>
      </c>
      <c r="F483" s="3">
        <v>44185</v>
      </c>
      <c r="G483" t="str">
        <f>"700065"</f>
        <v>700065</v>
      </c>
      <c r="H483" t="str">
        <f>"אלתא מערכות בע""מ"</f>
        <v>אלתא מערכות בע"מ</v>
      </c>
      <c r="I483" t="str">
        <f>"ערן שלו"</f>
        <v>ערן שלו</v>
      </c>
      <c r="J483" t="str">
        <f>"OP-AR01958"</f>
        <v>OP-AR01958</v>
      </c>
      <c r="K483" s="1" t="str">
        <f>"1031B121-001/- - CABLE ASSY W121"</f>
        <v>1031B121-001/- - CABLE ASSY W121</v>
      </c>
      <c r="L483">
        <v>1</v>
      </c>
      <c r="M483" t="str">
        <f>"PR20000533"</f>
        <v>PR20000533</v>
      </c>
      <c r="N483" t="str">
        <f>"PDB TO MDU"</f>
        <v>PDB TO MDU</v>
      </c>
      <c r="O483" s="2">
        <v>2043.07</v>
      </c>
      <c r="P483" t="str">
        <f>"$"</f>
        <v>$</v>
      </c>
      <c r="Q483" t="str">
        <f>"117"</f>
        <v>117</v>
      </c>
      <c r="R483" t="str">
        <f>"רתמות"</f>
        <v>רתמות</v>
      </c>
      <c r="S483" t="str">
        <f>"034"</f>
        <v>034</v>
      </c>
      <c r="T483" t="str">
        <f>"חן בזק"</f>
        <v>חן בזק</v>
      </c>
      <c r="U483">
        <v>0</v>
      </c>
      <c r="V483">
        <v>0</v>
      </c>
      <c r="W483" s="2">
        <v>2043.07</v>
      </c>
      <c r="X483" s="2">
        <v>2043.07</v>
      </c>
      <c r="Z483" t="str">
        <f>"Y"</f>
        <v>Y</v>
      </c>
      <c r="AA483">
        <v>0</v>
      </c>
      <c r="AC483">
        <v>0</v>
      </c>
      <c r="AE483">
        <v>0</v>
      </c>
      <c r="AF483">
        <v>0</v>
      </c>
      <c r="AG483" s="2">
        <v>6985.26</v>
      </c>
      <c r="AH483">
        <v>0</v>
      </c>
      <c r="AI483" s="2">
        <v>6985.26</v>
      </c>
      <c r="AJ483" s="2">
        <v>2043.07</v>
      </c>
      <c r="AK483" s="2">
        <v>2043.07</v>
      </c>
      <c r="AL483" t="str">
        <f>"$"</f>
        <v>$</v>
      </c>
    </row>
    <row r="484" spans="1:38" x14ac:dyDescent="0.3">
      <c r="A484" t="str">
        <f>"SO20000319"</f>
        <v>SO20000319</v>
      </c>
      <c r="B484" t="str">
        <f>"E000316766"</f>
        <v>E000316766</v>
      </c>
      <c r="C484" t="str">
        <f>"בוצעה"</f>
        <v>בוצעה</v>
      </c>
      <c r="E484" s="3">
        <v>44034</v>
      </c>
      <c r="F484" s="3">
        <v>44185</v>
      </c>
      <c r="G484" t="str">
        <f>"700065"</f>
        <v>700065</v>
      </c>
      <c r="H484" t="str">
        <f>"אלתא מערכות בע""מ"</f>
        <v>אלתא מערכות בע"מ</v>
      </c>
      <c r="I484" t="str">
        <f>"ערן שלו"</f>
        <v>ערן שלו</v>
      </c>
      <c r="J484" t="str">
        <f>"OP-AR01959"</f>
        <v>OP-AR01959</v>
      </c>
      <c r="K484" s="1" t="str">
        <f>"1031B124-001/- - CABLE ASSY W124"</f>
        <v>1031B124-001/- - CABLE ASSY W124</v>
      </c>
      <c r="L484">
        <v>1</v>
      </c>
      <c r="M484" t="str">
        <f>"PR20000533"</f>
        <v>PR20000533</v>
      </c>
      <c r="N484" t="str">
        <f>"PDB TO MDU"</f>
        <v>PDB TO MDU</v>
      </c>
      <c r="O484" s="2">
        <v>2551.77</v>
      </c>
      <c r="P484" t="str">
        <f>"$"</f>
        <v>$</v>
      </c>
      <c r="Q484" t="str">
        <f>"117"</f>
        <v>117</v>
      </c>
      <c r="R484" t="str">
        <f>"רתמות"</f>
        <v>רתמות</v>
      </c>
      <c r="S484" t="str">
        <f>"034"</f>
        <v>034</v>
      </c>
      <c r="T484" t="str">
        <f>"חן בזק"</f>
        <v>חן בזק</v>
      </c>
      <c r="U484">
        <v>0</v>
      </c>
      <c r="V484">
        <v>0</v>
      </c>
      <c r="W484" s="2">
        <v>2551.77</v>
      </c>
      <c r="X484" s="2">
        <v>2551.77</v>
      </c>
      <c r="Z484" t="str">
        <f>"Y"</f>
        <v>Y</v>
      </c>
      <c r="AA484">
        <v>0</v>
      </c>
      <c r="AC484">
        <v>0</v>
      </c>
      <c r="AE484">
        <v>0</v>
      </c>
      <c r="AF484">
        <v>0</v>
      </c>
      <c r="AG484" s="2">
        <v>8724.5</v>
      </c>
      <c r="AH484">
        <v>0</v>
      </c>
      <c r="AI484" s="2">
        <v>8724.5</v>
      </c>
      <c r="AJ484" s="2">
        <v>2551.77</v>
      </c>
      <c r="AK484" s="2">
        <v>2551.77</v>
      </c>
      <c r="AL484" t="str">
        <f>"$"</f>
        <v>$</v>
      </c>
    </row>
    <row r="485" spans="1:38" x14ac:dyDescent="0.3">
      <c r="A485" t="str">
        <f>"SO20000319"</f>
        <v>SO20000319</v>
      </c>
      <c r="B485" t="str">
        <f>"E000316766"</f>
        <v>E000316766</v>
      </c>
      <c r="C485" t="str">
        <f>"בוצעה"</f>
        <v>בוצעה</v>
      </c>
      <c r="E485" s="3">
        <v>44034</v>
      </c>
      <c r="F485" s="3">
        <v>44185</v>
      </c>
      <c r="G485" t="str">
        <f>"700065"</f>
        <v>700065</v>
      </c>
      <c r="H485" t="str">
        <f>"אלתא מערכות בע""מ"</f>
        <v>אלתא מערכות בע"מ</v>
      </c>
      <c r="I485" t="str">
        <f>"ערן שלו"</f>
        <v>ערן שלו</v>
      </c>
      <c r="J485" t="str">
        <f>"OP-AR01960"</f>
        <v>OP-AR01960</v>
      </c>
      <c r="K485" s="1" t="str">
        <f>"NRE FOR E000316766"</f>
        <v>NRE FOR E000316766</v>
      </c>
      <c r="L485">
        <v>1</v>
      </c>
      <c r="M485" t="str">
        <f>"PR20000533"</f>
        <v>PR20000533</v>
      </c>
      <c r="N485" t="str">
        <f>"PDB TO MDU"</f>
        <v>PDB TO MDU</v>
      </c>
      <c r="O485" s="2">
        <v>2782.21</v>
      </c>
      <c r="P485" t="str">
        <f>"$"</f>
        <v>$</v>
      </c>
      <c r="Q485" t="str">
        <f>"117"</f>
        <v>117</v>
      </c>
      <c r="R485" t="str">
        <f>"רתמות"</f>
        <v>רתמות</v>
      </c>
      <c r="S485" t="str">
        <f>"034"</f>
        <v>034</v>
      </c>
      <c r="T485" t="str">
        <f>"חן בזק"</f>
        <v>חן בזק</v>
      </c>
      <c r="U485">
        <v>0</v>
      </c>
      <c r="V485">
        <v>0</v>
      </c>
      <c r="W485" s="2">
        <v>2782.21</v>
      </c>
      <c r="X485" s="2">
        <v>2782.21</v>
      </c>
      <c r="Z485" t="str">
        <f>"Y"</f>
        <v>Y</v>
      </c>
      <c r="AA485">
        <v>1</v>
      </c>
      <c r="AC485">
        <v>0</v>
      </c>
      <c r="AE485">
        <v>0</v>
      </c>
      <c r="AF485">
        <v>0</v>
      </c>
      <c r="AG485" s="2">
        <v>9512.3799999999992</v>
      </c>
      <c r="AH485">
        <v>0</v>
      </c>
      <c r="AI485" s="2">
        <v>9512.3799999999992</v>
      </c>
      <c r="AJ485" s="2">
        <v>2782.21</v>
      </c>
      <c r="AK485" s="2">
        <v>2782.21</v>
      </c>
      <c r="AL485" t="str">
        <f>"$"</f>
        <v>$</v>
      </c>
    </row>
    <row r="486" spans="1:38" x14ac:dyDescent="0.3">
      <c r="A486" t="str">
        <f>"SO20000328"</f>
        <v>SO20000328</v>
      </c>
      <c r="B486" t="str">
        <f>"E000317576"</f>
        <v>E000317576</v>
      </c>
      <c r="C486" t="str">
        <f>"בוצעה"</f>
        <v>בוצעה</v>
      </c>
      <c r="E486" s="3">
        <v>44035</v>
      </c>
      <c r="F486" s="3">
        <v>44174</v>
      </c>
      <c r="G486" t="str">
        <f>"700065"</f>
        <v>700065</v>
      </c>
      <c r="H486" t="str">
        <f>"אלתא מערכות בע""מ"</f>
        <v>אלתא מערכות בע"מ</v>
      </c>
      <c r="I486" t="str">
        <f>"ערן שלו"</f>
        <v>ערן שלו</v>
      </c>
      <c r="J486" t="str">
        <f>"OP-AR00686"</f>
        <v>OP-AR00686</v>
      </c>
      <c r="K486" s="1" t="str">
        <f>"PDU מעבדה 4 115V 400HZ יציאות"</f>
        <v>PDU מעבדה 4 115V 400HZ יציאות</v>
      </c>
      <c r="L486">
        <v>1</v>
      </c>
      <c r="M486" t="str">
        <f>"PR20000526"</f>
        <v>PR20000526</v>
      </c>
      <c r="N486" t="str">
        <f>"PDU מעבדה 4 115V 400HZ יציאות"</f>
        <v>PDU מעבדה 4 115V 400HZ יציאות</v>
      </c>
      <c r="O486" s="2">
        <v>2450</v>
      </c>
      <c r="P486" t="str">
        <f>"$"</f>
        <v>$</v>
      </c>
      <c r="Q486" t="str">
        <f>"118"</f>
        <v>118</v>
      </c>
      <c r="R486" t="str">
        <f>"מערכות"</f>
        <v>מערכות</v>
      </c>
      <c r="S486" t="str">
        <f>"034"</f>
        <v>034</v>
      </c>
      <c r="T486" t="str">
        <f>"tabula"</f>
        <v>tabula</v>
      </c>
      <c r="U486">
        <v>0</v>
      </c>
      <c r="V486">
        <v>0</v>
      </c>
      <c r="W486" s="2">
        <v>2450</v>
      </c>
      <c r="X486" s="2">
        <v>2450</v>
      </c>
      <c r="Z486" t="str">
        <f>"Y"</f>
        <v>Y</v>
      </c>
      <c r="AA486">
        <v>0</v>
      </c>
      <c r="AC486">
        <v>0</v>
      </c>
      <c r="AE486">
        <v>0</v>
      </c>
      <c r="AF486">
        <v>0</v>
      </c>
      <c r="AG486" s="2">
        <v>8381.4500000000007</v>
      </c>
      <c r="AH486">
        <v>0</v>
      </c>
      <c r="AI486" s="2">
        <v>8381.4500000000007</v>
      </c>
      <c r="AJ486" s="2">
        <v>2450</v>
      </c>
      <c r="AK486" s="2">
        <v>2450</v>
      </c>
      <c r="AL486" t="str">
        <f>"$"</f>
        <v>$</v>
      </c>
    </row>
    <row r="487" spans="1:38" x14ac:dyDescent="0.3">
      <c r="A487" t="str">
        <f>"SO20000328"</f>
        <v>SO20000328</v>
      </c>
      <c r="B487" t="str">
        <f>"E000317576"</f>
        <v>E000317576</v>
      </c>
      <c r="C487" t="str">
        <f>"בוצעה"</f>
        <v>בוצעה</v>
      </c>
      <c r="E487" s="3">
        <v>44035</v>
      </c>
      <c r="F487" s="3">
        <v>44263</v>
      </c>
      <c r="G487" t="str">
        <f>"700065"</f>
        <v>700065</v>
      </c>
      <c r="H487" t="str">
        <f>"אלתא מערכות בע""מ"</f>
        <v>אלתא מערכות בע"מ</v>
      </c>
      <c r="I487" t="str">
        <f>"ערן שלו"</f>
        <v>ערן שלו</v>
      </c>
      <c r="J487" t="str">
        <f>"OP-AR00468"</f>
        <v>OP-AR00468</v>
      </c>
      <c r="K487" s="1" t="str">
        <f>"208V/25A/3PH AC PCU CONTROL BOX"</f>
        <v>208V/25A/3PH AC PCU CONTROL BOX</v>
      </c>
      <c r="L487">
        <v>1</v>
      </c>
      <c r="M487" t="str">
        <f>"PR20000527"</f>
        <v>PR20000527</v>
      </c>
      <c r="N487" t="str">
        <f>"208V/25A/3PH AC PCU CONTROL BOX"</f>
        <v>208V/25A/3PH AC PCU CONTROL BOX</v>
      </c>
      <c r="O487" s="2">
        <v>4250</v>
      </c>
      <c r="P487" t="str">
        <f>"$"</f>
        <v>$</v>
      </c>
      <c r="Q487" t="str">
        <f>"118"</f>
        <v>118</v>
      </c>
      <c r="R487" t="str">
        <f>"מערכות"</f>
        <v>מערכות</v>
      </c>
      <c r="S487" t="str">
        <f>"034"</f>
        <v>034</v>
      </c>
      <c r="T487" t="str">
        <f>"tabula"</f>
        <v>tabula</v>
      </c>
      <c r="U487">
        <v>0</v>
      </c>
      <c r="V487">
        <v>0</v>
      </c>
      <c r="W487" s="2">
        <v>4250</v>
      </c>
      <c r="X487" s="2">
        <v>4250</v>
      </c>
      <c r="Z487" t="str">
        <f>"Y"</f>
        <v>Y</v>
      </c>
      <c r="AA487">
        <v>0</v>
      </c>
      <c r="AC487">
        <v>0</v>
      </c>
      <c r="AE487">
        <v>0</v>
      </c>
      <c r="AF487">
        <v>0</v>
      </c>
      <c r="AG487" s="2">
        <v>14539.25</v>
      </c>
      <c r="AH487">
        <v>0</v>
      </c>
      <c r="AI487" s="2">
        <v>14539.25</v>
      </c>
      <c r="AJ487" s="2">
        <v>4250</v>
      </c>
      <c r="AK487" s="2">
        <v>4250</v>
      </c>
      <c r="AL487" t="str">
        <f>"$"</f>
        <v>$</v>
      </c>
    </row>
    <row r="488" spans="1:38" x14ac:dyDescent="0.3">
      <c r="A488" t="str">
        <f>"SO20000329"</f>
        <v>SO20000329</v>
      </c>
      <c r="B488" t="str">
        <f>"E000316426"</f>
        <v>E000316426</v>
      </c>
      <c r="C488" t="str">
        <f>"בוצעה"</f>
        <v>בוצעה</v>
      </c>
      <c r="E488" s="3">
        <v>44035</v>
      </c>
      <c r="F488" s="3">
        <v>44160</v>
      </c>
      <c r="G488" t="str">
        <f>"700065"</f>
        <v>700065</v>
      </c>
      <c r="H488" t="str">
        <f>"אלתא מערכות בע""מ"</f>
        <v>אלתא מערכות בע"מ</v>
      </c>
      <c r="I488" t="str">
        <f>"ערן שלו"</f>
        <v>ערן שלו</v>
      </c>
      <c r="J488" t="str">
        <f>"OP-AR01650"</f>
        <v>OP-AR01650</v>
      </c>
      <c r="K488" s="1" t="str">
        <f>"1041G357-001 W357 - CU RACK TO PEDESTAL - CONTRO"</f>
        <v>1041G357-001 W357 - CU RACK TO PEDESTAL - CONTRO</v>
      </c>
      <c r="L488">
        <v>1</v>
      </c>
      <c r="M488" t="str">
        <f>"PR20000524"</f>
        <v>PR20000524</v>
      </c>
      <c r="N488" t="str">
        <f>"פרויקט HARNESS W535 115"</f>
        <v>פרויקט HARNESS W535 115</v>
      </c>
      <c r="O488">
        <v>930.53</v>
      </c>
      <c r="P488" t="str">
        <f>"$"</f>
        <v>$</v>
      </c>
      <c r="Q488" t="str">
        <f>"117"</f>
        <v>117</v>
      </c>
      <c r="R488" t="str">
        <f>"רתמות"</f>
        <v>רתמות</v>
      </c>
      <c r="S488" t="str">
        <f>"034"</f>
        <v>034</v>
      </c>
      <c r="T488" t="str">
        <f>"חן בזק"</f>
        <v>חן בזק</v>
      </c>
      <c r="U488">
        <v>0</v>
      </c>
      <c r="V488">
        <v>0</v>
      </c>
      <c r="W488">
        <v>930.53</v>
      </c>
      <c r="X488">
        <v>930.53</v>
      </c>
      <c r="Z488" t="str">
        <f>"Y"</f>
        <v>Y</v>
      </c>
      <c r="AA488">
        <v>0</v>
      </c>
      <c r="AC488">
        <v>0</v>
      </c>
      <c r="AE488">
        <v>0</v>
      </c>
      <c r="AF488">
        <v>0</v>
      </c>
      <c r="AG488" s="2">
        <v>3183.34</v>
      </c>
      <c r="AH488">
        <v>0</v>
      </c>
      <c r="AI488" s="2">
        <v>3183.34</v>
      </c>
      <c r="AJ488">
        <v>930.53</v>
      </c>
      <c r="AK488">
        <v>930.53</v>
      </c>
      <c r="AL488" t="str">
        <f>"$"</f>
        <v>$</v>
      </c>
    </row>
    <row r="489" spans="1:38" x14ac:dyDescent="0.3">
      <c r="A489" t="str">
        <f>"SO20000329"</f>
        <v>SO20000329</v>
      </c>
      <c r="B489" t="str">
        <f>"E000316426"</f>
        <v>E000316426</v>
      </c>
      <c r="C489" t="str">
        <f>"בוצעה"</f>
        <v>בוצעה</v>
      </c>
      <c r="E489" s="3">
        <v>44035</v>
      </c>
      <c r="F489" s="3">
        <v>44160</v>
      </c>
      <c r="G489" t="str">
        <f>"700065"</f>
        <v>700065</v>
      </c>
      <c r="H489" t="str">
        <f>"אלתא מערכות בע""מ"</f>
        <v>אלתא מערכות בע"מ</v>
      </c>
      <c r="I489" t="str">
        <f>"ערן שלו"</f>
        <v>ערן שלו</v>
      </c>
      <c r="J489" t="str">
        <f>"OP-AR01651"</f>
        <v>OP-AR01651</v>
      </c>
      <c r="K489" s="1" t="str">
        <f>"1041G323-001 W323-PWR 220GENERATOR TO PEDEST PS1"</f>
        <v>1041G323-001 W323-PWR 220GENERATOR TO PEDEST PS1</v>
      </c>
      <c r="L489">
        <v>1</v>
      </c>
      <c r="M489" t="str">
        <f>"PR20000524"</f>
        <v>PR20000524</v>
      </c>
      <c r="N489" t="str">
        <f>"פרויקט HARNESS W535 115"</f>
        <v>פרויקט HARNESS W535 115</v>
      </c>
      <c r="O489" s="2">
        <v>1123.81</v>
      </c>
      <c r="P489" t="str">
        <f>"$"</f>
        <v>$</v>
      </c>
      <c r="Q489" t="str">
        <f>"117"</f>
        <v>117</v>
      </c>
      <c r="R489" t="str">
        <f>"רתמות"</f>
        <v>רתמות</v>
      </c>
      <c r="S489" t="str">
        <f>"034"</f>
        <v>034</v>
      </c>
      <c r="T489" t="str">
        <f>"חן בזק"</f>
        <v>חן בזק</v>
      </c>
      <c r="U489">
        <v>0</v>
      </c>
      <c r="V489">
        <v>0</v>
      </c>
      <c r="W489" s="2">
        <v>1123.81</v>
      </c>
      <c r="X489" s="2">
        <v>1123.81</v>
      </c>
      <c r="Z489" t="str">
        <f>"Y"</f>
        <v>Y</v>
      </c>
      <c r="AA489">
        <v>0</v>
      </c>
      <c r="AC489">
        <v>0</v>
      </c>
      <c r="AE489">
        <v>0</v>
      </c>
      <c r="AF489">
        <v>0</v>
      </c>
      <c r="AG489" s="2">
        <v>3844.55</v>
      </c>
      <c r="AH489">
        <v>0</v>
      </c>
      <c r="AI489" s="2">
        <v>3844.55</v>
      </c>
      <c r="AJ489" s="2">
        <v>1123.81</v>
      </c>
      <c r="AK489" s="2">
        <v>1123.81</v>
      </c>
      <c r="AL489" t="str">
        <f>"$"</f>
        <v>$</v>
      </c>
    </row>
    <row r="490" spans="1:38" x14ac:dyDescent="0.3">
      <c r="A490" t="str">
        <f>"SO20000329"</f>
        <v>SO20000329</v>
      </c>
      <c r="B490" t="str">
        <f>"E000316426"</f>
        <v>E000316426</v>
      </c>
      <c r="C490" t="str">
        <f>"בוצעה"</f>
        <v>בוצעה</v>
      </c>
      <c r="E490" s="3">
        <v>44035</v>
      </c>
      <c r="F490" s="3">
        <v>44160</v>
      </c>
      <c r="G490" t="str">
        <f>"700065"</f>
        <v>700065</v>
      </c>
      <c r="H490" t="str">
        <f>"אלתא מערכות בע""מ"</f>
        <v>אלתא מערכות בע"מ</v>
      </c>
      <c r="I490" t="str">
        <f>"ערן שלו"</f>
        <v>ערן שלו</v>
      </c>
      <c r="J490" t="str">
        <f>"OP-AR01652"</f>
        <v>OP-AR01652</v>
      </c>
      <c r="K490" s="1" t="str">
        <f>"1041G324-001 W32-PWR 220VGENERATOR TO PEDEST PS2"</f>
        <v>1041G324-001 W32-PWR 220VGENERATOR TO PEDEST PS2</v>
      </c>
      <c r="L490">
        <v>1</v>
      </c>
      <c r="M490" t="str">
        <f>"PR20000524"</f>
        <v>PR20000524</v>
      </c>
      <c r="N490" t="str">
        <f>"פרויקט HARNESS W535 115"</f>
        <v>פרויקט HARNESS W535 115</v>
      </c>
      <c r="O490" s="2">
        <v>1218.08</v>
      </c>
      <c r="P490" t="str">
        <f>"$"</f>
        <v>$</v>
      </c>
      <c r="Q490" t="str">
        <f>"117"</f>
        <v>117</v>
      </c>
      <c r="R490" t="str">
        <f>"רתמות"</f>
        <v>רתמות</v>
      </c>
      <c r="S490" t="str">
        <f>"034"</f>
        <v>034</v>
      </c>
      <c r="T490" t="str">
        <f>"חן בזק"</f>
        <v>חן בזק</v>
      </c>
      <c r="U490">
        <v>0</v>
      </c>
      <c r="V490">
        <v>0</v>
      </c>
      <c r="W490" s="2">
        <v>1218.08</v>
      </c>
      <c r="X490" s="2">
        <v>1218.08</v>
      </c>
      <c r="Z490" t="str">
        <f>"Y"</f>
        <v>Y</v>
      </c>
      <c r="AA490">
        <v>0</v>
      </c>
      <c r="AC490">
        <v>0</v>
      </c>
      <c r="AE490">
        <v>0</v>
      </c>
      <c r="AF490">
        <v>0</v>
      </c>
      <c r="AG490" s="2">
        <v>4167.05</v>
      </c>
      <c r="AH490">
        <v>0</v>
      </c>
      <c r="AI490" s="2">
        <v>4167.05</v>
      </c>
      <c r="AJ490" s="2">
        <v>1218.08</v>
      </c>
      <c r="AK490" s="2">
        <v>1218.08</v>
      </c>
      <c r="AL490" t="str">
        <f>"$"</f>
        <v>$</v>
      </c>
    </row>
    <row r="491" spans="1:38" x14ac:dyDescent="0.3">
      <c r="A491" t="str">
        <f>"SO20000329"</f>
        <v>SO20000329</v>
      </c>
      <c r="B491" t="str">
        <f>"E000316426"</f>
        <v>E000316426</v>
      </c>
      <c r="C491" t="str">
        <f>"בוצעה"</f>
        <v>בוצעה</v>
      </c>
      <c r="E491" s="3">
        <v>44035</v>
      </c>
      <c r="F491" s="3">
        <v>44160</v>
      </c>
      <c r="G491" t="str">
        <f>"700065"</f>
        <v>700065</v>
      </c>
      <c r="H491" t="str">
        <f>"אלתא מערכות בע""מ"</f>
        <v>אלתא מערכות בע"מ</v>
      </c>
      <c r="I491" t="str">
        <f>"ערן שלו"</f>
        <v>ערן שלו</v>
      </c>
      <c r="J491" t="str">
        <f>"OP-AR01653"</f>
        <v>OP-AR01653</v>
      </c>
      <c r="K491" s="1" t="str">
        <f>"1041G339-001 W339 - CU RACK TO PEDESTAL SPARE"</f>
        <v>1041G339-001 W339 - CU RACK TO PEDESTAL SPARE</v>
      </c>
      <c r="L491">
        <v>1</v>
      </c>
      <c r="M491" t="str">
        <f>"PR20000524"</f>
        <v>PR20000524</v>
      </c>
      <c r="N491" t="str">
        <f>"פרויקט HARNESS W535 115"</f>
        <v>פרויקט HARNESS W535 115</v>
      </c>
      <c r="O491">
        <v>967.33</v>
      </c>
      <c r="P491" t="str">
        <f>"$"</f>
        <v>$</v>
      </c>
      <c r="Q491" t="str">
        <f>"117"</f>
        <v>117</v>
      </c>
      <c r="R491" t="str">
        <f>"רתמות"</f>
        <v>רתמות</v>
      </c>
      <c r="S491" t="str">
        <f>"034"</f>
        <v>034</v>
      </c>
      <c r="T491" t="str">
        <f>"חן בזק"</f>
        <v>חן בזק</v>
      </c>
      <c r="U491">
        <v>0</v>
      </c>
      <c r="V491">
        <v>0</v>
      </c>
      <c r="W491">
        <v>967.33</v>
      </c>
      <c r="X491">
        <v>967.33</v>
      </c>
      <c r="Z491" t="str">
        <f>"Y"</f>
        <v>Y</v>
      </c>
      <c r="AA491">
        <v>0</v>
      </c>
      <c r="AC491">
        <v>0</v>
      </c>
      <c r="AE491">
        <v>0</v>
      </c>
      <c r="AF491">
        <v>0</v>
      </c>
      <c r="AG491" s="2">
        <v>3309.24</v>
      </c>
      <c r="AH491">
        <v>0</v>
      </c>
      <c r="AI491" s="2">
        <v>3309.24</v>
      </c>
      <c r="AJ491">
        <v>967.33</v>
      </c>
      <c r="AK491">
        <v>967.33</v>
      </c>
      <c r="AL491" t="str">
        <f>"$"</f>
        <v>$</v>
      </c>
    </row>
    <row r="492" spans="1:38" x14ac:dyDescent="0.3">
      <c r="A492" t="str">
        <f>"SO20000329"</f>
        <v>SO20000329</v>
      </c>
      <c r="B492" t="str">
        <f>"E000316426"</f>
        <v>E000316426</v>
      </c>
      <c r="C492" t="str">
        <f>"בוצעה"</f>
        <v>בוצעה</v>
      </c>
      <c r="E492" s="3">
        <v>44035</v>
      </c>
      <c r="F492" s="3">
        <v>44160</v>
      </c>
      <c r="G492" t="str">
        <f>"700065"</f>
        <v>700065</v>
      </c>
      <c r="H492" t="str">
        <f>"אלתא מערכות בע""מ"</f>
        <v>אלתא מערכות בע"מ</v>
      </c>
      <c r="I492" t="str">
        <f>"ערן שלו"</f>
        <v>ערן שלו</v>
      </c>
      <c r="J492" t="str">
        <f>"OP-AR01654"</f>
        <v>OP-AR01654</v>
      </c>
      <c r="K492" s="1" t="str">
        <f>"1041G352-001 W352 - SHELTER AND CU RACK TO ANT"</f>
        <v>1041G352-001 W352 - SHELTER AND CU RACK TO ANT</v>
      </c>
      <c r="L492">
        <v>1</v>
      </c>
      <c r="M492" t="str">
        <f>"PR20000524"</f>
        <v>PR20000524</v>
      </c>
      <c r="N492" t="str">
        <f>"פרויקט HARNESS W535 115"</f>
        <v>פרויקט HARNESS W535 115</v>
      </c>
      <c r="O492" s="2">
        <v>3183.15</v>
      </c>
      <c r="P492" t="str">
        <f>"$"</f>
        <v>$</v>
      </c>
      <c r="Q492" t="str">
        <f>"117"</f>
        <v>117</v>
      </c>
      <c r="R492" t="str">
        <f>"רתמות"</f>
        <v>רתמות</v>
      </c>
      <c r="S492" t="str">
        <f>"034"</f>
        <v>034</v>
      </c>
      <c r="T492" t="str">
        <f>"חן בזק"</f>
        <v>חן בזק</v>
      </c>
      <c r="U492">
        <v>0</v>
      </c>
      <c r="V492">
        <v>0</v>
      </c>
      <c r="W492" s="2">
        <v>3183.15</v>
      </c>
      <c r="X492" s="2">
        <v>3183.15</v>
      </c>
      <c r="Z492" t="str">
        <f>"Y"</f>
        <v>Y</v>
      </c>
      <c r="AA492">
        <v>0</v>
      </c>
      <c r="AC492">
        <v>0</v>
      </c>
      <c r="AE492">
        <v>0</v>
      </c>
      <c r="AF492">
        <v>0</v>
      </c>
      <c r="AG492" s="2">
        <v>10889.56</v>
      </c>
      <c r="AH492">
        <v>0</v>
      </c>
      <c r="AI492" s="2">
        <v>10889.56</v>
      </c>
      <c r="AJ492" s="2">
        <v>3183.15</v>
      </c>
      <c r="AK492" s="2">
        <v>3183.15</v>
      </c>
      <c r="AL492" t="str">
        <f>"$"</f>
        <v>$</v>
      </c>
    </row>
    <row r="493" spans="1:38" x14ac:dyDescent="0.3">
      <c r="A493" t="str">
        <f>"SO20000329"</f>
        <v>SO20000329</v>
      </c>
      <c r="B493" t="str">
        <f>"E000316426"</f>
        <v>E000316426</v>
      </c>
      <c r="C493" t="str">
        <f>"בוצעה"</f>
        <v>בוצעה</v>
      </c>
      <c r="E493" s="3">
        <v>44035</v>
      </c>
      <c r="F493" s="3">
        <v>44160</v>
      </c>
      <c r="G493" t="str">
        <f>"700065"</f>
        <v>700065</v>
      </c>
      <c r="H493" t="str">
        <f>"אלתא מערכות בע""מ"</f>
        <v>אלתא מערכות בע"מ</v>
      </c>
      <c r="I493" t="str">
        <f>"ערן שלו"</f>
        <v>ערן שלו</v>
      </c>
      <c r="J493" t="str">
        <f>"OP-AR01655"</f>
        <v>OP-AR01655</v>
      </c>
      <c r="K493" s="1" t="str">
        <f>"1041G354-001 W354 - PWR FROM SHELTER TO ANT UNIT"</f>
        <v>1041G354-001 W354 - PWR FROM SHELTER TO ANT UNIT</v>
      </c>
      <c r="L493">
        <v>1</v>
      </c>
      <c r="M493" t="str">
        <f>"PR20000524"</f>
        <v>PR20000524</v>
      </c>
      <c r="N493" t="str">
        <f>"פרויקט HARNESS W535 115"</f>
        <v>פרויקט HARNESS W535 115</v>
      </c>
      <c r="O493" s="2">
        <v>1334.63</v>
      </c>
      <c r="P493" t="str">
        <f>"$"</f>
        <v>$</v>
      </c>
      <c r="Q493" t="str">
        <f>"117"</f>
        <v>117</v>
      </c>
      <c r="R493" t="str">
        <f>"רתמות"</f>
        <v>רתמות</v>
      </c>
      <c r="S493" t="str">
        <f>"034"</f>
        <v>034</v>
      </c>
      <c r="T493" t="str">
        <f>"חן בזק"</f>
        <v>חן בזק</v>
      </c>
      <c r="U493">
        <v>0</v>
      </c>
      <c r="V493">
        <v>0</v>
      </c>
      <c r="W493" s="2">
        <v>1334.63</v>
      </c>
      <c r="X493" s="2">
        <v>1334.63</v>
      </c>
      <c r="Z493" t="str">
        <f>"Y"</f>
        <v>Y</v>
      </c>
      <c r="AA493">
        <v>0</v>
      </c>
      <c r="AC493">
        <v>0</v>
      </c>
      <c r="AE493">
        <v>0</v>
      </c>
      <c r="AF493">
        <v>0</v>
      </c>
      <c r="AG493" s="2">
        <v>4565.7700000000004</v>
      </c>
      <c r="AH493">
        <v>0</v>
      </c>
      <c r="AI493" s="2">
        <v>4565.7700000000004</v>
      </c>
      <c r="AJ493" s="2">
        <v>1334.63</v>
      </c>
      <c r="AK493" s="2">
        <v>1334.63</v>
      </c>
      <c r="AL493" t="str">
        <f>"$"</f>
        <v>$</v>
      </c>
    </row>
    <row r="494" spans="1:38" x14ac:dyDescent="0.3">
      <c r="A494" t="str">
        <f>"SO20000329"</f>
        <v>SO20000329</v>
      </c>
      <c r="B494" t="str">
        <f>"E000316426"</f>
        <v>E000316426</v>
      </c>
      <c r="C494" t="str">
        <f>"בוצעה"</f>
        <v>בוצעה</v>
      </c>
      <c r="E494" s="3">
        <v>44035</v>
      </c>
      <c r="F494" s="3">
        <v>44160</v>
      </c>
      <c r="G494" t="str">
        <f>"700065"</f>
        <v>700065</v>
      </c>
      <c r="H494" t="str">
        <f>"אלתא מערכות בע""מ"</f>
        <v>אלתא מערכות בע"מ</v>
      </c>
      <c r="I494" t="str">
        <f>"ערן שלו"</f>
        <v>ערן שלו</v>
      </c>
      <c r="J494" t="str">
        <f>"OP-AR01656"</f>
        <v>OP-AR01656</v>
      </c>
      <c r="K494" s="1" t="str">
        <f>"1041G356-001 W356 - CU RACK TO PEDESTAL - POWER"</f>
        <v>1041G356-001 W356 - CU RACK TO PEDESTAL - POWER</v>
      </c>
      <c r="L494">
        <v>1</v>
      </c>
      <c r="M494" t="str">
        <f>"PR20000524"</f>
        <v>PR20000524</v>
      </c>
      <c r="N494" t="str">
        <f>"פרויקט HARNESS W535 115"</f>
        <v>פרויקט HARNESS W535 115</v>
      </c>
      <c r="O494">
        <v>846.71</v>
      </c>
      <c r="P494" t="str">
        <f>"$"</f>
        <v>$</v>
      </c>
      <c r="Q494" t="str">
        <f>"117"</f>
        <v>117</v>
      </c>
      <c r="R494" t="str">
        <f>"רתמות"</f>
        <v>רתמות</v>
      </c>
      <c r="S494" t="str">
        <f>"034"</f>
        <v>034</v>
      </c>
      <c r="T494" t="str">
        <f>"חן בזק"</f>
        <v>חן בזק</v>
      </c>
      <c r="U494">
        <v>0</v>
      </c>
      <c r="V494">
        <v>0</v>
      </c>
      <c r="W494">
        <v>846.71</v>
      </c>
      <c r="X494">
        <v>846.71</v>
      </c>
      <c r="Z494" t="str">
        <f>"Y"</f>
        <v>Y</v>
      </c>
      <c r="AA494">
        <v>0</v>
      </c>
      <c r="AC494">
        <v>0</v>
      </c>
      <c r="AE494">
        <v>0</v>
      </c>
      <c r="AF494">
        <v>0</v>
      </c>
      <c r="AG494" s="2">
        <v>2896.59</v>
      </c>
      <c r="AH494">
        <v>0</v>
      </c>
      <c r="AI494" s="2">
        <v>2896.59</v>
      </c>
      <c r="AJ494">
        <v>846.71</v>
      </c>
      <c r="AK494">
        <v>846.71</v>
      </c>
      <c r="AL494" t="str">
        <f>"$"</f>
        <v>$</v>
      </c>
    </row>
    <row r="495" spans="1:38" x14ac:dyDescent="0.3">
      <c r="A495" t="str">
        <f>"SO20000329"</f>
        <v>SO20000329</v>
      </c>
      <c r="B495" t="str">
        <f>"E000316426"</f>
        <v>E000316426</v>
      </c>
      <c r="C495" t="str">
        <f>"בוצעה"</f>
        <v>בוצעה</v>
      </c>
      <c r="E495" s="3">
        <v>44035</v>
      </c>
      <c r="F495" s="3">
        <v>44160</v>
      </c>
      <c r="G495" t="str">
        <f>"700065"</f>
        <v>700065</v>
      </c>
      <c r="H495" t="str">
        <f>"אלתא מערכות בע""מ"</f>
        <v>אלתא מערכות בע"מ</v>
      </c>
      <c r="I495" t="str">
        <f>"ערן שלו"</f>
        <v>ערן שלו</v>
      </c>
      <c r="J495" t="str">
        <f>"OP-AR01657"</f>
        <v>OP-AR01657</v>
      </c>
      <c r="K495" s="1" t="str">
        <f>"1041G363-001 W363- SHELTER TO PEDESTAL SPARE"</f>
        <v>1041G363-001 W363- SHELTER TO PEDESTAL SPARE</v>
      </c>
      <c r="L495">
        <v>1</v>
      </c>
      <c r="M495" t="str">
        <f>"PR20000524"</f>
        <v>PR20000524</v>
      </c>
      <c r="N495" t="str">
        <f>"פרויקט HARNESS W535 115"</f>
        <v>פרויקט HARNESS W535 115</v>
      </c>
      <c r="O495">
        <v>856.66</v>
      </c>
      <c r="P495" t="str">
        <f>"$"</f>
        <v>$</v>
      </c>
      <c r="Q495" t="str">
        <f>"117"</f>
        <v>117</v>
      </c>
      <c r="R495" t="str">
        <f>"רתמות"</f>
        <v>רתמות</v>
      </c>
      <c r="S495" t="str">
        <f>"034"</f>
        <v>034</v>
      </c>
      <c r="T495" t="str">
        <f>"חן בזק"</f>
        <v>חן בזק</v>
      </c>
      <c r="U495">
        <v>0</v>
      </c>
      <c r="V495">
        <v>0</v>
      </c>
      <c r="W495">
        <v>856.66</v>
      </c>
      <c r="X495">
        <v>856.66</v>
      </c>
      <c r="Z495" t="str">
        <f>"Y"</f>
        <v>Y</v>
      </c>
      <c r="AA495">
        <v>0</v>
      </c>
      <c r="AC495">
        <v>0</v>
      </c>
      <c r="AE495">
        <v>0</v>
      </c>
      <c r="AF495">
        <v>0</v>
      </c>
      <c r="AG495" s="2">
        <v>2930.63</v>
      </c>
      <c r="AH495">
        <v>0</v>
      </c>
      <c r="AI495" s="2">
        <v>2930.63</v>
      </c>
      <c r="AJ495">
        <v>856.66</v>
      </c>
      <c r="AK495">
        <v>856.66</v>
      </c>
      <c r="AL495" t="str">
        <f>"$"</f>
        <v>$</v>
      </c>
    </row>
    <row r="496" spans="1:38" x14ac:dyDescent="0.3">
      <c r="A496" t="str">
        <f>"SO20000329"</f>
        <v>SO20000329</v>
      </c>
      <c r="B496" t="str">
        <f>"E000316426"</f>
        <v>E000316426</v>
      </c>
      <c r="C496" t="str">
        <f>"בוצעה"</f>
        <v>בוצעה</v>
      </c>
      <c r="E496" s="3">
        <v>44035</v>
      </c>
      <c r="F496" s="3">
        <v>44160</v>
      </c>
      <c r="G496" t="str">
        <f>"700065"</f>
        <v>700065</v>
      </c>
      <c r="H496" t="str">
        <f>"אלתא מערכות בע""מ"</f>
        <v>אלתא מערכות בע"מ</v>
      </c>
      <c r="I496" t="str">
        <f>"ערן שלו"</f>
        <v>ערן שלו</v>
      </c>
      <c r="J496" t="str">
        <f>"OP-AR01658"</f>
        <v>OP-AR01658</v>
      </c>
      <c r="K496" s="1" t="str">
        <f>"1041G355-001 W355 - LIMIT SWITCHES, CU RACK TO P"</f>
        <v>1041G355-001 W355 - LIMIT SWITCHES, CU RACK TO P</v>
      </c>
      <c r="L496">
        <v>1</v>
      </c>
      <c r="M496" t="str">
        <f>"PR20000524"</f>
        <v>PR20000524</v>
      </c>
      <c r="N496" t="str">
        <f>"פרויקט HARNESS W535 115"</f>
        <v>פרויקט HARNESS W535 115</v>
      </c>
      <c r="O496" s="2">
        <v>1711.17</v>
      </c>
      <c r="P496" t="str">
        <f>"$"</f>
        <v>$</v>
      </c>
      <c r="Q496" t="str">
        <f>"117"</f>
        <v>117</v>
      </c>
      <c r="R496" t="str">
        <f>"רתמות"</f>
        <v>רתמות</v>
      </c>
      <c r="S496" t="str">
        <f>"034"</f>
        <v>034</v>
      </c>
      <c r="T496" t="str">
        <f>"חן בזק"</f>
        <v>חן בזק</v>
      </c>
      <c r="U496">
        <v>0</v>
      </c>
      <c r="V496">
        <v>0</v>
      </c>
      <c r="W496" s="2">
        <v>1711.17</v>
      </c>
      <c r="X496" s="2">
        <v>1711.17</v>
      </c>
      <c r="Z496" t="str">
        <f>"Y"</f>
        <v>Y</v>
      </c>
      <c r="AA496">
        <v>0</v>
      </c>
      <c r="AC496">
        <v>0</v>
      </c>
      <c r="AE496">
        <v>0</v>
      </c>
      <c r="AF496">
        <v>0</v>
      </c>
      <c r="AG496" s="2">
        <v>5853.91</v>
      </c>
      <c r="AH496">
        <v>0</v>
      </c>
      <c r="AI496" s="2">
        <v>5853.91</v>
      </c>
      <c r="AJ496" s="2">
        <v>1711.17</v>
      </c>
      <c r="AK496" s="2">
        <v>1711.17</v>
      </c>
      <c r="AL496" t="str">
        <f>"$"</f>
        <v>$</v>
      </c>
    </row>
    <row r="497" spans="1:38" x14ac:dyDescent="0.3">
      <c r="A497" t="str">
        <f>"SO20000329"</f>
        <v>SO20000329</v>
      </c>
      <c r="B497" t="str">
        <f>"E000316426"</f>
        <v>E000316426</v>
      </c>
      <c r="C497" t="str">
        <f>"בוצעה"</f>
        <v>בוצעה</v>
      </c>
      <c r="E497" s="3">
        <v>44035</v>
      </c>
      <c r="F497" s="3">
        <v>44160</v>
      </c>
      <c r="G497" t="str">
        <f>"700065"</f>
        <v>700065</v>
      </c>
      <c r="H497" t="str">
        <f>"אלתא מערכות בע""מ"</f>
        <v>אלתא מערכות בע"מ</v>
      </c>
      <c r="I497" t="str">
        <f>"ערן שלו"</f>
        <v>ערן שלו</v>
      </c>
      <c r="J497" t="str">
        <f>"OP-AR01659"</f>
        <v>OP-AR01659</v>
      </c>
      <c r="K497" s="1" t="str">
        <f>"1041G353-001 W353 - SHELTER TO PEDESTAL (CAMERA)"</f>
        <v>1041G353-001 W353 - SHELTER TO PEDESTAL (CAMERA)</v>
      </c>
      <c r="L497">
        <v>1</v>
      </c>
      <c r="M497" t="str">
        <f>"PR20000524"</f>
        <v>PR20000524</v>
      </c>
      <c r="N497" t="str">
        <f>"פרויקט HARNESS W535 115"</f>
        <v>פרויקט HARNESS W535 115</v>
      </c>
      <c r="O497">
        <v>806.46</v>
      </c>
      <c r="P497" t="str">
        <f>"$"</f>
        <v>$</v>
      </c>
      <c r="Q497" t="str">
        <f>"117"</f>
        <v>117</v>
      </c>
      <c r="R497" t="str">
        <f>"רתמות"</f>
        <v>רתמות</v>
      </c>
      <c r="S497" t="str">
        <f>"034"</f>
        <v>034</v>
      </c>
      <c r="T497" t="str">
        <f>"חן בזק"</f>
        <v>חן בזק</v>
      </c>
      <c r="U497">
        <v>0</v>
      </c>
      <c r="V497">
        <v>0</v>
      </c>
      <c r="W497">
        <v>806.46</v>
      </c>
      <c r="X497">
        <v>806.46</v>
      </c>
      <c r="Z497" t="str">
        <f>"Y"</f>
        <v>Y</v>
      </c>
      <c r="AA497">
        <v>0</v>
      </c>
      <c r="AC497">
        <v>0</v>
      </c>
      <c r="AE497">
        <v>0</v>
      </c>
      <c r="AF497">
        <v>0</v>
      </c>
      <c r="AG497" s="2">
        <v>2758.9</v>
      </c>
      <c r="AH497">
        <v>0</v>
      </c>
      <c r="AI497" s="2">
        <v>2758.9</v>
      </c>
      <c r="AJ497">
        <v>806.46</v>
      </c>
      <c r="AK497">
        <v>806.46</v>
      </c>
      <c r="AL497" t="str">
        <f>"$"</f>
        <v>$</v>
      </c>
    </row>
    <row r="498" spans="1:38" x14ac:dyDescent="0.3">
      <c r="A498" t="str">
        <f>"SO20000329"</f>
        <v>SO20000329</v>
      </c>
      <c r="B498" t="str">
        <f>"E000316426"</f>
        <v>E000316426</v>
      </c>
      <c r="C498" t="str">
        <f>"בוצעה"</f>
        <v>בוצעה</v>
      </c>
      <c r="E498" s="3">
        <v>44035</v>
      </c>
      <c r="F498" s="3">
        <v>44160</v>
      </c>
      <c r="G498" t="str">
        <f>"700065"</f>
        <v>700065</v>
      </c>
      <c r="H498" t="str">
        <f>"אלתא מערכות בע""מ"</f>
        <v>אלתא מערכות בע"מ</v>
      </c>
      <c r="I498" t="str">
        <f>"ערן שלו"</f>
        <v>ערן שלו</v>
      </c>
      <c r="J498" t="str">
        <f>"OP-AR01602"</f>
        <v>OP-AR01602</v>
      </c>
      <c r="K498" s="1" t="str">
        <f>"1030W535-001 HARNESS W535 PEDESTAL LIMIT SWITCH"</f>
        <v>1030W535-001 HARNESS W535 PEDESTAL LIMIT SWITCH</v>
      </c>
      <c r="L498">
        <v>1</v>
      </c>
      <c r="M498" t="str">
        <f>"PR20000524"</f>
        <v>PR20000524</v>
      </c>
      <c r="N498" t="str">
        <f>"פרויקט HARNESS W535 115"</f>
        <v>פרויקט HARNESS W535 115</v>
      </c>
      <c r="O498">
        <v>727.8</v>
      </c>
      <c r="P498" t="str">
        <f>"$"</f>
        <v>$</v>
      </c>
      <c r="Q498" t="str">
        <f>"117"</f>
        <v>117</v>
      </c>
      <c r="R498" t="str">
        <f>"רתמות"</f>
        <v>רתמות</v>
      </c>
      <c r="S498" t="str">
        <f>"034"</f>
        <v>034</v>
      </c>
      <c r="T498" t="str">
        <f>"חן בזק"</f>
        <v>חן בזק</v>
      </c>
      <c r="U498">
        <v>0</v>
      </c>
      <c r="V498">
        <v>0</v>
      </c>
      <c r="W498">
        <v>727.8</v>
      </c>
      <c r="X498">
        <v>727.8</v>
      </c>
      <c r="Z498" t="str">
        <f>"Y"</f>
        <v>Y</v>
      </c>
      <c r="AA498">
        <v>0</v>
      </c>
      <c r="AC498">
        <v>0</v>
      </c>
      <c r="AE498">
        <v>0</v>
      </c>
      <c r="AF498">
        <v>0</v>
      </c>
      <c r="AG498" s="2">
        <v>2489.8000000000002</v>
      </c>
      <c r="AH498">
        <v>0</v>
      </c>
      <c r="AI498" s="2">
        <v>2489.8000000000002</v>
      </c>
      <c r="AJ498">
        <v>727.8</v>
      </c>
      <c r="AK498">
        <v>727.8</v>
      </c>
      <c r="AL498" t="str">
        <f>"$"</f>
        <v>$</v>
      </c>
    </row>
    <row r="499" spans="1:38" x14ac:dyDescent="0.3">
      <c r="A499" t="str">
        <f>"SO20000329"</f>
        <v>SO20000329</v>
      </c>
      <c r="B499" t="str">
        <f>"E000316426"</f>
        <v>E000316426</v>
      </c>
      <c r="C499" t="str">
        <f>"בוצעה"</f>
        <v>בוצעה</v>
      </c>
      <c r="E499" s="3">
        <v>44035</v>
      </c>
      <c r="F499" s="3">
        <v>44270</v>
      </c>
      <c r="G499" t="str">
        <f>"700065"</f>
        <v>700065</v>
      </c>
      <c r="H499" t="str">
        <f>"אלתא מערכות בע""מ"</f>
        <v>אלתא מערכות בע"מ</v>
      </c>
      <c r="I499" t="str">
        <f>"ערן שלו"</f>
        <v>ערן שלו</v>
      </c>
      <c r="J499" t="str">
        <f>"000"</f>
        <v>000</v>
      </c>
      <c r="K499" s="1" t="str">
        <f>"שינויים ברתמות"</f>
        <v>שינויים ברתמות</v>
      </c>
      <c r="L499">
        <v>1</v>
      </c>
      <c r="M499" t="str">
        <f>"PR20000524"</f>
        <v>PR20000524</v>
      </c>
      <c r="N499" t="str">
        <f>"פרויקט HARNESS W535 115"</f>
        <v>פרויקט HARNESS W535 115</v>
      </c>
      <c r="O499" s="2">
        <v>1231</v>
      </c>
      <c r="P499" t="str">
        <f>"$"</f>
        <v>$</v>
      </c>
      <c r="Q499" t="str">
        <f>"117"</f>
        <v>117</v>
      </c>
      <c r="R499" t="str">
        <f>"רתמות"</f>
        <v>רתמות</v>
      </c>
      <c r="S499" t="str">
        <f>"034"</f>
        <v>034</v>
      </c>
      <c r="T499" t="str">
        <f>"חן בזק"</f>
        <v>חן בזק</v>
      </c>
      <c r="U499">
        <v>0</v>
      </c>
      <c r="V499">
        <v>0</v>
      </c>
      <c r="W499" s="2">
        <v>1231</v>
      </c>
      <c r="X499" s="2">
        <v>1231</v>
      </c>
      <c r="Z499" t="str">
        <f>"Y"</f>
        <v>Y</v>
      </c>
      <c r="AA499">
        <v>1</v>
      </c>
      <c r="AC499">
        <v>0</v>
      </c>
      <c r="AE499">
        <v>0</v>
      </c>
      <c r="AF499">
        <v>0</v>
      </c>
      <c r="AG499" s="2">
        <v>4211.25</v>
      </c>
      <c r="AH499">
        <v>0</v>
      </c>
      <c r="AI499" s="2">
        <v>4211.25</v>
      </c>
      <c r="AJ499" s="2">
        <v>1231</v>
      </c>
      <c r="AK499" s="2">
        <v>1231</v>
      </c>
      <c r="AL499" t="str">
        <f>"$"</f>
        <v>$</v>
      </c>
    </row>
    <row r="500" spans="1:38" x14ac:dyDescent="0.3">
      <c r="A500" t="str">
        <f>"SO20000332"</f>
        <v>SO20000332</v>
      </c>
      <c r="B500" t="str">
        <f>"E000317502"</f>
        <v>E000317502</v>
      </c>
      <c r="C500" t="str">
        <f>"בוצעה"</f>
        <v>בוצעה</v>
      </c>
      <c r="E500" s="3">
        <v>44039</v>
      </c>
      <c r="F500" s="3">
        <v>44195</v>
      </c>
      <c r="G500" t="str">
        <f>"700065"</f>
        <v>700065</v>
      </c>
      <c r="H500" t="str">
        <f>"אלתא מערכות בע""מ"</f>
        <v>אלתא מערכות בע"מ</v>
      </c>
      <c r="I500" t="str">
        <f>"ערן שלו"</f>
        <v>ערן שלו</v>
      </c>
      <c r="J500" t="str">
        <f>"OP-AR01941"</f>
        <v>OP-AR01941</v>
      </c>
      <c r="K500" s="1" t="str">
        <f>"1013P657-001/- CABLE ASSY 1W27"</f>
        <v>1013P657-001/- CABLE ASSY 1W27</v>
      </c>
      <c r="L500">
        <v>1</v>
      </c>
      <c r="M500" t="str">
        <f>"PR20000521"</f>
        <v>PR20000521</v>
      </c>
      <c r="N500" t="str">
        <f>"CABLE ASSY 1W27"</f>
        <v>CABLE ASSY 1W27</v>
      </c>
      <c r="O500">
        <v>704.8</v>
      </c>
      <c r="P500" t="str">
        <f>"$"</f>
        <v>$</v>
      </c>
      <c r="Q500" t="str">
        <f>"000"</f>
        <v>000</v>
      </c>
      <c r="R500" t="str">
        <f>"כללית"</f>
        <v>כללית</v>
      </c>
      <c r="S500" t="str">
        <f>"034"</f>
        <v>034</v>
      </c>
      <c r="T500" t="str">
        <f>"חן בזק"</f>
        <v>חן בזק</v>
      </c>
      <c r="U500">
        <v>0</v>
      </c>
      <c r="V500">
        <v>0</v>
      </c>
      <c r="W500">
        <v>704.8</v>
      </c>
      <c r="X500">
        <v>704.8</v>
      </c>
      <c r="Z500" t="str">
        <f>"Y"</f>
        <v>Y</v>
      </c>
      <c r="AA500">
        <v>0</v>
      </c>
      <c r="AC500">
        <v>0</v>
      </c>
      <c r="AE500">
        <v>0</v>
      </c>
      <c r="AF500">
        <v>0</v>
      </c>
      <c r="AG500" s="2">
        <v>2405.48</v>
      </c>
      <c r="AH500">
        <v>0</v>
      </c>
      <c r="AI500" s="2">
        <v>2405.48</v>
      </c>
      <c r="AJ500">
        <v>704.8</v>
      </c>
      <c r="AK500">
        <v>704.8</v>
      </c>
      <c r="AL500" t="str">
        <f>"$"</f>
        <v>$</v>
      </c>
    </row>
    <row r="501" spans="1:38" x14ac:dyDescent="0.3">
      <c r="A501" t="str">
        <f>"SO20000332"</f>
        <v>SO20000332</v>
      </c>
      <c r="B501" t="str">
        <f>"E000317502"</f>
        <v>E000317502</v>
      </c>
      <c r="C501" t="str">
        <f>"בוצעה"</f>
        <v>בוצעה</v>
      </c>
      <c r="E501" s="3">
        <v>44039</v>
      </c>
      <c r="F501" s="3">
        <v>44195</v>
      </c>
      <c r="G501" t="str">
        <f>"700065"</f>
        <v>700065</v>
      </c>
      <c r="H501" t="str">
        <f>"אלתא מערכות בע""מ"</f>
        <v>אלתא מערכות בע"מ</v>
      </c>
      <c r="I501" t="str">
        <f>"ערן שלו"</f>
        <v>ערן שלו</v>
      </c>
      <c r="J501" t="str">
        <f>"OP-AR01942"</f>
        <v>OP-AR01942</v>
      </c>
      <c r="K501" s="1" t="str">
        <f>"1013P662-001/- CABLE ASSY 1W20"</f>
        <v>1013P662-001/- CABLE ASSY 1W20</v>
      </c>
      <c r="L501">
        <v>1</v>
      </c>
      <c r="M501" t="str">
        <f>"PR20000521"</f>
        <v>PR20000521</v>
      </c>
      <c r="N501" t="str">
        <f>"CABLE ASSY 1W27"</f>
        <v>CABLE ASSY 1W27</v>
      </c>
      <c r="O501" s="2">
        <v>2016.43</v>
      </c>
      <c r="P501" t="str">
        <f>"$"</f>
        <v>$</v>
      </c>
      <c r="Q501" t="str">
        <f>"000"</f>
        <v>000</v>
      </c>
      <c r="R501" t="str">
        <f>"כללית"</f>
        <v>כללית</v>
      </c>
      <c r="S501" t="str">
        <f>"034"</f>
        <v>034</v>
      </c>
      <c r="T501" t="str">
        <f>"חן בזק"</f>
        <v>חן בזק</v>
      </c>
      <c r="U501">
        <v>0</v>
      </c>
      <c r="V501">
        <v>0</v>
      </c>
      <c r="W501" s="2">
        <v>2016.43</v>
      </c>
      <c r="X501" s="2">
        <v>2016.43</v>
      </c>
      <c r="Z501" t="str">
        <f>"Y"</f>
        <v>Y</v>
      </c>
      <c r="AA501">
        <v>0</v>
      </c>
      <c r="AC501">
        <v>0</v>
      </c>
      <c r="AE501">
        <v>0</v>
      </c>
      <c r="AF501">
        <v>0</v>
      </c>
      <c r="AG501" s="2">
        <v>6882.08</v>
      </c>
      <c r="AH501">
        <v>0</v>
      </c>
      <c r="AI501" s="2">
        <v>6882.08</v>
      </c>
      <c r="AJ501" s="2">
        <v>2016.43</v>
      </c>
      <c r="AK501" s="2">
        <v>2016.43</v>
      </c>
      <c r="AL501" t="str">
        <f>"$"</f>
        <v>$</v>
      </c>
    </row>
    <row r="502" spans="1:38" x14ac:dyDescent="0.3">
      <c r="A502" t="str">
        <f>"SO20000333"</f>
        <v>SO20000333</v>
      </c>
      <c r="B502" t="str">
        <f>"E000317706"</f>
        <v>E000317706</v>
      </c>
      <c r="C502" t="str">
        <f>"בוצעה"</f>
        <v>בוצעה</v>
      </c>
      <c r="E502" s="3">
        <v>44039</v>
      </c>
      <c r="F502" s="3">
        <v>44130</v>
      </c>
      <c r="G502" t="str">
        <f>"700065"</f>
        <v>700065</v>
      </c>
      <c r="H502" t="str">
        <f>"אלתא מערכות בע""מ"</f>
        <v>אלתא מערכות בע"מ</v>
      </c>
      <c r="I502" t="str">
        <f>"ערן שלו"</f>
        <v>ערן שלו</v>
      </c>
      <c r="J502" t="str">
        <f>"OP-AR01943"</f>
        <v>OP-AR01943</v>
      </c>
      <c r="K502" s="1" t="str">
        <f>"1035E115-001 - ETHERNET CABLE W0115"</f>
        <v>1035E115-001 - ETHERNET CABLE W0115</v>
      </c>
      <c r="L502">
        <v>1</v>
      </c>
      <c r="M502" t="str">
        <f>"PR20000522"</f>
        <v>PR20000522</v>
      </c>
      <c r="N502" t="str">
        <f>"CABLE W0115 - PDB TO ROTOR UNIO"</f>
        <v>CABLE W0115 - PDB TO ROTOR UNIO</v>
      </c>
      <c r="O502" s="2">
        <v>2190.4899999999998</v>
      </c>
      <c r="P502" t="str">
        <f>"$"</f>
        <v>$</v>
      </c>
      <c r="Q502" t="str">
        <f>"000"</f>
        <v>000</v>
      </c>
      <c r="R502" t="str">
        <f>"כללית"</f>
        <v>כללית</v>
      </c>
      <c r="S502" t="str">
        <f>"034"</f>
        <v>034</v>
      </c>
      <c r="T502" t="str">
        <f>"חן בזק"</f>
        <v>חן בזק</v>
      </c>
      <c r="U502">
        <v>0</v>
      </c>
      <c r="V502">
        <v>0</v>
      </c>
      <c r="W502" s="2">
        <v>2190.4899999999998</v>
      </c>
      <c r="X502" s="2">
        <v>2190.4899999999998</v>
      </c>
      <c r="Z502" t="str">
        <f>"Y"</f>
        <v>Y</v>
      </c>
      <c r="AA502">
        <v>0</v>
      </c>
      <c r="AC502">
        <v>0</v>
      </c>
      <c r="AE502">
        <v>0</v>
      </c>
      <c r="AF502">
        <v>0</v>
      </c>
      <c r="AG502" s="2">
        <v>7476.14</v>
      </c>
      <c r="AH502">
        <v>0</v>
      </c>
      <c r="AI502" s="2">
        <v>7476.14</v>
      </c>
      <c r="AJ502" s="2">
        <v>2190.4899999999998</v>
      </c>
      <c r="AK502" s="2">
        <v>2190.4899999999998</v>
      </c>
      <c r="AL502" t="str">
        <f>"$"</f>
        <v>$</v>
      </c>
    </row>
    <row r="503" spans="1:38" x14ac:dyDescent="0.3">
      <c r="A503" t="str">
        <f>"SO20000333"</f>
        <v>SO20000333</v>
      </c>
      <c r="B503" t="str">
        <f>"E000317706"</f>
        <v>E000317706</v>
      </c>
      <c r="C503" t="str">
        <f>"בוצעה"</f>
        <v>בוצעה</v>
      </c>
      <c r="E503" s="3">
        <v>44039</v>
      </c>
      <c r="F503" s="3">
        <v>44130</v>
      </c>
      <c r="G503" t="str">
        <f>"700065"</f>
        <v>700065</v>
      </c>
      <c r="H503" t="str">
        <f>"אלתא מערכות בע""מ"</f>
        <v>אלתא מערכות בע"מ</v>
      </c>
      <c r="I503" t="str">
        <f>"ערן שלו"</f>
        <v>ערן שלו</v>
      </c>
      <c r="J503" t="str">
        <f>"OP-AR01944"</f>
        <v>OP-AR01944</v>
      </c>
      <c r="K503" s="1" t="str">
        <f>"1035E116-001 - ETHERNET CABLE W0116"</f>
        <v>1035E116-001 - ETHERNET CABLE W0116</v>
      </c>
      <c r="L503">
        <v>1</v>
      </c>
      <c r="M503" t="str">
        <f>"PR20000522"</f>
        <v>PR20000522</v>
      </c>
      <c r="N503" t="str">
        <f>"CABLE W0115 - PDB TO ROTOR UNIO"</f>
        <v>CABLE W0115 - PDB TO ROTOR UNIO</v>
      </c>
      <c r="O503">
        <v>654.05999999999995</v>
      </c>
      <c r="P503" t="str">
        <f>"$"</f>
        <v>$</v>
      </c>
      <c r="Q503" t="str">
        <f>"000"</f>
        <v>000</v>
      </c>
      <c r="R503" t="str">
        <f>"כללית"</f>
        <v>כללית</v>
      </c>
      <c r="S503" t="str">
        <f>"034"</f>
        <v>034</v>
      </c>
      <c r="T503" t="str">
        <f>"חן בזק"</f>
        <v>חן בזק</v>
      </c>
      <c r="U503">
        <v>0</v>
      </c>
      <c r="V503">
        <v>0</v>
      </c>
      <c r="W503">
        <v>654.05999999999995</v>
      </c>
      <c r="X503">
        <v>654.05999999999995</v>
      </c>
      <c r="Z503" t="str">
        <f>"Y"</f>
        <v>Y</v>
      </c>
      <c r="AA503">
        <v>0</v>
      </c>
      <c r="AC503">
        <v>0</v>
      </c>
      <c r="AE503">
        <v>0</v>
      </c>
      <c r="AF503">
        <v>0</v>
      </c>
      <c r="AG503" s="2">
        <v>2232.31</v>
      </c>
      <c r="AH503">
        <v>0</v>
      </c>
      <c r="AI503" s="2">
        <v>2232.31</v>
      </c>
      <c r="AJ503">
        <v>654.05999999999995</v>
      </c>
      <c r="AK503">
        <v>654.05999999999995</v>
      </c>
      <c r="AL503" t="str">
        <f>"$"</f>
        <v>$</v>
      </c>
    </row>
    <row r="504" spans="1:38" x14ac:dyDescent="0.3">
      <c r="A504" t="str">
        <f>"SO20000334"</f>
        <v>SO20000334</v>
      </c>
      <c r="B504" t="str">
        <f>"פנמית"</f>
        <v>פנמית</v>
      </c>
      <c r="C504" t="str">
        <f>"בוצעה"</f>
        <v>בוצעה</v>
      </c>
      <c r="E504" s="3">
        <v>44039</v>
      </c>
      <c r="F504" s="3">
        <v>44039</v>
      </c>
      <c r="G504" t="str">
        <f>"700065"</f>
        <v>700065</v>
      </c>
      <c r="H504" t="str">
        <f>"אלתא מערכות בע""מ"</f>
        <v>אלתא מערכות בע"מ</v>
      </c>
      <c r="I504" t="str">
        <f>"ערן שלו"</f>
        <v>ערן שלו</v>
      </c>
      <c r="J504" t="str">
        <f>"ZV0180187"</f>
        <v>ZV0180187</v>
      </c>
      <c r="K504" s="1" t="str">
        <f>"PLC CASE ASSY"</f>
        <v>PLC CASE ASSY</v>
      </c>
      <c r="L504">
        <v>1</v>
      </c>
      <c r="M504" t="str">
        <f>"PR19000371"</f>
        <v>PR19000371</v>
      </c>
      <c r="N504" t="str">
        <f>"ייצור רתמות עבור מערכת ספינות"</f>
        <v>ייצור רתמות עבור מערכת ספינות</v>
      </c>
      <c r="O504">
        <v>0</v>
      </c>
      <c r="P504" t="str">
        <f>"$"</f>
        <v>$</v>
      </c>
      <c r="Q504" t="str">
        <f>"070"</f>
        <v>070</v>
      </c>
      <c r="R504" t="str">
        <f>"הזמנה פנימית"</f>
        <v>הזמנה פנימית</v>
      </c>
      <c r="S504" t="str">
        <f>"034"</f>
        <v>034</v>
      </c>
      <c r="T504" t="str">
        <f>"גנם הודיה"</f>
        <v>גנם הודיה</v>
      </c>
      <c r="U504">
        <v>0</v>
      </c>
      <c r="V504">
        <v>0</v>
      </c>
      <c r="W504">
        <v>0</v>
      </c>
      <c r="X504">
        <v>0</v>
      </c>
      <c r="Z504" t="str">
        <f>"Y"</f>
        <v>Y</v>
      </c>
      <c r="AA504">
        <v>0</v>
      </c>
      <c r="AC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 t="str">
        <f>"$"</f>
        <v>$</v>
      </c>
    </row>
    <row r="505" spans="1:38" x14ac:dyDescent="0.3">
      <c r="A505" t="str">
        <f>"SO20000337"</f>
        <v>SO20000337</v>
      </c>
      <c r="B505" t="str">
        <f>"E000317142"</f>
        <v>E000317142</v>
      </c>
      <c r="C505" t="str">
        <f>"בוצעה"</f>
        <v>בוצעה</v>
      </c>
      <c r="E505" s="3">
        <v>44045</v>
      </c>
      <c r="F505" s="3">
        <v>44226</v>
      </c>
      <c r="G505" t="str">
        <f>"700065"</f>
        <v>700065</v>
      </c>
      <c r="H505" t="str">
        <f>"אלתא מערכות בע""מ"</f>
        <v>אלתא מערכות בע"מ</v>
      </c>
      <c r="I505" t="str">
        <f>"ערן שלו"</f>
        <v>ערן שלו</v>
      </c>
      <c r="J505" t="str">
        <f>"OP-AR01963"</f>
        <v>OP-AR01963</v>
      </c>
      <c r="K505" s="1" t="str">
        <f>"1031Y617-001/A - CABLE ASSY W101A"</f>
        <v>1031Y617-001/A - CABLE ASSY W101A</v>
      </c>
      <c r="L505">
        <v>2</v>
      </c>
      <c r="M505" t="str">
        <f>"PR20000530"</f>
        <v>PR20000530</v>
      </c>
      <c r="N505" t="str">
        <f>"W101A - PDB TO GATE BOX1 (SDU1)"</f>
        <v>W101A - PDB TO GATE BOX1 (SDU1)</v>
      </c>
      <c r="O505" s="2">
        <v>2984.8</v>
      </c>
      <c r="P505" t="str">
        <f>"$"</f>
        <v>$</v>
      </c>
      <c r="Q505" t="str">
        <f>"117"</f>
        <v>117</v>
      </c>
      <c r="R505" t="str">
        <f>"רתמות"</f>
        <v>רתמות</v>
      </c>
      <c r="S505" t="str">
        <f>"034"</f>
        <v>034</v>
      </c>
      <c r="T505" t="str">
        <f>"חן בזק"</f>
        <v>חן בזק</v>
      </c>
      <c r="U505">
        <v>0</v>
      </c>
      <c r="V505">
        <v>0</v>
      </c>
      <c r="W505" s="2">
        <v>2984.8</v>
      </c>
      <c r="X505" s="2">
        <v>5969.6</v>
      </c>
      <c r="Z505" t="str">
        <f>"Y"</f>
        <v>Y</v>
      </c>
      <c r="AA505">
        <v>0</v>
      </c>
      <c r="AC505">
        <v>0</v>
      </c>
      <c r="AE505">
        <v>0</v>
      </c>
      <c r="AF505">
        <v>0</v>
      </c>
      <c r="AG505" s="2">
        <v>10172.200000000001</v>
      </c>
      <c r="AH505">
        <v>0</v>
      </c>
      <c r="AI505" s="2">
        <v>20344.400000000001</v>
      </c>
      <c r="AJ505" s="2">
        <v>5969.6</v>
      </c>
      <c r="AK505" s="2">
        <v>5969.6</v>
      </c>
      <c r="AL505" t="str">
        <f>"$"</f>
        <v>$</v>
      </c>
    </row>
    <row r="506" spans="1:38" x14ac:dyDescent="0.3">
      <c r="A506" t="str">
        <f>"SO20000337"</f>
        <v>SO20000337</v>
      </c>
      <c r="B506" t="str">
        <f>"E000317142"</f>
        <v>E000317142</v>
      </c>
      <c r="C506" t="str">
        <f>"בוצעה"</f>
        <v>בוצעה</v>
      </c>
      <c r="E506" s="3">
        <v>44045</v>
      </c>
      <c r="F506" s="3">
        <v>44195</v>
      </c>
      <c r="G506" t="str">
        <f>"700065"</f>
        <v>700065</v>
      </c>
      <c r="H506" t="str">
        <f>"אלתא מערכות בע""מ"</f>
        <v>אלתא מערכות בע"מ</v>
      </c>
      <c r="I506" t="str">
        <f>"ערן שלו"</f>
        <v>ערן שלו</v>
      </c>
      <c r="J506" t="str">
        <f>"OP-AR01964"</f>
        <v>OP-AR01964</v>
      </c>
      <c r="K506" s="1" t="str">
        <f>"1031Y636-001/A - CABLE ASSY W101B"</f>
        <v>1031Y636-001/A - CABLE ASSY W101B</v>
      </c>
      <c r="L506">
        <v>2</v>
      </c>
      <c r="M506" t="str">
        <f>"PR20000530"</f>
        <v>PR20000530</v>
      </c>
      <c r="N506" t="str">
        <f>"W101A - PDB TO GATE BOX1 (SDU1)"</f>
        <v>W101A - PDB TO GATE BOX1 (SDU1)</v>
      </c>
      <c r="O506" s="2">
        <v>2960.54</v>
      </c>
      <c r="P506" t="str">
        <f>"$"</f>
        <v>$</v>
      </c>
      <c r="Q506" t="str">
        <f>"117"</f>
        <v>117</v>
      </c>
      <c r="R506" t="str">
        <f>"רתמות"</f>
        <v>רתמות</v>
      </c>
      <c r="S506" t="str">
        <f>"034"</f>
        <v>034</v>
      </c>
      <c r="T506" t="str">
        <f>"חן בזק"</f>
        <v>חן בזק</v>
      </c>
      <c r="U506">
        <v>0</v>
      </c>
      <c r="V506">
        <v>0</v>
      </c>
      <c r="W506" s="2">
        <v>2960.54</v>
      </c>
      <c r="X506" s="2">
        <v>5921.08</v>
      </c>
      <c r="Z506" t="str">
        <f>"Y"</f>
        <v>Y</v>
      </c>
      <c r="AA506">
        <v>0</v>
      </c>
      <c r="AC506">
        <v>0</v>
      </c>
      <c r="AE506">
        <v>0</v>
      </c>
      <c r="AF506">
        <v>0</v>
      </c>
      <c r="AG506" s="2">
        <v>10089.52</v>
      </c>
      <c r="AH506">
        <v>0</v>
      </c>
      <c r="AI506" s="2">
        <v>20179.04</v>
      </c>
      <c r="AJ506" s="2">
        <v>5921.08</v>
      </c>
      <c r="AK506" s="2">
        <v>5921.08</v>
      </c>
      <c r="AL506" t="str">
        <f>"$"</f>
        <v>$</v>
      </c>
    </row>
    <row r="507" spans="1:38" x14ac:dyDescent="0.3">
      <c r="A507" t="str">
        <f>"SO20000337"</f>
        <v>SO20000337</v>
      </c>
      <c r="B507" t="str">
        <f>"E000317142"</f>
        <v>E000317142</v>
      </c>
      <c r="C507" t="str">
        <f>"בוצעה"</f>
        <v>בוצעה</v>
      </c>
      <c r="E507" s="3">
        <v>44045</v>
      </c>
      <c r="F507" s="3">
        <v>44226</v>
      </c>
      <c r="G507" t="str">
        <f>"700065"</f>
        <v>700065</v>
      </c>
      <c r="H507" t="str">
        <f>"אלתא מערכות בע""מ"</f>
        <v>אלתא מערכות בע"מ</v>
      </c>
      <c r="I507" t="str">
        <f>"ערן שלו"</f>
        <v>ערן שלו</v>
      </c>
      <c r="J507" t="str">
        <f>"OP-AR01965"</f>
        <v>OP-AR01965</v>
      </c>
      <c r="K507" s="1" t="str">
        <f>"1031Y637-001/A - CABLE ASSY WC101"</f>
        <v>1031Y637-001/A - CABLE ASSY WC101</v>
      </c>
      <c r="L507">
        <v>2</v>
      </c>
      <c r="M507" t="str">
        <f>"PR20000530"</f>
        <v>PR20000530</v>
      </c>
      <c r="N507" t="str">
        <f>"W101A - PDB TO GATE BOX1 (SDU1)"</f>
        <v>W101A - PDB TO GATE BOX1 (SDU1)</v>
      </c>
      <c r="O507" s="2">
        <v>3852.22</v>
      </c>
      <c r="P507" t="str">
        <f>"$"</f>
        <v>$</v>
      </c>
      <c r="Q507" t="str">
        <f>"117"</f>
        <v>117</v>
      </c>
      <c r="R507" t="str">
        <f>"רתמות"</f>
        <v>רתמות</v>
      </c>
      <c r="S507" t="str">
        <f>"034"</f>
        <v>034</v>
      </c>
      <c r="T507" t="str">
        <f>"חן בזק"</f>
        <v>חן בזק</v>
      </c>
      <c r="U507">
        <v>0</v>
      </c>
      <c r="V507">
        <v>0</v>
      </c>
      <c r="W507" s="2">
        <v>3852.22</v>
      </c>
      <c r="X507" s="2">
        <v>7704.44</v>
      </c>
      <c r="Z507" t="str">
        <f>"Y"</f>
        <v>Y</v>
      </c>
      <c r="AA507">
        <v>0</v>
      </c>
      <c r="AC507">
        <v>0</v>
      </c>
      <c r="AE507">
        <v>0</v>
      </c>
      <c r="AF507">
        <v>0</v>
      </c>
      <c r="AG507" s="2">
        <v>13128.37</v>
      </c>
      <c r="AH507">
        <v>0</v>
      </c>
      <c r="AI507" s="2">
        <v>26256.73</v>
      </c>
      <c r="AJ507" s="2">
        <v>7704.44</v>
      </c>
      <c r="AK507" s="2">
        <v>7704.44</v>
      </c>
      <c r="AL507" t="str">
        <f>"$"</f>
        <v>$</v>
      </c>
    </row>
    <row r="508" spans="1:38" x14ac:dyDescent="0.3">
      <c r="A508" t="str">
        <f>"SO20000337"</f>
        <v>SO20000337</v>
      </c>
      <c r="B508" t="str">
        <f>"E000317142"</f>
        <v>E000317142</v>
      </c>
      <c r="C508" t="str">
        <f>"בוצעה"</f>
        <v>בוצעה</v>
      </c>
      <c r="E508" s="3">
        <v>44045</v>
      </c>
      <c r="F508" s="3">
        <v>44195</v>
      </c>
      <c r="G508" t="str">
        <f>"700065"</f>
        <v>700065</v>
      </c>
      <c r="H508" t="str">
        <f>"אלתא מערכות בע""מ"</f>
        <v>אלתא מערכות בע"מ</v>
      </c>
      <c r="I508" t="str">
        <f>"ערן שלו"</f>
        <v>ערן שלו</v>
      </c>
      <c r="J508" t="str">
        <f>"OP-AR01966"</f>
        <v>OP-AR01966</v>
      </c>
      <c r="K508" s="1" t="str">
        <f>"NRE FOR E000317142"</f>
        <v>NRE FOR E000317142</v>
      </c>
      <c r="L508">
        <v>1</v>
      </c>
      <c r="M508" t="str">
        <f>"PR20000530"</f>
        <v>PR20000530</v>
      </c>
      <c r="N508" t="str">
        <f>"W101A - PDB TO GATE BOX1 (SDU1)"</f>
        <v>W101A - PDB TO GATE BOX1 (SDU1)</v>
      </c>
      <c r="O508">
        <v>507</v>
      </c>
      <c r="P508" t="str">
        <f>"$"</f>
        <v>$</v>
      </c>
      <c r="Q508" t="str">
        <f>"117"</f>
        <v>117</v>
      </c>
      <c r="R508" t="str">
        <f>"רתמות"</f>
        <v>רתמות</v>
      </c>
      <c r="S508" t="str">
        <f>"034"</f>
        <v>034</v>
      </c>
      <c r="T508" t="str">
        <f>"חן בזק"</f>
        <v>חן בזק</v>
      </c>
      <c r="U508">
        <v>0</v>
      </c>
      <c r="V508">
        <v>0</v>
      </c>
      <c r="W508">
        <v>507</v>
      </c>
      <c r="X508">
        <v>507</v>
      </c>
      <c r="Z508" t="str">
        <f>"Y"</f>
        <v>Y</v>
      </c>
      <c r="AA508">
        <v>1</v>
      </c>
      <c r="AC508">
        <v>0</v>
      </c>
      <c r="AE508">
        <v>0</v>
      </c>
      <c r="AF508">
        <v>0</v>
      </c>
      <c r="AG508" s="2">
        <v>1727.86</v>
      </c>
      <c r="AH508">
        <v>0</v>
      </c>
      <c r="AI508" s="2">
        <v>1727.86</v>
      </c>
      <c r="AJ508">
        <v>507</v>
      </c>
      <c r="AK508">
        <v>507</v>
      </c>
      <c r="AL508" t="str">
        <f>"$"</f>
        <v>$</v>
      </c>
    </row>
    <row r="509" spans="1:38" x14ac:dyDescent="0.3">
      <c r="A509" t="str">
        <f>"SO20000338"</f>
        <v>SO20000338</v>
      </c>
      <c r="B509" t="str">
        <f>"E000317820"</f>
        <v>E000317820</v>
      </c>
      <c r="C509" t="str">
        <f>"בוצעה"</f>
        <v>בוצעה</v>
      </c>
      <c r="E509" s="3">
        <v>44045</v>
      </c>
      <c r="F509" s="3">
        <v>36892</v>
      </c>
      <c r="G509" t="str">
        <f>"700065"</f>
        <v>700065</v>
      </c>
      <c r="H509" t="str">
        <f>"אלתא מערכות בע""מ"</f>
        <v>אלתא מערכות בע"מ</v>
      </c>
      <c r="I509" t="str">
        <f>"ערן שלו"</f>
        <v>ערן שלו</v>
      </c>
      <c r="J509" t="str">
        <f>"OP-AR01962"</f>
        <v>OP-AR01962</v>
      </c>
      <c r="K509" s="1" t="str">
        <f>"1025R273-001/-01  MOTOR CONNECTOR"</f>
        <v>1025R273-001/-01  MOTOR CONNECTOR</v>
      </c>
      <c r="L509">
        <v>0</v>
      </c>
      <c r="M509" t="str">
        <f>"PR20000531"</f>
        <v>PR20000531</v>
      </c>
      <c r="N509" t="str">
        <f>"MOTOR CONNECTOR"</f>
        <v>MOTOR CONNECTOR</v>
      </c>
      <c r="O509">
        <v>267.52999999999997</v>
      </c>
      <c r="P509" t="str">
        <f>"$"</f>
        <v>$</v>
      </c>
      <c r="Q509" t="str">
        <f>"117"</f>
        <v>117</v>
      </c>
      <c r="R509" t="str">
        <f>"רתמות"</f>
        <v>רתמות</v>
      </c>
      <c r="S509" t="str">
        <f>"034"</f>
        <v>034</v>
      </c>
      <c r="T509" t="str">
        <f>"מוסקוביץ אולגה"</f>
        <v>מוסקוביץ אולגה</v>
      </c>
      <c r="U509">
        <v>0</v>
      </c>
      <c r="V509">
        <v>0</v>
      </c>
      <c r="W509">
        <v>267.52999999999997</v>
      </c>
      <c r="X509">
        <v>0</v>
      </c>
      <c r="Z509" t="str">
        <f>"Y"</f>
        <v>Y</v>
      </c>
      <c r="AA509">
        <v>0</v>
      </c>
      <c r="AC509">
        <v>0</v>
      </c>
      <c r="AE509">
        <v>0</v>
      </c>
      <c r="AF509">
        <v>0</v>
      </c>
      <c r="AG509">
        <v>911.74</v>
      </c>
      <c r="AH509">
        <v>0</v>
      </c>
      <c r="AI509">
        <v>0</v>
      </c>
      <c r="AJ509">
        <v>0</v>
      </c>
      <c r="AK509">
        <v>0</v>
      </c>
      <c r="AL509" t="str">
        <f>"$"</f>
        <v>$</v>
      </c>
    </row>
    <row r="510" spans="1:38" x14ac:dyDescent="0.3">
      <c r="A510" t="str">
        <f>"SO20000338"</f>
        <v>SO20000338</v>
      </c>
      <c r="B510" t="str">
        <f>"E000317820"</f>
        <v>E000317820</v>
      </c>
      <c r="C510" t="str">
        <f>"בוצעה"</f>
        <v>בוצעה</v>
      </c>
      <c r="E510" s="3">
        <v>44045</v>
      </c>
      <c r="F510" s="3">
        <v>44165</v>
      </c>
      <c r="G510" t="str">
        <f>"700065"</f>
        <v>700065</v>
      </c>
      <c r="H510" t="str">
        <f>"אלתא מערכות בע""מ"</f>
        <v>אלתא מערכות בע"מ</v>
      </c>
      <c r="I510" t="str">
        <f>"ערן שלו"</f>
        <v>ערן שלו</v>
      </c>
      <c r="J510" t="str">
        <f>"PA0700049"</f>
        <v>PA0700049</v>
      </c>
      <c r="K510" s="1" t="str">
        <f>"מחבר נייד נקבה D38999/26WE6SN"</f>
        <v>מחבר נייד נקבה D38999/26WE6SN</v>
      </c>
      <c r="L510">
        <v>72</v>
      </c>
      <c r="M510" t="str">
        <f>"PR20000531"</f>
        <v>PR20000531</v>
      </c>
      <c r="N510" t="str">
        <f>"MOTOR CONNECTOR"</f>
        <v>MOTOR CONNECTOR</v>
      </c>
      <c r="O510">
        <v>23.73</v>
      </c>
      <c r="P510" t="str">
        <f>"$"</f>
        <v>$</v>
      </c>
      <c r="Q510" t="str">
        <f>"117"</f>
        <v>117</v>
      </c>
      <c r="R510" t="str">
        <f>"רתמות"</f>
        <v>רתמות</v>
      </c>
      <c r="S510" t="str">
        <f>"034"</f>
        <v>034</v>
      </c>
      <c r="T510" t="str">
        <f>"מוסקוביץ אולגה"</f>
        <v>מוסקוביץ אולגה</v>
      </c>
      <c r="U510">
        <v>0</v>
      </c>
      <c r="V510">
        <v>0</v>
      </c>
      <c r="W510">
        <v>23.73</v>
      </c>
      <c r="X510" s="2">
        <v>1708.56</v>
      </c>
      <c r="Z510" t="str">
        <f>"Y"</f>
        <v>Y</v>
      </c>
      <c r="AA510">
        <v>0</v>
      </c>
      <c r="AC510">
        <v>0</v>
      </c>
      <c r="AE510">
        <v>0</v>
      </c>
      <c r="AF510">
        <v>0</v>
      </c>
      <c r="AG510">
        <v>80.87</v>
      </c>
      <c r="AH510">
        <v>0</v>
      </c>
      <c r="AI510" s="2">
        <v>5822.77</v>
      </c>
      <c r="AJ510" s="2">
        <v>1708.56</v>
      </c>
      <c r="AK510" s="2">
        <v>1708.56</v>
      </c>
      <c r="AL510" t="str">
        <f>"$"</f>
        <v>$</v>
      </c>
    </row>
    <row r="511" spans="1:38" x14ac:dyDescent="0.3">
      <c r="A511" t="str">
        <f>"SO20000338"</f>
        <v>SO20000338</v>
      </c>
      <c r="B511" t="str">
        <f>"E000317820"</f>
        <v>E000317820</v>
      </c>
      <c r="C511" t="str">
        <f>"בוצעה"</f>
        <v>בוצעה</v>
      </c>
      <c r="E511" s="3">
        <v>44045</v>
      </c>
      <c r="F511" s="3">
        <v>44165</v>
      </c>
      <c r="G511" t="str">
        <f>"700065"</f>
        <v>700065</v>
      </c>
      <c r="H511" t="str">
        <f>"אלתא מערכות בע""מ"</f>
        <v>אלתא מערכות בע"מ</v>
      </c>
      <c r="I511" t="str">
        <f>"ערן שלו"</f>
        <v>ערן שלו</v>
      </c>
      <c r="J511" t="str">
        <f>"PA11T40005"</f>
        <v>PA11T40005</v>
      </c>
      <c r="K511" s="1" t="str">
        <f>"בוט ישר ללא דבק 202K121-25-0"</f>
        <v>בוט ישר ללא דבק 202K121-25-0</v>
      </c>
      <c r="L511">
        <v>144</v>
      </c>
      <c r="M511" t="str">
        <f>"PR20000531"</f>
        <v>PR20000531</v>
      </c>
      <c r="N511" t="str">
        <f>"MOTOR CONNECTOR"</f>
        <v>MOTOR CONNECTOR</v>
      </c>
      <c r="O511">
        <v>2.31</v>
      </c>
      <c r="P511" t="str">
        <f>"$"</f>
        <v>$</v>
      </c>
      <c r="Q511" t="str">
        <f>"117"</f>
        <v>117</v>
      </c>
      <c r="R511" t="str">
        <f>"רתמות"</f>
        <v>רתמות</v>
      </c>
      <c r="S511" t="str">
        <f>"034"</f>
        <v>034</v>
      </c>
      <c r="T511" t="str">
        <f>"מוסקוביץ אולגה"</f>
        <v>מוסקוביץ אולגה</v>
      </c>
      <c r="U511">
        <v>0</v>
      </c>
      <c r="V511">
        <v>2.2599999999999998</v>
      </c>
      <c r="W511">
        <v>2.31</v>
      </c>
      <c r="X511">
        <v>332.64</v>
      </c>
      <c r="Z511" t="str">
        <f>"Y"</f>
        <v>Y</v>
      </c>
      <c r="AA511">
        <v>0</v>
      </c>
      <c r="AC511">
        <v>0</v>
      </c>
      <c r="AE511">
        <v>0</v>
      </c>
      <c r="AF511">
        <v>8.76</v>
      </c>
      <c r="AG511">
        <v>7.87</v>
      </c>
      <c r="AH511">
        <v>2.2599999999999998</v>
      </c>
      <c r="AI511" s="2">
        <v>1133.6400000000001</v>
      </c>
      <c r="AJ511">
        <v>332.64</v>
      </c>
      <c r="AK511">
        <v>332.64</v>
      </c>
      <c r="AL511" t="str">
        <f>"$"</f>
        <v>$</v>
      </c>
    </row>
    <row r="512" spans="1:38" x14ac:dyDescent="0.3">
      <c r="A512" t="str">
        <f>"SO20000338"</f>
        <v>SO20000338</v>
      </c>
      <c r="B512" t="str">
        <f>"E000317820"</f>
        <v>E000317820</v>
      </c>
      <c r="C512" t="str">
        <f>"בוצעה"</f>
        <v>בוצעה</v>
      </c>
      <c r="E512" s="3">
        <v>44045</v>
      </c>
      <c r="F512" s="3">
        <v>44165</v>
      </c>
      <c r="G512" t="str">
        <f>"700065"</f>
        <v>700065</v>
      </c>
      <c r="H512" t="str">
        <f>"אלתא מערכות בע""מ"</f>
        <v>אלתא מערכות בע"מ</v>
      </c>
      <c r="I512" t="str">
        <f>"ערן שלו"</f>
        <v>ערן שלו</v>
      </c>
      <c r="J512" t="str">
        <f>"PA1000608"</f>
        <v>PA1000608</v>
      </c>
      <c r="K512" s="1" t="str">
        <f>"מתאם לפלאג RQND-40AB-S-1506-SB"</f>
        <v>מתאם לפלאג RQND-40AB-S-1506-SB</v>
      </c>
      <c r="L512">
        <v>1</v>
      </c>
      <c r="M512" t="str">
        <f>"PR20000531"</f>
        <v>PR20000531</v>
      </c>
      <c r="N512" t="str">
        <f>"MOTOR CONNECTOR"</f>
        <v>MOTOR CONNECTOR</v>
      </c>
      <c r="O512" s="2">
        <v>1118.8800000000001</v>
      </c>
      <c r="P512" t="str">
        <f>"$"</f>
        <v>$</v>
      </c>
      <c r="Q512" t="str">
        <f>"117"</f>
        <v>117</v>
      </c>
      <c r="R512" t="str">
        <f>"רתמות"</f>
        <v>רתמות</v>
      </c>
      <c r="S512" t="str">
        <f>"034"</f>
        <v>034</v>
      </c>
      <c r="T512" t="str">
        <f>"מוסקוביץ אולגה"</f>
        <v>מוסקוביץ אולגה</v>
      </c>
      <c r="U512">
        <v>0</v>
      </c>
      <c r="V512">
        <v>0</v>
      </c>
      <c r="W512" s="2">
        <v>1118.8800000000001</v>
      </c>
      <c r="X512" s="2">
        <v>1118.8800000000001</v>
      </c>
      <c r="Z512" t="str">
        <f>"Y"</f>
        <v>Y</v>
      </c>
      <c r="AA512">
        <v>1</v>
      </c>
      <c r="AC512">
        <v>0</v>
      </c>
      <c r="AE512">
        <v>0</v>
      </c>
      <c r="AF512">
        <v>0</v>
      </c>
      <c r="AG512" s="2">
        <v>3813.14</v>
      </c>
      <c r="AH512">
        <v>0</v>
      </c>
      <c r="AI512" s="2">
        <v>3813.14</v>
      </c>
      <c r="AJ512" s="2">
        <v>1118.8800000000001</v>
      </c>
      <c r="AK512" s="2">
        <v>1118.8800000000001</v>
      </c>
      <c r="AL512" t="str">
        <f>"$"</f>
        <v>$</v>
      </c>
    </row>
    <row r="513" spans="1:38" x14ac:dyDescent="0.3">
      <c r="A513" t="str">
        <f>"SO20000338"</f>
        <v>SO20000338</v>
      </c>
      <c r="B513" t="str">
        <f>"E000317820"</f>
        <v>E000317820</v>
      </c>
      <c r="C513" t="str">
        <f>"בוצעה"</f>
        <v>בוצעה</v>
      </c>
      <c r="E513" s="3">
        <v>44045</v>
      </c>
      <c r="F513" s="3">
        <v>44165</v>
      </c>
      <c r="G513" t="str">
        <f>"700065"</f>
        <v>700065</v>
      </c>
      <c r="H513" t="str">
        <f>"אלתא מערכות בע""מ"</f>
        <v>אלתא מערכות בע"מ</v>
      </c>
      <c r="I513" t="str">
        <f>"ערן שלו"</f>
        <v>ערן שלו</v>
      </c>
      <c r="J513" t="str">
        <f>"PA1001556"</f>
        <v>PA1001556</v>
      </c>
      <c r="K513" s="1" t="str">
        <f>"מחבר TV07RW15-4P"</f>
        <v>מחבר TV07RW15-4P</v>
      </c>
      <c r="L513">
        <v>72</v>
      </c>
      <c r="M513" t="str">
        <f>"PR20000531"</f>
        <v>PR20000531</v>
      </c>
      <c r="N513" t="str">
        <f>"MOTOR CONNECTOR"</f>
        <v>MOTOR CONNECTOR</v>
      </c>
      <c r="O513">
        <v>71.989999999999995</v>
      </c>
      <c r="P513" t="str">
        <f>"$"</f>
        <v>$</v>
      </c>
      <c r="Q513" t="str">
        <f>"117"</f>
        <v>117</v>
      </c>
      <c r="R513" t="str">
        <f>"רתמות"</f>
        <v>רתמות</v>
      </c>
      <c r="S513" t="str">
        <f>"034"</f>
        <v>034</v>
      </c>
      <c r="T513" t="str">
        <f>"מוסקוביץ אולגה"</f>
        <v>מוסקוביץ אולגה</v>
      </c>
      <c r="U513">
        <v>0</v>
      </c>
      <c r="V513">
        <v>0</v>
      </c>
      <c r="W513">
        <v>71.989999999999995</v>
      </c>
      <c r="X513" s="2">
        <v>5183.28</v>
      </c>
      <c r="Z513" t="str">
        <f>"Y"</f>
        <v>Y</v>
      </c>
      <c r="AA513">
        <v>0</v>
      </c>
      <c r="AC513">
        <v>0</v>
      </c>
      <c r="AE513">
        <v>0</v>
      </c>
      <c r="AF513">
        <v>0</v>
      </c>
      <c r="AG513">
        <v>245.34</v>
      </c>
      <c r="AH513">
        <v>0</v>
      </c>
      <c r="AI513" s="2">
        <v>17664.62</v>
      </c>
      <c r="AJ513" s="2">
        <v>5183.28</v>
      </c>
      <c r="AK513" s="2">
        <v>5183.28</v>
      </c>
      <c r="AL513" t="str">
        <f>"$"</f>
        <v>$</v>
      </c>
    </row>
    <row r="514" spans="1:38" x14ac:dyDescent="0.3">
      <c r="A514" t="str">
        <f>"SO20000338"</f>
        <v>SO20000338</v>
      </c>
      <c r="B514" t="str">
        <f>"E000317820"</f>
        <v>E000317820</v>
      </c>
      <c r="C514" t="str">
        <f>"בוצעה"</f>
        <v>בוצעה</v>
      </c>
      <c r="E514" s="3">
        <v>44045</v>
      </c>
      <c r="F514" s="3">
        <v>44165</v>
      </c>
      <c r="G514" t="str">
        <f>"700065"</f>
        <v>700065</v>
      </c>
      <c r="H514" t="str">
        <f>"אלתא מערכות בע""מ"</f>
        <v>אלתא מערכות בע"מ</v>
      </c>
      <c r="I514" t="str">
        <f>"ערן שלו"</f>
        <v>ערן שלו</v>
      </c>
      <c r="J514" t="str">
        <f>"PA1000585"</f>
        <v>PA1000585</v>
      </c>
      <c r="K514" s="1" t="str">
        <f>"מתאם מסוכך RQND-40AB-S-1706-SB"</f>
        <v>מתאם מסוכך RQND-40AB-S-1706-SB</v>
      </c>
      <c r="L514">
        <v>72</v>
      </c>
      <c r="M514" t="str">
        <f>"PR20000531"</f>
        <v>PR20000531</v>
      </c>
      <c r="N514" t="str">
        <f>"MOTOR CONNECTOR"</f>
        <v>MOTOR CONNECTOR</v>
      </c>
      <c r="O514">
        <v>14.3</v>
      </c>
      <c r="P514" t="str">
        <f>"$"</f>
        <v>$</v>
      </c>
      <c r="Q514" t="str">
        <f>"117"</f>
        <v>117</v>
      </c>
      <c r="R514" t="str">
        <f>"רתמות"</f>
        <v>רתמות</v>
      </c>
      <c r="S514" t="str">
        <f>"034"</f>
        <v>034</v>
      </c>
      <c r="T514" t="str">
        <f>"מוסקוביץ אולגה"</f>
        <v>מוסקוביץ אולגה</v>
      </c>
      <c r="U514">
        <v>0</v>
      </c>
      <c r="V514">
        <v>0</v>
      </c>
      <c r="W514">
        <v>14.3</v>
      </c>
      <c r="X514" s="2">
        <v>1029.5999999999999</v>
      </c>
      <c r="Z514" t="str">
        <f>"Y"</f>
        <v>Y</v>
      </c>
      <c r="AA514">
        <v>0</v>
      </c>
      <c r="AC514">
        <v>0</v>
      </c>
      <c r="AE514">
        <v>0</v>
      </c>
      <c r="AF514">
        <v>0</v>
      </c>
      <c r="AG514">
        <v>48.73</v>
      </c>
      <c r="AH514">
        <v>0</v>
      </c>
      <c r="AI514" s="2">
        <v>3508.88</v>
      </c>
      <c r="AJ514" s="2">
        <v>1029.5999999999999</v>
      </c>
      <c r="AK514" s="2">
        <v>1029.5999999999999</v>
      </c>
      <c r="AL514" t="str">
        <f>"$"</f>
        <v>$</v>
      </c>
    </row>
    <row r="515" spans="1:38" x14ac:dyDescent="0.3">
      <c r="A515" t="str">
        <f>"SO20000338"</f>
        <v>SO20000338</v>
      </c>
      <c r="B515" t="str">
        <f>"E000317820"</f>
        <v>E000317820</v>
      </c>
      <c r="C515" t="str">
        <f>"בוצעה"</f>
        <v>בוצעה</v>
      </c>
      <c r="E515" s="3">
        <v>44045</v>
      </c>
      <c r="F515" s="3">
        <v>44255</v>
      </c>
      <c r="G515" t="str">
        <f>"700065"</f>
        <v>700065</v>
      </c>
      <c r="H515" t="str">
        <f>"אלתא מערכות בע""מ"</f>
        <v>אלתא מערכות בע"מ</v>
      </c>
      <c r="I515" t="str">
        <f>"ערן שלו"</f>
        <v>ערן שלו</v>
      </c>
      <c r="J515" t="str">
        <f>"PA1000608"</f>
        <v>PA1000608</v>
      </c>
      <c r="K515" s="1" t="str">
        <f>"מתאם לפלאג RQND-40AB-S-1506-SB"</f>
        <v>מתאם לפלאג RQND-40AB-S-1506-SB</v>
      </c>
      <c r="L515">
        <v>72</v>
      </c>
      <c r="M515" t="str">
        <f>"PR20000531"</f>
        <v>PR20000531</v>
      </c>
      <c r="N515" t="str">
        <f>"MOTOR CONNECTOR"</f>
        <v>MOTOR CONNECTOR</v>
      </c>
      <c r="O515">
        <v>14.28</v>
      </c>
      <c r="P515" t="str">
        <f>"$"</f>
        <v>$</v>
      </c>
      <c r="Q515" t="str">
        <f>"117"</f>
        <v>117</v>
      </c>
      <c r="R515" t="str">
        <f>"רתמות"</f>
        <v>רתמות</v>
      </c>
      <c r="S515" t="str">
        <f>"034"</f>
        <v>034</v>
      </c>
      <c r="T515" t="str">
        <f>"מוסקוביץ אולגה"</f>
        <v>מוסקוביץ אולגה</v>
      </c>
      <c r="U515">
        <v>0</v>
      </c>
      <c r="V515">
        <v>0</v>
      </c>
      <c r="W515">
        <v>14.28</v>
      </c>
      <c r="X515" s="2">
        <v>1028.1600000000001</v>
      </c>
      <c r="Z515" t="str">
        <f>"Y"</f>
        <v>Y</v>
      </c>
      <c r="AA515">
        <v>0</v>
      </c>
      <c r="AC515">
        <v>0</v>
      </c>
      <c r="AE515">
        <v>0</v>
      </c>
      <c r="AF515">
        <v>0</v>
      </c>
      <c r="AG515">
        <v>48.67</v>
      </c>
      <c r="AH515">
        <v>0</v>
      </c>
      <c r="AI515" s="2">
        <v>3503.97</v>
      </c>
      <c r="AJ515" s="2">
        <v>1028.1600000000001</v>
      </c>
      <c r="AK515" s="2">
        <v>1028.1600000000001</v>
      </c>
      <c r="AL515" t="str">
        <f>"$"</f>
        <v>$</v>
      </c>
    </row>
    <row r="516" spans="1:38" x14ac:dyDescent="0.3">
      <c r="A516" t="str">
        <f>"SO20000346"</f>
        <v>SO20000346</v>
      </c>
      <c r="B516" t="str">
        <f>"E000318002"</f>
        <v>E000318002</v>
      </c>
      <c r="C516" t="str">
        <f>"בוצעה"</f>
        <v>בוצעה</v>
      </c>
      <c r="E516" s="3">
        <v>44052</v>
      </c>
      <c r="F516" s="3">
        <v>44155</v>
      </c>
      <c r="G516" t="str">
        <f>"700065"</f>
        <v>700065</v>
      </c>
      <c r="H516" t="str">
        <f>"אלתא מערכות בע""מ"</f>
        <v>אלתא מערכות בע"מ</v>
      </c>
      <c r="I516" t="str">
        <f>"ערן שלו"</f>
        <v>ערן שלו</v>
      </c>
      <c r="J516" t="str">
        <f>"OP-AR01967"</f>
        <v>OP-AR01967</v>
      </c>
      <c r="K516" s="1" t="str">
        <f>"2055B580-001 - LAB POWER SUPPLY SPLITTER"</f>
        <v>2055B580-001 - LAB POWER SUPPLY SPLITTER</v>
      </c>
      <c r="L516">
        <v>2</v>
      </c>
      <c r="M516" t="str">
        <f>"PR20000529"</f>
        <v>PR20000529</v>
      </c>
      <c r="N516" t="str">
        <f>"LAB POWER SUPPLY SPLITTER"</f>
        <v>LAB POWER SUPPLY SPLITTER</v>
      </c>
      <c r="O516" s="2">
        <v>1831.87</v>
      </c>
      <c r="P516" t="str">
        <f>"$"</f>
        <v>$</v>
      </c>
      <c r="Q516" t="str">
        <f>"117"</f>
        <v>117</v>
      </c>
      <c r="R516" t="str">
        <f>"רתמות"</f>
        <v>רתמות</v>
      </c>
      <c r="S516" t="str">
        <f>"034"</f>
        <v>034</v>
      </c>
      <c r="T516" t="str">
        <f>"חן בזק"</f>
        <v>חן בזק</v>
      </c>
      <c r="U516">
        <v>0</v>
      </c>
      <c r="V516">
        <v>0</v>
      </c>
      <c r="W516" s="2">
        <v>1831.87</v>
      </c>
      <c r="X516" s="2">
        <v>3663.74</v>
      </c>
      <c r="Z516" t="str">
        <f>"Y"</f>
        <v>Y</v>
      </c>
      <c r="AA516">
        <v>0</v>
      </c>
      <c r="AC516">
        <v>0</v>
      </c>
      <c r="AE516">
        <v>0</v>
      </c>
      <c r="AF516">
        <v>0</v>
      </c>
      <c r="AG516" s="2">
        <v>6244.84</v>
      </c>
      <c r="AH516">
        <v>0</v>
      </c>
      <c r="AI516" s="2">
        <v>12489.69</v>
      </c>
      <c r="AJ516" s="2">
        <v>3663.74</v>
      </c>
      <c r="AK516" s="2">
        <v>3663.74</v>
      </c>
      <c r="AL516" t="str">
        <f>"$"</f>
        <v>$</v>
      </c>
    </row>
    <row r="517" spans="1:38" x14ac:dyDescent="0.3">
      <c r="A517" t="str">
        <f>"SO20000346"</f>
        <v>SO20000346</v>
      </c>
      <c r="B517" t="str">
        <f>"E000318002"</f>
        <v>E000318002</v>
      </c>
      <c r="C517" t="str">
        <f>"בוצעה"</f>
        <v>בוצעה</v>
      </c>
      <c r="E517" s="3">
        <v>44052</v>
      </c>
      <c r="F517" s="3">
        <v>44270</v>
      </c>
      <c r="G517" t="str">
        <f>"700065"</f>
        <v>700065</v>
      </c>
      <c r="H517" t="str">
        <f>"אלתא מערכות בע""מ"</f>
        <v>אלתא מערכות בע"מ</v>
      </c>
      <c r="I517" t="str">
        <f>"ערן שלו"</f>
        <v>ערן שלו</v>
      </c>
      <c r="J517" t="str">
        <f>"OP-AR01968"</f>
        <v>OP-AR01968</v>
      </c>
      <c r="K517" s="1" t="str">
        <f>"מתאמים למבדק  NRE FOR E000318002"</f>
        <v>מתאמים למבדק  NRE FOR E000318002</v>
      </c>
      <c r="L517">
        <v>1</v>
      </c>
      <c r="M517" t="str">
        <f>"PR20000529"</f>
        <v>PR20000529</v>
      </c>
      <c r="N517" t="str">
        <f>"LAB POWER SUPPLY SPLITTER"</f>
        <v>LAB POWER SUPPLY SPLITTER</v>
      </c>
      <c r="O517">
        <v>355</v>
      </c>
      <c r="P517" t="str">
        <f>"$"</f>
        <v>$</v>
      </c>
      <c r="Q517" t="str">
        <f>"117"</f>
        <v>117</v>
      </c>
      <c r="R517" t="str">
        <f>"רתמות"</f>
        <v>רתמות</v>
      </c>
      <c r="S517" t="str">
        <f>"034"</f>
        <v>034</v>
      </c>
      <c r="T517" t="str">
        <f>"חן בזק"</f>
        <v>חן בזק</v>
      </c>
      <c r="U517">
        <v>0</v>
      </c>
      <c r="V517">
        <v>0</v>
      </c>
      <c r="W517">
        <v>355</v>
      </c>
      <c r="X517">
        <v>355</v>
      </c>
      <c r="Z517" t="str">
        <f>"Y"</f>
        <v>Y</v>
      </c>
      <c r="AA517">
        <v>1</v>
      </c>
      <c r="AC517">
        <v>0</v>
      </c>
      <c r="AE517">
        <v>0</v>
      </c>
      <c r="AF517">
        <v>0</v>
      </c>
      <c r="AG517" s="2">
        <v>1210.2</v>
      </c>
      <c r="AH517">
        <v>0</v>
      </c>
      <c r="AI517" s="2">
        <v>1210.2</v>
      </c>
      <c r="AJ517">
        <v>355</v>
      </c>
      <c r="AK517">
        <v>355</v>
      </c>
      <c r="AL517" t="str">
        <f>"$"</f>
        <v>$</v>
      </c>
    </row>
    <row r="518" spans="1:38" x14ac:dyDescent="0.3">
      <c r="A518" t="str">
        <f>"SO20000350"</f>
        <v>SO20000350</v>
      </c>
      <c r="B518" t="str">
        <f>"פנימית"</f>
        <v>פנימית</v>
      </c>
      <c r="C518" t="str">
        <f>"בוצעה"</f>
        <v>בוצעה</v>
      </c>
      <c r="E518" s="3">
        <v>44053</v>
      </c>
      <c r="F518" s="3">
        <v>44053</v>
      </c>
      <c r="G518" t="str">
        <f>"700065"</f>
        <v>700065</v>
      </c>
      <c r="H518" t="str">
        <f>"אלתא מערכות בע""מ"</f>
        <v>אלתא מערכות בע"מ</v>
      </c>
      <c r="I518" t="str">
        <f>"ערן שלו"</f>
        <v>ערן שלו</v>
      </c>
      <c r="J518" t="str">
        <f>"cust00974"</f>
        <v>cust00974</v>
      </c>
      <c r="K518" s="1" t="str">
        <f>"320VDC 60KW SYSTEM אלתא - שדרוג"</f>
        <v>320VDC 60KW SYSTEM אלתא - שדרוג</v>
      </c>
      <c r="L518">
        <v>1</v>
      </c>
      <c r="O518">
        <v>0</v>
      </c>
      <c r="P518" t="str">
        <f>"$"</f>
        <v>$</v>
      </c>
      <c r="Q518" t="str">
        <f>"000"</f>
        <v>000</v>
      </c>
      <c r="R518" t="str">
        <f>"כללית"</f>
        <v>כללית</v>
      </c>
      <c r="S518" t="str">
        <f>"034"</f>
        <v>034</v>
      </c>
      <c r="T518" t="str">
        <f>"חן בזק"</f>
        <v>חן בזק</v>
      </c>
      <c r="U518">
        <v>0</v>
      </c>
      <c r="V518">
        <v>0</v>
      </c>
      <c r="W518">
        <v>0</v>
      </c>
      <c r="X518">
        <v>0</v>
      </c>
      <c r="Z518" t="str">
        <f>"Y"</f>
        <v>Y</v>
      </c>
      <c r="AA518">
        <v>0</v>
      </c>
      <c r="AC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 t="str">
        <f>"$"</f>
        <v>$</v>
      </c>
    </row>
    <row r="519" spans="1:38" x14ac:dyDescent="0.3">
      <c r="A519" t="str">
        <f>"SO20000364"</f>
        <v>SO20000364</v>
      </c>
      <c r="B519" t="str">
        <f>"E000319399"</f>
        <v>E000319399</v>
      </c>
      <c r="C519" t="str">
        <f>"בוצעה"</f>
        <v>בוצעה</v>
      </c>
      <c r="E519" s="3">
        <v>44061</v>
      </c>
      <c r="F519" s="3">
        <v>44140</v>
      </c>
      <c r="G519" t="str">
        <f>"700065"</f>
        <v>700065</v>
      </c>
      <c r="H519" t="str">
        <f>"אלתא מערכות בע""מ"</f>
        <v>אלתא מערכות בע"מ</v>
      </c>
      <c r="I519" t="str">
        <f>"ערן שלו"</f>
        <v>ערן שלו</v>
      </c>
      <c r="J519" t="str">
        <f>"OP-AR01975"</f>
        <v>OP-AR01975</v>
      </c>
      <c r="K519" s="1" t="str">
        <f>"2023E226-001/-01  CABLE ASSY POWER J1"</f>
        <v>2023E226-001/-01  CABLE ASSY POWER J1</v>
      </c>
      <c r="L519">
        <v>2</v>
      </c>
      <c r="M519" t="str">
        <f>"PR20000561"</f>
        <v>PR20000561</v>
      </c>
      <c r="N519" t="str">
        <f>"CABLE ASSY POWER J1"</f>
        <v>CABLE ASSY POWER J1</v>
      </c>
      <c r="O519">
        <v>342.36</v>
      </c>
      <c r="P519" t="str">
        <f>"$"</f>
        <v>$</v>
      </c>
      <c r="Q519" t="str">
        <f>"000"</f>
        <v>000</v>
      </c>
      <c r="R519" t="str">
        <f>"כללית"</f>
        <v>כללית</v>
      </c>
      <c r="S519" t="str">
        <f>"034"</f>
        <v>034</v>
      </c>
      <c r="T519" t="str">
        <f>"חן בזק"</f>
        <v>חן בזק</v>
      </c>
      <c r="U519">
        <v>0</v>
      </c>
      <c r="V519">
        <v>0</v>
      </c>
      <c r="W519">
        <v>342.36</v>
      </c>
      <c r="X519">
        <v>684.72</v>
      </c>
      <c r="Z519" t="str">
        <f>"Y"</f>
        <v>Y</v>
      </c>
      <c r="AA519">
        <v>0</v>
      </c>
      <c r="AC519">
        <v>0</v>
      </c>
      <c r="AE519">
        <v>0</v>
      </c>
      <c r="AF519">
        <v>0</v>
      </c>
      <c r="AG519" s="2">
        <v>1164.3699999999999</v>
      </c>
      <c r="AH519">
        <v>0</v>
      </c>
      <c r="AI519" s="2">
        <v>2328.73</v>
      </c>
      <c r="AJ519">
        <v>684.72</v>
      </c>
      <c r="AK519">
        <v>684.72</v>
      </c>
      <c r="AL519" t="str">
        <f>"$"</f>
        <v>$</v>
      </c>
    </row>
    <row r="520" spans="1:38" x14ac:dyDescent="0.3">
      <c r="A520" t="str">
        <f>"SO20000364"</f>
        <v>SO20000364</v>
      </c>
      <c r="B520" t="str">
        <f>"E000319399"</f>
        <v>E000319399</v>
      </c>
      <c r="C520" t="str">
        <f>"בוצעה"</f>
        <v>בוצעה</v>
      </c>
      <c r="E520" s="3">
        <v>44061</v>
      </c>
      <c r="F520" s="3">
        <v>44140</v>
      </c>
      <c r="G520" t="str">
        <f>"700065"</f>
        <v>700065</v>
      </c>
      <c r="H520" t="str">
        <f>"אלתא מערכות בע""מ"</f>
        <v>אלתא מערכות בע"מ</v>
      </c>
      <c r="I520" t="str">
        <f>"ערן שלו"</f>
        <v>ערן שלו</v>
      </c>
      <c r="J520" t="str">
        <f>"OP-AR01976"</f>
        <v>OP-AR01976</v>
      </c>
      <c r="K520" s="1" t="str">
        <f>"NRE FOR E000319399"</f>
        <v>NRE FOR E000319399</v>
      </c>
      <c r="L520">
        <v>1</v>
      </c>
      <c r="M520" t="str">
        <f>"PR20000561"</f>
        <v>PR20000561</v>
      </c>
      <c r="N520" t="str">
        <f>"CABLE ASSY POWER J1"</f>
        <v>CABLE ASSY POWER J1</v>
      </c>
      <c r="O520">
        <v>125</v>
      </c>
      <c r="P520" t="str">
        <f>"$"</f>
        <v>$</v>
      </c>
      <c r="Q520" t="str">
        <f>"000"</f>
        <v>000</v>
      </c>
      <c r="R520" t="str">
        <f>"כללית"</f>
        <v>כללית</v>
      </c>
      <c r="S520" t="str">
        <f>"034"</f>
        <v>034</v>
      </c>
      <c r="T520" t="str">
        <f>"חן בזק"</f>
        <v>חן בזק</v>
      </c>
      <c r="U520">
        <v>0</v>
      </c>
      <c r="V520">
        <v>0</v>
      </c>
      <c r="W520">
        <v>125</v>
      </c>
      <c r="X520">
        <v>125</v>
      </c>
      <c r="Z520" t="str">
        <f>"Y"</f>
        <v>Y</v>
      </c>
      <c r="AA520">
        <v>1</v>
      </c>
      <c r="AC520">
        <v>0</v>
      </c>
      <c r="AE520">
        <v>0</v>
      </c>
      <c r="AF520">
        <v>0</v>
      </c>
      <c r="AG520">
        <v>425.13</v>
      </c>
      <c r="AH520">
        <v>0</v>
      </c>
      <c r="AI520">
        <v>425.13</v>
      </c>
      <c r="AJ520">
        <v>125</v>
      </c>
      <c r="AK520">
        <v>125</v>
      </c>
      <c r="AL520" t="str">
        <f>"$"</f>
        <v>$</v>
      </c>
    </row>
    <row r="521" spans="1:38" x14ac:dyDescent="0.3">
      <c r="A521" t="str">
        <f>"SO20000365"</f>
        <v>SO20000365</v>
      </c>
      <c r="B521" t="str">
        <f>"E000318009"</f>
        <v>E000318009</v>
      </c>
      <c r="C521" t="str">
        <f>"בוצעה"</f>
        <v>בוצעה</v>
      </c>
      <c r="E521" s="3">
        <v>44062</v>
      </c>
      <c r="F521" s="3">
        <v>44150</v>
      </c>
      <c r="G521" t="str">
        <f>"700065"</f>
        <v>700065</v>
      </c>
      <c r="H521" t="str">
        <f>"אלתא מערכות בע""מ"</f>
        <v>אלתא מערכות בע"מ</v>
      </c>
      <c r="I521" t="str">
        <f>"ערן שלו"</f>
        <v>ערן שלו</v>
      </c>
      <c r="J521" t="str">
        <f>"OP-AR01971"</f>
        <v>OP-AR01971</v>
      </c>
      <c r="K521" s="1" t="str">
        <f>"2218B221-001/A - BFUW111 BL ANT CABLE ASSY"</f>
        <v>2218B221-001/A - BFUW111 BL ANT CABLE ASSY</v>
      </c>
      <c r="L521">
        <v>3</v>
      </c>
      <c r="M521" t="str">
        <f>"PR20000538"</f>
        <v>PR20000538</v>
      </c>
      <c r="N521" t="str">
        <f>"BFUW111 BL ANT CABLE ASSY"</f>
        <v>BFUW111 BL ANT CABLE ASSY</v>
      </c>
      <c r="O521" s="2">
        <v>1083.1400000000001</v>
      </c>
      <c r="P521" t="str">
        <f>"$"</f>
        <v>$</v>
      </c>
      <c r="Q521" t="str">
        <f>"117"</f>
        <v>117</v>
      </c>
      <c r="R521" t="str">
        <f>"רתמות"</f>
        <v>רתמות</v>
      </c>
      <c r="S521" t="str">
        <f>"034"</f>
        <v>034</v>
      </c>
      <c r="T521" t="str">
        <f>"חן בזק"</f>
        <v>חן בזק</v>
      </c>
      <c r="U521">
        <v>0</v>
      </c>
      <c r="V521">
        <v>0</v>
      </c>
      <c r="W521" s="2">
        <v>1083.1400000000001</v>
      </c>
      <c r="X521" s="2">
        <v>3249.42</v>
      </c>
      <c r="Z521" t="str">
        <f>"Y"</f>
        <v>Y</v>
      </c>
      <c r="AA521">
        <v>0</v>
      </c>
      <c r="AC521">
        <v>0</v>
      </c>
      <c r="AE521">
        <v>0</v>
      </c>
      <c r="AF521">
        <v>0</v>
      </c>
      <c r="AG521" s="2">
        <v>3682.68</v>
      </c>
      <c r="AH521">
        <v>0</v>
      </c>
      <c r="AI521" s="2">
        <v>11048.03</v>
      </c>
      <c r="AJ521" s="2">
        <v>3249.42</v>
      </c>
      <c r="AK521" s="2">
        <v>3249.42</v>
      </c>
      <c r="AL521" t="str">
        <f>"$"</f>
        <v>$</v>
      </c>
    </row>
    <row r="522" spans="1:38" x14ac:dyDescent="0.3">
      <c r="A522" t="str">
        <f>"SO20000365"</f>
        <v>SO20000365</v>
      </c>
      <c r="B522" t="str">
        <f>"E000318009"</f>
        <v>E000318009</v>
      </c>
      <c r="C522" t="str">
        <f>"בוצעה"</f>
        <v>בוצעה</v>
      </c>
      <c r="E522" s="3">
        <v>44062</v>
      </c>
      <c r="F522" s="3">
        <v>44150</v>
      </c>
      <c r="G522" t="str">
        <f>"700065"</f>
        <v>700065</v>
      </c>
      <c r="H522" t="str">
        <f>"אלתא מערכות בע""מ"</f>
        <v>אלתא מערכות בע"מ</v>
      </c>
      <c r="I522" t="str">
        <f>"ערן שלו"</f>
        <v>ערן שלו</v>
      </c>
      <c r="J522" t="str">
        <f>"OP-AR01972"</f>
        <v>OP-AR01972</v>
      </c>
      <c r="K522" s="1" t="str">
        <f>"2209B125-001/A - ASW321 PWR TO PC3 AND ANT ARIAH"</f>
        <v>2209B125-001/A - ASW321 PWR TO PC3 AND ANT ARIAH</v>
      </c>
      <c r="L522">
        <v>1</v>
      </c>
      <c r="M522" t="str">
        <f>"PR20000538"</f>
        <v>PR20000538</v>
      </c>
      <c r="N522" t="str">
        <f>"BFUW111 BL ANT CABLE ASSY"</f>
        <v>BFUW111 BL ANT CABLE ASSY</v>
      </c>
      <c r="O522">
        <v>631.61</v>
      </c>
      <c r="P522" t="str">
        <f>"$"</f>
        <v>$</v>
      </c>
      <c r="Q522" t="str">
        <f>"117"</f>
        <v>117</v>
      </c>
      <c r="R522" t="str">
        <f>"רתמות"</f>
        <v>רתמות</v>
      </c>
      <c r="S522" t="str">
        <f>"034"</f>
        <v>034</v>
      </c>
      <c r="T522" t="str">
        <f>"חן בזק"</f>
        <v>חן בזק</v>
      </c>
      <c r="U522">
        <v>0</v>
      </c>
      <c r="V522">
        <v>0</v>
      </c>
      <c r="W522">
        <v>631.61</v>
      </c>
      <c r="X522">
        <v>631.61</v>
      </c>
      <c r="Z522" t="str">
        <f>"Y"</f>
        <v>Y</v>
      </c>
      <c r="AA522">
        <v>0</v>
      </c>
      <c r="AC522">
        <v>0</v>
      </c>
      <c r="AE522">
        <v>0</v>
      </c>
      <c r="AF522">
        <v>0</v>
      </c>
      <c r="AG522" s="2">
        <v>2147.4699999999998</v>
      </c>
      <c r="AH522">
        <v>0</v>
      </c>
      <c r="AI522" s="2">
        <v>2147.4699999999998</v>
      </c>
      <c r="AJ522">
        <v>631.61</v>
      </c>
      <c r="AK522">
        <v>631.61</v>
      </c>
      <c r="AL522" t="str">
        <f>"$"</f>
        <v>$</v>
      </c>
    </row>
    <row r="523" spans="1:38" x14ac:dyDescent="0.3">
      <c r="A523" t="str">
        <f>"SO20000365"</f>
        <v>SO20000365</v>
      </c>
      <c r="B523" t="str">
        <f>"E000318009"</f>
        <v>E000318009</v>
      </c>
      <c r="C523" t="str">
        <f>"בוצעה"</f>
        <v>בוצעה</v>
      </c>
      <c r="E523" s="3">
        <v>44062</v>
      </c>
      <c r="F523" s="3">
        <v>44270</v>
      </c>
      <c r="G523" t="str">
        <f>"700065"</f>
        <v>700065</v>
      </c>
      <c r="H523" t="str">
        <f>"אלתא מערכות בע""מ"</f>
        <v>אלתא מערכות בע"מ</v>
      </c>
      <c r="I523" t="str">
        <f>"ערן שלו"</f>
        <v>ערן שלו</v>
      </c>
      <c r="J523" t="str">
        <f>"OP-AR01973"</f>
        <v>OP-AR01973</v>
      </c>
      <c r="K523" s="1" t="str">
        <f>"NRE FOR E000318009"</f>
        <v>NRE FOR E000318009</v>
      </c>
      <c r="L523">
        <v>1</v>
      </c>
      <c r="M523" t="str">
        <f>"PR20000538"</f>
        <v>PR20000538</v>
      </c>
      <c r="N523" t="str">
        <f>"BFUW111 BL ANT CABLE ASSY"</f>
        <v>BFUW111 BL ANT CABLE ASSY</v>
      </c>
      <c r="O523">
        <v>325</v>
      </c>
      <c r="P523" t="str">
        <f>"$"</f>
        <v>$</v>
      </c>
      <c r="Q523" t="str">
        <f>"117"</f>
        <v>117</v>
      </c>
      <c r="R523" t="str">
        <f>"רתמות"</f>
        <v>רתמות</v>
      </c>
      <c r="S523" t="str">
        <f>"034"</f>
        <v>034</v>
      </c>
      <c r="T523" t="str">
        <f>"חן בזק"</f>
        <v>חן בזק</v>
      </c>
      <c r="U523">
        <v>0</v>
      </c>
      <c r="V523">
        <v>0</v>
      </c>
      <c r="W523">
        <v>325</v>
      </c>
      <c r="X523">
        <v>325</v>
      </c>
      <c r="Z523" t="str">
        <f>"Y"</f>
        <v>Y</v>
      </c>
      <c r="AA523">
        <v>1</v>
      </c>
      <c r="AC523">
        <v>0</v>
      </c>
      <c r="AE523">
        <v>0</v>
      </c>
      <c r="AF523">
        <v>0</v>
      </c>
      <c r="AG523" s="2">
        <v>1105</v>
      </c>
      <c r="AH523">
        <v>0</v>
      </c>
      <c r="AI523" s="2">
        <v>1105</v>
      </c>
      <c r="AJ523">
        <v>325</v>
      </c>
      <c r="AK523">
        <v>325</v>
      </c>
      <c r="AL523" t="str">
        <f>"$"</f>
        <v>$</v>
      </c>
    </row>
    <row r="524" spans="1:38" x14ac:dyDescent="0.3">
      <c r="A524" t="str">
        <f>"SO20000367"</f>
        <v>SO20000367</v>
      </c>
      <c r="B524" t="str">
        <f>"E000319026"</f>
        <v>E000319026</v>
      </c>
      <c r="C524" t="str">
        <f>"בוצעה"</f>
        <v>בוצעה</v>
      </c>
      <c r="E524" s="3">
        <v>44067</v>
      </c>
      <c r="F524" s="3">
        <v>44167</v>
      </c>
      <c r="G524" t="str">
        <f>"700065"</f>
        <v>700065</v>
      </c>
      <c r="H524" t="str">
        <f>"אלתא מערכות בע""מ"</f>
        <v>אלתא מערכות בע"מ</v>
      </c>
      <c r="I524" t="str">
        <f>"ערן שלו"</f>
        <v>ערן שלו</v>
      </c>
      <c r="J524" t="str">
        <f>"OP-AR01780"</f>
        <v>OP-AR01780</v>
      </c>
      <c r="K524" s="1" t="str">
        <f>"1036U471-001 WP471 - PYLON LEFT SW2"</f>
        <v>1036U471-001 WP471 - PYLON LEFT SW2</v>
      </c>
      <c r="L524">
        <v>4</v>
      </c>
      <c r="M524" t="str">
        <f>"PR20000570"</f>
        <v>PR20000570</v>
      </c>
      <c r="N524" t="str">
        <f>"המשך לפרויקט 348"</f>
        <v>המשך לפרויקט 348</v>
      </c>
      <c r="O524">
        <v>608.89</v>
      </c>
      <c r="P524" t="str">
        <f>"$"</f>
        <v>$</v>
      </c>
      <c r="Q524" t="str">
        <f>"117"</f>
        <v>117</v>
      </c>
      <c r="R524" t="str">
        <f>"רתמות"</f>
        <v>רתמות</v>
      </c>
      <c r="S524" t="str">
        <f>"034"</f>
        <v>034</v>
      </c>
      <c r="T524" t="str">
        <f>"חן בזק"</f>
        <v>חן בזק</v>
      </c>
      <c r="U524">
        <v>0</v>
      </c>
      <c r="V524">
        <v>0</v>
      </c>
      <c r="W524">
        <v>608.89</v>
      </c>
      <c r="X524" s="2">
        <v>2435.56</v>
      </c>
      <c r="Z524" t="str">
        <f>"Y"</f>
        <v>Y</v>
      </c>
      <c r="AA524">
        <v>0</v>
      </c>
      <c r="AC524">
        <v>0</v>
      </c>
      <c r="AE524">
        <v>0</v>
      </c>
      <c r="AF524">
        <v>0</v>
      </c>
      <c r="AG524" s="2">
        <v>2071.44</v>
      </c>
      <c r="AH524">
        <v>0</v>
      </c>
      <c r="AI524" s="2">
        <v>8285.7800000000007</v>
      </c>
      <c r="AJ524" s="2">
        <v>2435.56</v>
      </c>
      <c r="AK524" s="2">
        <v>2435.56</v>
      </c>
      <c r="AL524" t="str">
        <f>"$"</f>
        <v>$</v>
      </c>
    </row>
    <row r="525" spans="1:38" x14ac:dyDescent="0.3">
      <c r="A525" t="str">
        <f>"SO20000367"</f>
        <v>SO20000367</v>
      </c>
      <c r="B525" t="str">
        <f>"E000319026"</f>
        <v>E000319026</v>
      </c>
      <c r="C525" t="str">
        <f>"בוצעה"</f>
        <v>בוצעה</v>
      </c>
      <c r="E525" s="3">
        <v>44067</v>
      </c>
      <c r="F525" s="3">
        <v>44167</v>
      </c>
      <c r="G525" t="str">
        <f>"700065"</f>
        <v>700065</v>
      </c>
      <c r="H525" t="str">
        <f>"אלתא מערכות בע""מ"</f>
        <v>אלתא מערכות בע"מ</v>
      </c>
      <c r="I525" t="str">
        <f>"ערן שלו"</f>
        <v>ערן שלו</v>
      </c>
      <c r="J525" t="str">
        <f>"OP-AR01781"</f>
        <v>OP-AR01781</v>
      </c>
      <c r="K525" s="1" t="str">
        <f>"1036U472-001 WP472 - PYLON RIGHT SW2"</f>
        <v>1036U472-001 WP472 - PYLON RIGHT SW2</v>
      </c>
      <c r="L525">
        <v>4</v>
      </c>
      <c r="M525" t="str">
        <f>"PR20000570"</f>
        <v>PR20000570</v>
      </c>
      <c r="N525" t="str">
        <f>"המשך לפרויקט 348"</f>
        <v>המשך לפרויקט 348</v>
      </c>
      <c r="O525">
        <v>608.89</v>
      </c>
      <c r="P525" t="str">
        <f>"$"</f>
        <v>$</v>
      </c>
      <c r="Q525" t="str">
        <f>"117"</f>
        <v>117</v>
      </c>
      <c r="R525" t="str">
        <f>"רתמות"</f>
        <v>רתמות</v>
      </c>
      <c r="S525" t="str">
        <f>"034"</f>
        <v>034</v>
      </c>
      <c r="T525" t="str">
        <f>"חן בזק"</f>
        <v>חן בזק</v>
      </c>
      <c r="U525">
        <v>0</v>
      </c>
      <c r="V525">
        <v>0</v>
      </c>
      <c r="W525">
        <v>608.89</v>
      </c>
      <c r="X525" s="2">
        <v>2435.56</v>
      </c>
      <c r="Z525" t="str">
        <f>"Y"</f>
        <v>Y</v>
      </c>
      <c r="AA525">
        <v>0</v>
      </c>
      <c r="AC525">
        <v>0</v>
      </c>
      <c r="AE525">
        <v>0</v>
      </c>
      <c r="AF525">
        <v>0</v>
      </c>
      <c r="AG525" s="2">
        <v>2071.44</v>
      </c>
      <c r="AH525">
        <v>0</v>
      </c>
      <c r="AI525" s="2">
        <v>8285.7800000000007</v>
      </c>
      <c r="AJ525" s="2">
        <v>2435.56</v>
      </c>
      <c r="AK525" s="2">
        <v>2435.56</v>
      </c>
      <c r="AL525" t="str">
        <f>"$"</f>
        <v>$</v>
      </c>
    </row>
    <row r="526" spans="1:38" x14ac:dyDescent="0.3">
      <c r="A526" t="str">
        <f>"SO20000367"</f>
        <v>SO20000367</v>
      </c>
      <c r="B526" t="str">
        <f>"E000319026"</f>
        <v>E000319026</v>
      </c>
      <c r="C526" t="str">
        <f>"בוצעה"</f>
        <v>בוצעה</v>
      </c>
      <c r="E526" s="3">
        <v>44067</v>
      </c>
      <c r="F526" s="3">
        <v>44167</v>
      </c>
      <c r="G526" t="str">
        <f>"700065"</f>
        <v>700065</v>
      </c>
      <c r="H526" t="str">
        <f>"אלתא מערכות בע""מ"</f>
        <v>אלתא מערכות בע"מ</v>
      </c>
      <c r="I526" t="str">
        <f>"ערן שלו"</f>
        <v>ערן שלו</v>
      </c>
      <c r="J526" t="str">
        <f>"OP-AR01754"</f>
        <v>OP-AR01754</v>
      </c>
      <c r="K526" s="1" t="str">
        <f>"1036U446-001 WP446 - POWER 48VDC CHARGER TO PDB"</f>
        <v>1036U446-001 WP446 - POWER 48VDC CHARGER TO PDB</v>
      </c>
      <c r="L526">
        <v>4</v>
      </c>
      <c r="M526" t="str">
        <f>"PR20000570"</f>
        <v>PR20000570</v>
      </c>
      <c r="N526" t="str">
        <f>"המשך לפרויקט 348"</f>
        <v>המשך לפרויקט 348</v>
      </c>
      <c r="O526">
        <v>489.53</v>
      </c>
      <c r="P526" t="str">
        <f>"$"</f>
        <v>$</v>
      </c>
      <c r="Q526" t="str">
        <f>"117"</f>
        <v>117</v>
      </c>
      <c r="R526" t="str">
        <f>"רתמות"</f>
        <v>רתמות</v>
      </c>
      <c r="S526" t="str">
        <f>"034"</f>
        <v>034</v>
      </c>
      <c r="T526" t="str">
        <f>"חן בזק"</f>
        <v>חן בזק</v>
      </c>
      <c r="U526">
        <v>0</v>
      </c>
      <c r="V526">
        <v>0</v>
      </c>
      <c r="W526">
        <v>489.53</v>
      </c>
      <c r="X526" s="2">
        <v>1958.12</v>
      </c>
      <c r="Z526" t="str">
        <f>"Y"</f>
        <v>Y</v>
      </c>
      <c r="AA526">
        <v>0</v>
      </c>
      <c r="AC526">
        <v>0</v>
      </c>
      <c r="AE526">
        <v>0</v>
      </c>
      <c r="AF526">
        <v>0</v>
      </c>
      <c r="AG526" s="2">
        <v>1665.38</v>
      </c>
      <c r="AH526">
        <v>0</v>
      </c>
      <c r="AI526" s="2">
        <v>6661.52</v>
      </c>
      <c r="AJ526" s="2">
        <v>1958.12</v>
      </c>
      <c r="AK526" s="2">
        <v>1958.12</v>
      </c>
      <c r="AL526" t="str">
        <f>"$"</f>
        <v>$</v>
      </c>
    </row>
    <row r="527" spans="1:38" x14ac:dyDescent="0.3">
      <c r="A527" t="str">
        <f>"SO20000367"</f>
        <v>SO20000367</v>
      </c>
      <c r="B527" t="str">
        <f>"E000319026"</f>
        <v>E000319026</v>
      </c>
      <c r="C527" t="str">
        <f>"בוצעה"</f>
        <v>בוצעה</v>
      </c>
      <c r="E527" s="3">
        <v>44067</v>
      </c>
      <c r="F527" s="3">
        <v>44167</v>
      </c>
      <c r="G527" t="str">
        <f>"700065"</f>
        <v>700065</v>
      </c>
      <c r="H527" t="str">
        <f>"אלתא מערכות בע""מ"</f>
        <v>אלתא מערכות בע"מ</v>
      </c>
      <c r="I527" t="str">
        <f>"ערן שלו"</f>
        <v>ערן שלו</v>
      </c>
      <c r="J527" t="str">
        <f>"OP-AR01758"</f>
        <v>OP-AR01758</v>
      </c>
      <c r="K527" s="1" t="str">
        <f>"1039V368-001 WP368 - CONTROL LDE TO LEFT FRONT J"</f>
        <v>1039V368-001 WP368 - CONTROL LDE TO LEFT FRONT J</v>
      </c>
      <c r="L527">
        <v>4</v>
      </c>
      <c r="M527" t="str">
        <f>"PR20000570"</f>
        <v>PR20000570</v>
      </c>
      <c r="N527" t="str">
        <f>"המשך לפרויקט 348"</f>
        <v>המשך לפרויקט 348</v>
      </c>
      <c r="O527">
        <v>752.69</v>
      </c>
      <c r="P527" t="str">
        <f>"$"</f>
        <v>$</v>
      </c>
      <c r="Q527" t="str">
        <f>"117"</f>
        <v>117</v>
      </c>
      <c r="R527" t="str">
        <f>"רתמות"</f>
        <v>רתמות</v>
      </c>
      <c r="S527" t="str">
        <f>"034"</f>
        <v>034</v>
      </c>
      <c r="T527" t="str">
        <f>"חן בזק"</f>
        <v>חן בזק</v>
      </c>
      <c r="U527">
        <v>0</v>
      </c>
      <c r="V527">
        <v>0</v>
      </c>
      <c r="W527">
        <v>752.69</v>
      </c>
      <c r="X527" s="2">
        <v>3010.76</v>
      </c>
      <c r="Z527" t="str">
        <f>"Y"</f>
        <v>Y</v>
      </c>
      <c r="AA527">
        <v>0</v>
      </c>
      <c r="AC527">
        <v>0</v>
      </c>
      <c r="AE527">
        <v>0</v>
      </c>
      <c r="AF527">
        <v>0</v>
      </c>
      <c r="AG527" s="2">
        <v>2560.65</v>
      </c>
      <c r="AH527">
        <v>0</v>
      </c>
      <c r="AI527" s="2">
        <v>10242.61</v>
      </c>
      <c r="AJ527" s="2">
        <v>3010.76</v>
      </c>
      <c r="AK527" s="2">
        <v>3010.76</v>
      </c>
      <c r="AL527" t="str">
        <f>"$"</f>
        <v>$</v>
      </c>
    </row>
    <row r="528" spans="1:38" x14ac:dyDescent="0.3">
      <c r="A528" t="str">
        <f>"SO20000367"</f>
        <v>SO20000367</v>
      </c>
      <c r="B528" t="str">
        <f>"E000319026"</f>
        <v>E000319026</v>
      </c>
      <c r="C528" t="str">
        <f>"בוצעה"</f>
        <v>בוצעה</v>
      </c>
      <c r="E528" s="3">
        <v>44067</v>
      </c>
      <c r="F528" s="3">
        <v>44167</v>
      </c>
      <c r="G528" t="str">
        <f>"700065"</f>
        <v>700065</v>
      </c>
      <c r="H528" t="str">
        <f>"אלתא מערכות בע""מ"</f>
        <v>אלתא מערכות בע"מ</v>
      </c>
      <c r="I528" t="str">
        <f>"ערן שלו"</f>
        <v>ערן שלו</v>
      </c>
      <c r="J528" t="str">
        <f>"OP-AR01759"</f>
        <v>OP-AR01759</v>
      </c>
      <c r="K528" s="1" t="str">
        <f>"1039V367-001 WP367 - CONTROL LDE TO RIGHT FRONT"</f>
        <v>1039V367-001 WP367 - CONTROL LDE TO RIGHT FRONT</v>
      </c>
      <c r="L528">
        <v>4</v>
      </c>
      <c r="M528" t="str">
        <f>"PR20000570"</f>
        <v>PR20000570</v>
      </c>
      <c r="N528" t="str">
        <f>"המשך לפרויקט 348"</f>
        <v>המשך לפרויקט 348</v>
      </c>
      <c r="O528">
        <v>653.37</v>
      </c>
      <c r="P528" t="str">
        <f>"$"</f>
        <v>$</v>
      </c>
      <c r="Q528" t="str">
        <f>"117"</f>
        <v>117</v>
      </c>
      <c r="R528" t="str">
        <f>"רתמות"</f>
        <v>רתמות</v>
      </c>
      <c r="S528" t="str">
        <f>"034"</f>
        <v>034</v>
      </c>
      <c r="T528" t="str">
        <f>"חן בזק"</f>
        <v>חן בזק</v>
      </c>
      <c r="U528">
        <v>0</v>
      </c>
      <c r="V528">
        <v>0</v>
      </c>
      <c r="W528">
        <v>653.37</v>
      </c>
      <c r="X528" s="2">
        <v>2613.48</v>
      </c>
      <c r="Z528" t="str">
        <f>"Y"</f>
        <v>Y</v>
      </c>
      <c r="AA528">
        <v>0</v>
      </c>
      <c r="AC528">
        <v>0</v>
      </c>
      <c r="AE528">
        <v>0</v>
      </c>
      <c r="AF528">
        <v>0</v>
      </c>
      <c r="AG528" s="2">
        <v>2222.7600000000002</v>
      </c>
      <c r="AH528">
        <v>0</v>
      </c>
      <c r="AI528" s="2">
        <v>8891.06</v>
      </c>
      <c r="AJ528" s="2">
        <v>2613.48</v>
      </c>
      <c r="AK528" s="2">
        <v>2613.48</v>
      </c>
      <c r="AL528" t="str">
        <f>"$"</f>
        <v>$</v>
      </c>
    </row>
    <row r="529" spans="1:38" x14ac:dyDescent="0.3">
      <c r="A529" t="str">
        <f>"SO20000367"</f>
        <v>SO20000367</v>
      </c>
      <c r="B529" t="str">
        <f>"E000319026"</f>
        <v>E000319026</v>
      </c>
      <c r="C529" t="str">
        <f>"בוצעה"</f>
        <v>בוצעה</v>
      </c>
      <c r="E529" s="3">
        <v>44067</v>
      </c>
      <c r="F529" s="3">
        <v>44167</v>
      </c>
      <c r="G529" t="str">
        <f>"700065"</f>
        <v>700065</v>
      </c>
      <c r="H529" t="str">
        <f>"אלתא מערכות בע""מ"</f>
        <v>אלתא מערכות בע"מ</v>
      </c>
      <c r="I529" t="str">
        <f>"ערן שלו"</f>
        <v>ערן שלו</v>
      </c>
      <c r="J529" t="str">
        <f>"OP-AR01742"</f>
        <v>OP-AR01742</v>
      </c>
      <c r="K529" s="1" t="str">
        <f>"1039V318-001 WP318 - CONTROL DATA MICRO SWITCH S"</f>
        <v>1039V318-001 WP318 - CONTROL DATA MICRO SWITCH S</v>
      </c>
      <c r="L529">
        <v>4</v>
      </c>
      <c r="M529" t="str">
        <f>"PR20000570"</f>
        <v>PR20000570</v>
      </c>
      <c r="N529" t="str">
        <f>"המשך לפרויקט 348"</f>
        <v>המשך לפרויקט 348</v>
      </c>
      <c r="O529">
        <v>691.5</v>
      </c>
      <c r="P529" t="str">
        <f>"$"</f>
        <v>$</v>
      </c>
      <c r="Q529" t="str">
        <f>"117"</f>
        <v>117</v>
      </c>
      <c r="R529" t="str">
        <f>"רתמות"</f>
        <v>רתמות</v>
      </c>
      <c r="S529" t="str">
        <f>"034"</f>
        <v>034</v>
      </c>
      <c r="T529" t="str">
        <f>"חן בזק"</f>
        <v>חן בזק</v>
      </c>
      <c r="U529">
        <v>0</v>
      </c>
      <c r="V529">
        <v>0</v>
      </c>
      <c r="W529">
        <v>691.5</v>
      </c>
      <c r="X529" s="2">
        <v>2766</v>
      </c>
      <c r="Z529" t="str">
        <f>"Y"</f>
        <v>Y</v>
      </c>
      <c r="AA529">
        <v>0</v>
      </c>
      <c r="AC529">
        <v>0</v>
      </c>
      <c r="AE529">
        <v>0</v>
      </c>
      <c r="AF529">
        <v>0</v>
      </c>
      <c r="AG529" s="2">
        <v>2352.48</v>
      </c>
      <c r="AH529">
        <v>0</v>
      </c>
      <c r="AI529" s="2">
        <v>9409.93</v>
      </c>
      <c r="AJ529" s="2">
        <v>2766</v>
      </c>
      <c r="AK529" s="2">
        <v>2766</v>
      </c>
      <c r="AL529" t="str">
        <f>"$"</f>
        <v>$</v>
      </c>
    </row>
    <row r="530" spans="1:38" x14ac:dyDescent="0.3">
      <c r="A530" t="str">
        <f>"SO20000367"</f>
        <v>SO20000367</v>
      </c>
      <c r="B530" t="str">
        <f>"E000319026"</f>
        <v>E000319026</v>
      </c>
      <c r="C530" t="str">
        <f>"בוצעה"</f>
        <v>בוצעה</v>
      </c>
      <c r="E530" s="3">
        <v>44067</v>
      </c>
      <c r="F530" s="3">
        <v>44167</v>
      </c>
      <c r="G530" t="str">
        <f>"700065"</f>
        <v>700065</v>
      </c>
      <c r="H530" t="str">
        <f>"אלתא מערכות בע""מ"</f>
        <v>אלתא מערכות בע"מ</v>
      </c>
      <c r="I530" t="str">
        <f>"ערן שלו"</f>
        <v>ערן שלו</v>
      </c>
      <c r="J530" t="str">
        <f>"OP-AR01753"</f>
        <v>OP-AR01753</v>
      </c>
      <c r="K530" s="1" t="str">
        <f>"1039V355-001 WP355 - POWER PDB to LTSU and LOAD"</f>
        <v>1039V355-001 WP355 - POWER PDB to LTSU and LOAD</v>
      </c>
      <c r="L530">
        <v>4</v>
      </c>
      <c r="M530" t="str">
        <f>"PR20000570"</f>
        <v>PR20000570</v>
      </c>
      <c r="N530" t="str">
        <f>"המשך לפרויקט 348"</f>
        <v>המשך לפרויקט 348</v>
      </c>
      <c r="O530">
        <v>781.78</v>
      </c>
      <c r="P530" t="str">
        <f>"$"</f>
        <v>$</v>
      </c>
      <c r="Q530" t="str">
        <f>"117"</f>
        <v>117</v>
      </c>
      <c r="R530" t="str">
        <f>"רתמות"</f>
        <v>רתמות</v>
      </c>
      <c r="S530" t="str">
        <f>"034"</f>
        <v>034</v>
      </c>
      <c r="T530" t="str">
        <f>"חן בזק"</f>
        <v>חן בזק</v>
      </c>
      <c r="U530">
        <v>0</v>
      </c>
      <c r="V530">
        <v>0</v>
      </c>
      <c r="W530">
        <v>781.78</v>
      </c>
      <c r="X530" s="2">
        <v>3127.12</v>
      </c>
      <c r="Z530" t="str">
        <f>"Y"</f>
        <v>Y</v>
      </c>
      <c r="AA530">
        <v>0</v>
      </c>
      <c r="AC530">
        <v>0</v>
      </c>
      <c r="AE530">
        <v>0</v>
      </c>
      <c r="AF530">
        <v>0</v>
      </c>
      <c r="AG530" s="2">
        <v>2659.62</v>
      </c>
      <c r="AH530">
        <v>0</v>
      </c>
      <c r="AI530" s="2">
        <v>10638.46</v>
      </c>
      <c r="AJ530" s="2">
        <v>3127.12</v>
      </c>
      <c r="AK530" s="2">
        <v>3127.12</v>
      </c>
      <c r="AL530" t="str">
        <f>"$"</f>
        <v>$</v>
      </c>
    </row>
    <row r="531" spans="1:38" x14ac:dyDescent="0.3">
      <c r="A531" t="str">
        <f>"SO20000367"</f>
        <v>SO20000367</v>
      </c>
      <c r="B531" t="str">
        <f>"E000319026"</f>
        <v>E000319026</v>
      </c>
      <c r="C531" t="str">
        <f>"בוצעה"</f>
        <v>בוצעה</v>
      </c>
      <c r="E531" s="3">
        <v>44067</v>
      </c>
      <c r="F531" s="3">
        <v>44167</v>
      </c>
      <c r="G531" t="str">
        <f>"700065"</f>
        <v>700065</v>
      </c>
      <c r="H531" t="str">
        <f>"אלתא מערכות בע""מ"</f>
        <v>אלתא מערכות בע"מ</v>
      </c>
      <c r="I531" t="str">
        <f>"ערן שלו"</f>
        <v>ערן שלו</v>
      </c>
      <c r="J531" t="str">
        <f>"OP-AR01736"</f>
        <v>OP-AR01736</v>
      </c>
      <c r="K531" s="1" t="str">
        <f>"1039V358-001 WP358 - DATA AFT COMMAND TO LDE AND"</f>
        <v>1039V358-001 WP358 - DATA AFT COMMAND TO LDE AND</v>
      </c>
      <c r="L531">
        <v>4</v>
      </c>
      <c r="M531" t="str">
        <f>"PR20000570"</f>
        <v>PR20000570</v>
      </c>
      <c r="N531" t="str">
        <f>"המשך לפרויקט 348"</f>
        <v>המשך לפרויקט 348</v>
      </c>
      <c r="O531">
        <v>412.5</v>
      </c>
      <c r="P531" t="str">
        <f>"$"</f>
        <v>$</v>
      </c>
      <c r="Q531" t="str">
        <f>"117"</f>
        <v>117</v>
      </c>
      <c r="R531" t="str">
        <f>"רתמות"</f>
        <v>רתמות</v>
      </c>
      <c r="S531" t="str">
        <f>"034"</f>
        <v>034</v>
      </c>
      <c r="T531" t="str">
        <f>"חן בזק"</f>
        <v>חן בזק</v>
      </c>
      <c r="U531">
        <v>0</v>
      </c>
      <c r="V531">
        <v>0</v>
      </c>
      <c r="W531">
        <v>412.5</v>
      </c>
      <c r="X531" s="2">
        <v>1650</v>
      </c>
      <c r="Z531" t="str">
        <f>"Y"</f>
        <v>Y</v>
      </c>
      <c r="AA531">
        <v>0</v>
      </c>
      <c r="AC531">
        <v>0</v>
      </c>
      <c r="AE531">
        <v>0</v>
      </c>
      <c r="AF531">
        <v>0</v>
      </c>
      <c r="AG531" s="2">
        <v>1403.33</v>
      </c>
      <c r="AH531">
        <v>0</v>
      </c>
      <c r="AI531" s="2">
        <v>5613.3</v>
      </c>
      <c r="AJ531" s="2">
        <v>1650</v>
      </c>
      <c r="AK531" s="2">
        <v>1650</v>
      </c>
      <c r="AL531" t="str">
        <f>"$"</f>
        <v>$</v>
      </c>
    </row>
    <row r="532" spans="1:38" x14ac:dyDescent="0.3">
      <c r="A532" t="str">
        <f>"SO20000367"</f>
        <v>SO20000367</v>
      </c>
      <c r="B532" t="str">
        <f>"E000319026"</f>
        <v>E000319026</v>
      </c>
      <c r="C532" t="str">
        <f>"בוצעה"</f>
        <v>בוצעה</v>
      </c>
      <c r="E532" s="3">
        <v>44067</v>
      </c>
      <c r="F532" s="3">
        <v>44226</v>
      </c>
      <c r="G532" t="str">
        <f>"700065"</f>
        <v>700065</v>
      </c>
      <c r="H532" t="str">
        <f>"אלתא מערכות בע""מ"</f>
        <v>אלתא מערכות בע"מ</v>
      </c>
      <c r="I532" t="str">
        <f>"ערן שלו"</f>
        <v>ערן שלו</v>
      </c>
      <c r="J532" t="str">
        <f>"OP-AR01770"</f>
        <v>OP-AR01770</v>
      </c>
      <c r="K532" s="1" t="str">
        <f>"1036U451-001 WP451 - POWER 400VAC PDB TO LRCU"</f>
        <v>1036U451-001 WP451 - POWER 400VAC PDB TO LRCU</v>
      </c>
      <c r="L532">
        <v>4</v>
      </c>
      <c r="M532" t="str">
        <f>"PR20000570"</f>
        <v>PR20000570</v>
      </c>
      <c r="N532" t="str">
        <f>"המשך לפרויקט 348"</f>
        <v>המשך לפרויקט 348</v>
      </c>
      <c r="O532" s="2">
        <v>2395.77</v>
      </c>
      <c r="P532" t="str">
        <f>"$"</f>
        <v>$</v>
      </c>
      <c r="Q532" t="str">
        <f>"117"</f>
        <v>117</v>
      </c>
      <c r="R532" t="str">
        <f>"רתמות"</f>
        <v>רתמות</v>
      </c>
      <c r="S532" t="str">
        <f>"034"</f>
        <v>034</v>
      </c>
      <c r="T532" t="str">
        <f>"חן בזק"</f>
        <v>חן בזק</v>
      </c>
      <c r="U532">
        <v>0</v>
      </c>
      <c r="V532">
        <v>0</v>
      </c>
      <c r="W532" s="2">
        <v>2395.77</v>
      </c>
      <c r="X532" s="2">
        <v>9583.08</v>
      </c>
      <c r="Z532" t="str">
        <f>"Y"</f>
        <v>Y</v>
      </c>
      <c r="AA532">
        <v>0</v>
      </c>
      <c r="AC532">
        <v>0</v>
      </c>
      <c r="AE532">
        <v>0</v>
      </c>
      <c r="AF532">
        <v>0</v>
      </c>
      <c r="AG532" s="2">
        <v>8150.41</v>
      </c>
      <c r="AH532">
        <v>0</v>
      </c>
      <c r="AI532" s="2">
        <v>32601.64</v>
      </c>
      <c r="AJ532" s="2">
        <v>9583.08</v>
      </c>
      <c r="AK532" s="2">
        <v>9583.08</v>
      </c>
      <c r="AL532" t="str">
        <f>"$"</f>
        <v>$</v>
      </c>
    </row>
    <row r="533" spans="1:38" x14ac:dyDescent="0.3">
      <c r="A533" t="str">
        <f>"SO20000367"</f>
        <v>SO20000367</v>
      </c>
      <c r="B533" t="str">
        <f>"E000319026"</f>
        <v>E000319026</v>
      </c>
      <c r="C533" t="str">
        <f>"בוצעה"</f>
        <v>בוצעה</v>
      </c>
      <c r="E533" s="3">
        <v>44067</v>
      </c>
      <c r="F533" s="3">
        <v>44167</v>
      </c>
      <c r="G533" t="str">
        <f>"700065"</f>
        <v>700065</v>
      </c>
      <c r="H533" t="str">
        <f>"אלתא מערכות בע""מ"</f>
        <v>אלתא מערכות בע"מ</v>
      </c>
      <c r="I533" t="str">
        <f>"ערן שלו"</f>
        <v>ערן שלו</v>
      </c>
      <c r="J533" t="str">
        <f>"OP-AR01756"</f>
        <v>OP-AR01756</v>
      </c>
      <c r="K533" s="1" t="str">
        <f>"1036U457-001 WP457 - PWR PDB TO JACK BOX"</f>
        <v>1036U457-001 WP457 - PWR PDB TO JACK BOX</v>
      </c>
      <c r="L533">
        <v>4</v>
      </c>
      <c r="M533" t="str">
        <f>"PR20000570"</f>
        <v>PR20000570</v>
      </c>
      <c r="N533" t="str">
        <f>"המשך לפרויקט 348"</f>
        <v>המשך לפרויקט 348</v>
      </c>
      <c r="O533">
        <v>655.78</v>
      </c>
      <c r="P533" t="str">
        <f>"$"</f>
        <v>$</v>
      </c>
      <c r="Q533" t="str">
        <f>"117"</f>
        <v>117</v>
      </c>
      <c r="R533" t="str">
        <f>"רתמות"</f>
        <v>רתמות</v>
      </c>
      <c r="S533" t="str">
        <f>"034"</f>
        <v>034</v>
      </c>
      <c r="T533" t="str">
        <f>"חן בזק"</f>
        <v>חן בזק</v>
      </c>
      <c r="U533">
        <v>0</v>
      </c>
      <c r="V533">
        <v>0</v>
      </c>
      <c r="W533">
        <v>655.78</v>
      </c>
      <c r="X533" s="2">
        <v>2623.12</v>
      </c>
      <c r="Z533" t="str">
        <f>"Y"</f>
        <v>Y</v>
      </c>
      <c r="AA533">
        <v>0</v>
      </c>
      <c r="AC533">
        <v>0</v>
      </c>
      <c r="AE533">
        <v>0</v>
      </c>
      <c r="AF533">
        <v>0</v>
      </c>
      <c r="AG533" s="2">
        <v>2230.96</v>
      </c>
      <c r="AH533">
        <v>0</v>
      </c>
      <c r="AI533" s="2">
        <v>8923.85</v>
      </c>
      <c r="AJ533" s="2">
        <v>2623.12</v>
      </c>
      <c r="AK533" s="2">
        <v>2623.12</v>
      </c>
      <c r="AL533" t="str">
        <f>"$"</f>
        <v>$</v>
      </c>
    </row>
    <row r="534" spans="1:38" x14ac:dyDescent="0.3">
      <c r="A534" t="str">
        <f>"SO20000367"</f>
        <v>SO20000367</v>
      </c>
      <c r="B534" t="str">
        <f>"E000319026"</f>
        <v>E000319026</v>
      </c>
      <c r="C534" t="str">
        <f>"בוצעה"</f>
        <v>בוצעה</v>
      </c>
      <c r="E534" s="3">
        <v>44067</v>
      </c>
      <c r="F534" s="3">
        <v>44167</v>
      </c>
      <c r="G534" t="str">
        <f>"700065"</f>
        <v>700065</v>
      </c>
      <c r="H534" t="str">
        <f>"אלתא מערכות בע""מ"</f>
        <v>אלתא מערכות בע"מ</v>
      </c>
      <c r="I534" t="str">
        <f>"ערן שלו"</f>
        <v>ערן שלו</v>
      </c>
      <c r="J534" t="str">
        <f>"OP-AR01757"</f>
        <v>OP-AR01757</v>
      </c>
      <c r="K534" s="1" t="str">
        <f>"1036U461-001 WP461 - RIGHT REAR POWER JACK-EXTEN"</f>
        <v>1036U461-001 WP461 - RIGHT REAR POWER JACK-EXTEN</v>
      </c>
      <c r="L534">
        <v>4</v>
      </c>
      <c r="M534" t="str">
        <f>"PR20000570"</f>
        <v>PR20000570</v>
      </c>
      <c r="N534" t="str">
        <f>"המשך לפרויקט 348"</f>
        <v>המשך לפרויקט 348</v>
      </c>
      <c r="O534">
        <v>499.33</v>
      </c>
      <c r="P534" t="str">
        <f>"$"</f>
        <v>$</v>
      </c>
      <c r="Q534" t="str">
        <f>"117"</f>
        <v>117</v>
      </c>
      <c r="R534" t="str">
        <f>"רתמות"</f>
        <v>רתמות</v>
      </c>
      <c r="S534" t="str">
        <f>"034"</f>
        <v>034</v>
      </c>
      <c r="T534" t="str">
        <f>"חן בזק"</f>
        <v>חן בזק</v>
      </c>
      <c r="U534">
        <v>0</v>
      </c>
      <c r="V534">
        <v>0</v>
      </c>
      <c r="W534">
        <v>499.33</v>
      </c>
      <c r="X534" s="2">
        <v>1997.32</v>
      </c>
      <c r="Z534" t="str">
        <f>"Y"</f>
        <v>Y</v>
      </c>
      <c r="AA534">
        <v>0</v>
      </c>
      <c r="AC534">
        <v>0</v>
      </c>
      <c r="AE534">
        <v>0</v>
      </c>
      <c r="AF534">
        <v>0</v>
      </c>
      <c r="AG534" s="2">
        <v>1698.72</v>
      </c>
      <c r="AH534">
        <v>0</v>
      </c>
      <c r="AI534" s="2">
        <v>6794.88</v>
      </c>
      <c r="AJ534" s="2">
        <v>1997.32</v>
      </c>
      <c r="AK534" s="2">
        <v>1997.32</v>
      </c>
      <c r="AL534" t="str">
        <f>"$"</f>
        <v>$</v>
      </c>
    </row>
    <row r="535" spans="1:38" x14ac:dyDescent="0.3">
      <c r="A535" t="str">
        <f>"SO20000367"</f>
        <v>SO20000367</v>
      </c>
      <c r="B535" t="str">
        <f>"E000319026"</f>
        <v>E000319026</v>
      </c>
      <c r="C535" t="str">
        <f>"בוצעה"</f>
        <v>בוצעה</v>
      </c>
      <c r="E535" s="3">
        <v>44067</v>
      </c>
      <c r="F535" s="3">
        <v>44167</v>
      </c>
      <c r="G535" t="str">
        <f>"700065"</f>
        <v>700065</v>
      </c>
      <c r="H535" t="str">
        <f>"אלתא מערכות בע""מ"</f>
        <v>אלתא מערכות בע"מ</v>
      </c>
      <c r="I535" t="str">
        <f>"ערן שלו"</f>
        <v>ערן שלו</v>
      </c>
      <c r="J535" t="str">
        <f>"OP-AR01755"</f>
        <v>OP-AR01755</v>
      </c>
      <c r="K535" s="1" t="str">
        <f>"1036U445-001 WP445 - CONTROL 48VDC BATTERY TO CH"</f>
        <v>1036U445-001 WP445 - CONTROL 48VDC BATTERY TO CH</v>
      </c>
      <c r="L535">
        <v>4</v>
      </c>
      <c r="M535" t="str">
        <f>"PR20000570"</f>
        <v>PR20000570</v>
      </c>
      <c r="N535" t="str">
        <f>"המשך לפרויקט 348"</f>
        <v>המשך לפרויקט 348</v>
      </c>
      <c r="O535">
        <v>532.86</v>
      </c>
      <c r="P535" t="str">
        <f>"$"</f>
        <v>$</v>
      </c>
      <c r="Q535" t="str">
        <f>"117"</f>
        <v>117</v>
      </c>
      <c r="R535" t="str">
        <f>"רתמות"</f>
        <v>רתמות</v>
      </c>
      <c r="S535" t="str">
        <f>"034"</f>
        <v>034</v>
      </c>
      <c r="T535" t="str">
        <f>"חן בזק"</f>
        <v>חן בזק</v>
      </c>
      <c r="U535">
        <v>0</v>
      </c>
      <c r="V535">
        <v>0</v>
      </c>
      <c r="W535">
        <v>532.86</v>
      </c>
      <c r="X535" s="2">
        <v>2131.44</v>
      </c>
      <c r="Z535" t="str">
        <f>"Y"</f>
        <v>Y</v>
      </c>
      <c r="AA535">
        <v>0</v>
      </c>
      <c r="AC535">
        <v>0</v>
      </c>
      <c r="AE535">
        <v>0</v>
      </c>
      <c r="AF535">
        <v>0</v>
      </c>
      <c r="AG535" s="2">
        <v>1812.79</v>
      </c>
      <c r="AH535">
        <v>0</v>
      </c>
      <c r="AI535" s="2">
        <v>7251.16</v>
      </c>
      <c r="AJ535" s="2">
        <v>2131.44</v>
      </c>
      <c r="AK535" s="2">
        <v>2131.44</v>
      </c>
      <c r="AL535" t="str">
        <f>"$"</f>
        <v>$</v>
      </c>
    </row>
    <row r="536" spans="1:38" x14ac:dyDescent="0.3">
      <c r="A536" t="str">
        <f>"SO20000367"</f>
        <v>SO20000367</v>
      </c>
      <c r="B536" t="str">
        <f>"E000319026"</f>
        <v>E000319026</v>
      </c>
      <c r="C536" t="str">
        <f>"בוצעה"</f>
        <v>בוצעה</v>
      </c>
      <c r="E536" s="3">
        <v>44067</v>
      </c>
      <c r="F536" s="3">
        <v>44167</v>
      </c>
      <c r="G536" t="str">
        <f>"700065"</f>
        <v>700065</v>
      </c>
      <c r="H536" t="str">
        <f>"אלתא מערכות בע""מ"</f>
        <v>אלתא מערכות בע"מ</v>
      </c>
      <c r="I536" t="str">
        <f>"ערן שלו"</f>
        <v>ערן שלו</v>
      </c>
      <c r="J536" t="str">
        <f>"OP-AR01772"</f>
        <v>OP-AR01772</v>
      </c>
      <c r="K536" s="1" t="str">
        <f>"1039V364-001 WP364 - CONTROL LDE TO LEFT REAR JA"</f>
        <v>1039V364-001 WP364 - CONTROL LDE TO LEFT REAR JA</v>
      </c>
      <c r="L536">
        <v>4</v>
      </c>
      <c r="M536" t="str">
        <f>"PR20000570"</f>
        <v>PR20000570</v>
      </c>
      <c r="N536" t="str">
        <f>"המשך לפרויקט 348"</f>
        <v>המשך לפרויקט 348</v>
      </c>
      <c r="O536">
        <v>581.74</v>
      </c>
      <c r="P536" t="str">
        <f>"$"</f>
        <v>$</v>
      </c>
      <c r="Q536" t="str">
        <f>"117"</f>
        <v>117</v>
      </c>
      <c r="R536" t="str">
        <f>"רתמות"</f>
        <v>רתמות</v>
      </c>
      <c r="S536" t="str">
        <f>"034"</f>
        <v>034</v>
      </c>
      <c r="T536" t="str">
        <f>"חן בזק"</f>
        <v>חן בזק</v>
      </c>
      <c r="U536">
        <v>0</v>
      </c>
      <c r="V536">
        <v>0</v>
      </c>
      <c r="W536">
        <v>581.74</v>
      </c>
      <c r="X536" s="2">
        <v>2326.96</v>
      </c>
      <c r="Z536" t="str">
        <f>"Y"</f>
        <v>Y</v>
      </c>
      <c r="AA536">
        <v>0</v>
      </c>
      <c r="AC536">
        <v>0</v>
      </c>
      <c r="AE536">
        <v>0</v>
      </c>
      <c r="AF536">
        <v>0</v>
      </c>
      <c r="AG536" s="2">
        <v>1979.08</v>
      </c>
      <c r="AH536">
        <v>0</v>
      </c>
      <c r="AI536" s="2">
        <v>7916.32</v>
      </c>
      <c r="AJ536" s="2">
        <v>2326.96</v>
      </c>
      <c r="AK536" s="2">
        <v>2326.96</v>
      </c>
      <c r="AL536" t="str">
        <f>"$"</f>
        <v>$</v>
      </c>
    </row>
    <row r="537" spans="1:38" x14ac:dyDescent="0.3">
      <c r="A537" t="str">
        <f>"SO20000367"</f>
        <v>SO20000367</v>
      </c>
      <c r="B537" t="str">
        <f>"E000319026"</f>
        <v>E000319026</v>
      </c>
      <c r="C537" t="str">
        <f>"בוצעה"</f>
        <v>בוצעה</v>
      </c>
      <c r="E537" s="3">
        <v>44067</v>
      </c>
      <c r="F537" s="3">
        <v>44167</v>
      </c>
      <c r="G537" t="str">
        <f>"700065"</f>
        <v>700065</v>
      </c>
      <c r="H537" t="str">
        <f>"אלתא מערכות בע""מ"</f>
        <v>אלתא מערכות בע"מ</v>
      </c>
      <c r="I537" t="str">
        <f>"ערן שלו"</f>
        <v>ערן שלו</v>
      </c>
      <c r="J537" t="str">
        <f>"OP-AR01745"</f>
        <v>OP-AR01745</v>
      </c>
      <c r="K537" s="1" t="str">
        <f>"1039V343-001 WP343 - POWER 230VAC PDB TO CHARGER"</f>
        <v>1039V343-001 WP343 - POWER 230VAC PDB TO CHARGER</v>
      </c>
      <c r="L537">
        <v>4</v>
      </c>
      <c r="M537" t="str">
        <f>"PR20000570"</f>
        <v>PR20000570</v>
      </c>
      <c r="N537" t="str">
        <f>"המשך לפרויקט 348"</f>
        <v>המשך לפרויקט 348</v>
      </c>
      <c r="O537">
        <v>334.51</v>
      </c>
      <c r="P537" t="str">
        <f>"$"</f>
        <v>$</v>
      </c>
      <c r="Q537" t="str">
        <f>"117"</f>
        <v>117</v>
      </c>
      <c r="R537" t="str">
        <f>"רתמות"</f>
        <v>רתמות</v>
      </c>
      <c r="S537" t="str">
        <f>"034"</f>
        <v>034</v>
      </c>
      <c r="T537" t="str">
        <f>"חן בזק"</f>
        <v>חן בזק</v>
      </c>
      <c r="U537">
        <v>0</v>
      </c>
      <c r="V537">
        <v>0</v>
      </c>
      <c r="W537">
        <v>334.51</v>
      </c>
      <c r="X537" s="2">
        <v>1338.04</v>
      </c>
      <c r="Z537" t="str">
        <f>"Y"</f>
        <v>Y</v>
      </c>
      <c r="AA537">
        <v>0</v>
      </c>
      <c r="AC537">
        <v>0</v>
      </c>
      <c r="AE537">
        <v>0</v>
      </c>
      <c r="AF537">
        <v>0</v>
      </c>
      <c r="AG537" s="2">
        <v>1138</v>
      </c>
      <c r="AH537">
        <v>0</v>
      </c>
      <c r="AI537" s="2">
        <v>4552.01</v>
      </c>
      <c r="AJ537" s="2">
        <v>1338.04</v>
      </c>
      <c r="AK537" s="2">
        <v>1338.04</v>
      </c>
      <c r="AL537" t="str">
        <f>"$"</f>
        <v>$</v>
      </c>
    </row>
    <row r="538" spans="1:38" x14ac:dyDescent="0.3">
      <c r="A538" t="str">
        <f>"SO20000368"</f>
        <v>SO20000368</v>
      </c>
      <c r="B538" t="str">
        <f>"E000319744"</f>
        <v>E000319744</v>
      </c>
      <c r="C538" t="str">
        <f>"בוצעה"</f>
        <v>בוצעה</v>
      </c>
      <c r="E538" s="3">
        <v>44067</v>
      </c>
      <c r="F538" s="3">
        <v>44155</v>
      </c>
      <c r="G538" t="str">
        <f>"700065"</f>
        <v>700065</v>
      </c>
      <c r="H538" t="str">
        <f>"אלתא מערכות בע""מ"</f>
        <v>אלתא מערכות בע"מ</v>
      </c>
      <c r="I538" t="str">
        <f>"ערן שלו"</f>
        <v>ערן שלו</v>
      </c>
      <c r="J538" t="str">
        <f>"OP-AR01667"</f>
        <v>OP-AR01667</v>
      </c>
      <c r="K538" s="1" t="str">
        <f>"6660J719-003 W719"</f>
        <v>6660J719-003 W719</v>
      </c>
      <c r="L538">
        <v>1</v>
      </c>
      <c r="M538" t="str">
        <f>"PR20000568"</f>
        <v>PR20000568</v>
      </c>
      <c r="N538" t="str">
        <f>"EM BUNDLE TO RSU - COMMUNICATION"</f>
        <v>EM BUNDLE TO RSU - COMMUNICATION</v>
      </c>
      <c r="O538">
        <v>558.62</v>
      </c>
      <c r="P538" t="str">
        <f>"$"</f>
        <v>$</v>
      </c>
      <c r="Q538" t="str">
        <f>"000"</f>
        <v>000</v>
      </c>
      <c r="R538" t="str">
        <f>"כללית"</f>
        <v>כללית</v>
      </c>
      <c r="S538" t="str">
        <f>"034"</f>
        <v>034</v>
      </c>
      <c r="T538" t="str">
        <f>"חן בזק"</f>
        <v>חן בזק</v>
      </c>
      <c r="U538">
        <v>0</v>
      </c>
      <c r="V538">
        <v>0</v>
      </c>
      <c r="W538">
        <v>558.62</v>
      </c>
      <c r="X538">
        <v>558.62</v>
      </c>
      <c r="Z538" t="str">
        <f>"Y"</f>
        <v>Y</v>
      </c>
      <c r="AA538">
        <v>0</v>
      </c>
      <c r="AC538">
        <v>0</v>
      </c>
      <c r="AE538">
        <v>0</v>
      </c>
      <c r="AF538">
        <v>0</v>
      </c>
      <c r="AG538" s="2">
        <v>1900.43</v>
      </c>
      <c r="AH538">
        <v>0</v>
      </c>
      <c r="AI538" s="2">
        <v>1900.43</v>
      </c>
      <c r="AJ538">
        <v>558.62</v>
      </c>
      <c r="AK538">
        <v>558.62</v>
      </c>
      <c r="AL538" t="str">
        <f>"$"</f>
        <v>$</v>
      </c>
    </row>
    <row r="539" spans="1:38" x14ac:dyDescent="0.3">
      <c r="A539" t="str">
        <f>"SO20000368"</f>
        <v>SO20000368</v>
      </c>
      <c r="B539" t="str">
        <f>"E000319744"</f>
        <v>E000319744</v>
      </c>
      <c r="C539" t="str">
        <f>"בוצעה"</f>
        <v>בוצעה</v>
      </c>
      <c r="E539" s="3">
        <v>44067</v>
      </c>
      <c r="F539" s="3">
        <v>44155</v>
      </c>
      <c r="G539" t="str">
        <f>"700065"</f>
        <v>700065</v>
      </c>
      <c r="H539" t="str">
        <f>"אלתא מערכות בע""מ"</f>
        <v>אלתא מערכות בע"מ</v>
      </c>
      <c r="I539" t="str">
        <f>"ערן שלו"</f>
        <v>ערן שלו</v>
      </c>
      <c r="J539" t="str">
        <f>"OP-AR01664"</f>
        <v>OP-AR01664</v>
      </c>
      <c r="K539" s="1" t="str">
        <f>"6649E012-001 SYSTEM BUNDLE TO RSU - COMMUNICATIO"</f>
        <v>6649E012-001 SYSTEM BUNDLE TO RSU - COMMUNICATIO</v>
      </c>
      <c r="L539">
        <v>1</v>
      </c>
      <c r="M539" t="str">
        <f>"PR20000568"</f>
        <v>PR20000568</v>
      </c>
      <c r="N539" t="str">
        <f>"EM BUNDLE TO RSU - COMMUNICATION"</f>
        <v>EM BUNDLE TO RSU - COMMUNICATION</v>
      </c>
      <c r="O539">
        <v>490.17</v>
      </c>
      <c r="P539" t="str">
        <f>"$"</f>
        <v>$</v>
      </c>
      <c r="Q539" t="str">
        <f>"000"</f>
        <v>000</v>
      </c>
      <c r="R539" t="str">
        <f>"כללית"</f>
        <v>כללית</v>
      </c>
      <c r="S539" t="str">
        <f>"034"</f>
        <v>034</v>
      </c>
      <c r="T539" t="str">
        <f>"חן בזק"</f>
        <v>חן בזק</v>
      </c>
      <c r="U539">
        <v>0</v>
      </c>
      <c r="V539">
        <v>0</v>
      </c>
      <c r="W539">
        <v>490.17</v>
      </c>
      <c r="X539">
        <v>490.17</v>
      </c>
      <c r="Z539" t="str">
        <f>"Y"</f>
        <v>Y</v>
      </c>
      <c r="AA539">
        <v>0</v>
      </c>
      <c r="AC539">
        <v>0</v>
      </c>
      <c r="AE539">
        <v>0</v>
      </c>
      <c r="AF539">
        <v>0</v>
      </c>
      <c r="AG539" s="2">
        <v>1667.56</v>
      </c>
      <c r="AH539">
        <v>0</v>
      </c>
      <c r="AI539" s="2">
        <v>1667.56</v>
      </c>
      <c r="AJ539">
        <v>490.17</v>
      </c>
      <c r="AK539">
        <v>490.17</v>
      </c>
      <c r="AL539" t="str">
        <f>"$"</f>
        <v>$</v>
      </c>
    </row>
    <row r="540" spans="1:38" x14ac:dyDescent="0.3">
      <c r="A540" t="str">
        <f>"SO20000368"</f>
        <v>SO20000368</v>
      </c>
      <c r="B540" t="str">
        <f>"E000319744"</f>
        <v>E000319744</v>
      </c>
      <c r="C540" t="str">
        <f>"בוצעה"</f>
        <v>בוצעה</v>
      </c>
      <c r="E540" s="3">
        <v>44067</v>
      </c>
      <c r="F540" s="3">
        <v>44155</v>
      </c>
      <c r="G540" t="str">
        <f>"700065"</f>
        <v>700065</v>
      </c>
      <c r="H540" t="str">
        <f>"אלתא מערכות בע""מ"</f>
        <v>אלתא מערכות בע"מ</v>
      </c>
      <c r="I540" t="str">
        <f>"ערן שלו"</f>
        <v>ערן שלו</v>
      </c>
      <c r="J540" t="str">
        <f>"OP-AR01668"</f>
        <v>OP-AR01668</v>
      </c>
      <c r="K540" s="1" t="str">
        <f>"6660J891-001 W891"</f>
        <v>6660J891-001 W891</v>
      </c>
      <c r="L540">
        <v>1</v>
      </c>
      <c r="M540" t="str">
        <f>"PR20000568"</f>
        <v>PR20000568</v>
      </c>
      <c r="N540" t="str">
        <f>"EM BUNDLE TO RSU - COMMUNICATION"</f>
        <v>EM BUNDLE TO RSU - COMMUNICATION</v>
      </c>
      <c r="O540">
        <v>254.19</v>
      </c>
      <c r="P540" t="str">
        <f>"$"</f>
        <v>$</v>
      </c>
      <c r="Q540" t="str">
        <f>"000"</f>
        <v>000</v>
      </c>
      <c r="R540" t="str">
        <f>"כללית"</f>
        <v>כללית</v>
      </c>
      <c r="S540" t="str">
        <f>"034"</f>
        <v>034</v>
      </c>
      <c r="T540" t="str">
        <f>"חן בזק"</f>
        <v>חן בזק</v>
      </c>
      <c r="U540">
        <v>0</v>
      </c>
      <c r="V540">
        <v>0</v>
      </c>
      <c r="W540">
        <v>254.19</v>
      </c>
      <c r="X540">
        <v>254.19</v>
      </c>
      <c r="Z540" t="str">
        <f>"Y"</f>
        <v>Y</v>
      </c>
      <c r="AA540">
        <v>0</v>
      </c>
      <c r="AC540">
        <v>0</v>
      </c>
      <c r="AE540">
        <v>0</v>
      </c>
      <c r="AF540">
        <v>0</v>
      </c>
      <c r="AG540">
        <v>864.75</v>
      </c>
      <c r="AH540">
        <v>0</v>
      </c>
      <c r="AI540">
        <v>864.75</v>
      </c>
      <c r="AJ540">
        <v>254.19</v>
      </c>
      <c r="AK540">
        <v>254.19</v>
      </c>
      <c r="AL540" t="str">
        <f>"$"</f>
        <v>$</v>
      </c>
    </row>
    <row r="541" spans="1:38" x14ac:dyDescent="0.3">
      <c r="A541" t="str">
        <f>"SO20000368"</f>
        <v>SO20000368</v>
      </c>
      <c r="B541" t="str">
        <f>"E000319744"</f>
        <v>E000319744</v>
      </c>
      <c r="C541" t="str">
        <f>"בוצעה"</f>
        <v>בוצעה</v>
      </c>
      <c r="E541" s="3">
        <v>44067</v>
      </c>
      <c r="F541" s="3">
        <v>44155</v>
      </c>
      <c r="G541" t="str">
        <f>"700065"</f>
        <v>700065</v>
      </c>
      <c r="H541" t="str">
        <f>"אלתא מערכות בע""מ"</f>
        <v>אלתא מערכות בע"מ</v>
      </c>
      <c r="I541" t="str">
        <f>"ערן שלו"</f>
        <v>ערן שלו</v>
      </c>
      <c r="J541" t="str">
        <f>"OP-AR01685"</f>
        <v>OP-AR01685</v>
      </c>
      <c r="K541" s="1" t="str">
        <f>"6660J731-001 W731"</f>
        <v>6660J731-001 W731</v>
      </c>
      <c r="L541">
        <v>1</v>
      </c>
      <c r="M541" t="str">
        <f>"PR20000568"</f>
        <v>PR20000568</v>
      </c>
      <c r="N541" t="str">
        <f>"EM BUNDLE TO RSU - COMMUNICATION"</f>
        <v>EM BUNDLE TO RSU - COMMUNICATION</v>
      </c>
      <c r="O541">
        <v>402.48</v>
      </c>
      <c r="P541" t="str">
        <f>"$"</f>
        <v>$</v>
      </c>
      <c r="Q541" t="str">
        <f>"000"</f>
        <v>000</v>
      </c>
      <c r="R541" t="str">
        <f>"כללית"</f>
        <v>כללית</v>
      </c>
      <c r="S541" t="str">
        <f>"034"</f>
        <v>034</v>
      </c>
      <c r="T541" t="str">
        <f>"חן בזק"</f>
        <v>חן בזק</v>
      </c>
      <c r="U541">
        <v>0</v>
      </c>
      <c r="V541">
        <v>0</v>
      </c>
      <c r="W541">
        <v>402.48</v>
      </c>
      <c r="X541">
        <v>402.48</v>
      </c>
      <c r="Z541" t="str">
        <f>"Y"</f>
        <v>Y</v>
      </c>
      <c r="AA541">
        <v>0</v>
      </c>
      <c r="AC541">
        <v>0</v>
      </c>
      <c r="AE541">
        <v>0</v>
      </c>
      <c r="AF541">
        <v>0</v>
      </c>
      <c r="AG541" s="2">
        <v>1369.24</v>
      </c>
      <c r="AH541">
        <v>0</v>
      </c>
      <c r="AI541" s="2">
        <v>1369.24</v>
      </c>
      <c r="AJ541">
        <v>402.48</v>
      </c>
      <c r="AK541">
        <v>402.48</v>
      </c>
      <c r="AL541" t="str">
        <f>"$"</f>
        <v>$</v>
      </c>
    </row>
    <row r="542" spans="1:38" x14ac:dyDescent="0.3">
      <c r="A542" t="str">
        <f>"SO20000370"</f>
        <v>SO20000370</v>
      </c>
      <c r="B542" t="str">
        <f>"E000319967"</f>
        <v>E000319967</v>
      </c>
      <c r="C542" t="str">
        <f>"בוצעה"</f>
        <v>בוצעה</v>
      </c>
      <c r="E542" s="3">
        <v>44067</v>
      </c>
      <c r="F542" s="3">
        <v>44285</v>
      </c>
      <c r="G542" t="str">
        <f>"700065"</f>
        <v>700065</v>
      </c>
      <c r="H542" t="str">
        <f>"אלתא מערכות בע""מ"</f>
        <v>אלתא מערכות בע"מ</v>
      </c>
      <c r="I542" t="str">
        <f>"ערן שלו"</f>
        <v>ערן שלו</v>
      </c>
      <c r="J542" t="str">
        <f>"000"</f>
        <v>000</v>
      </c>
      <c r="K542" s="1" t="str">
        <f>"NRE"</f>
        <v>NRE</v>
      </c>
      <c r="L542">
        <v>1</v>
      </c>
      <c r="M542" t="str">
        <f>"PR20000576"</f>
        <v>PR20000576</v>
      </c>
      <c r="N542" t="str">
        <f>"VOLTAGE RECTIFIER UNIT"</f>
        <v>VOLTAGE RECTIFIER UNIT</v>
      </c>
      <c r="O542" s="2">
        <v>3885</v>
      </c>
      <c r="P542" t="str">
        <f>"$"</f>
        <v>$</v>
      </c>
      <c r="Q542" t="str">
        <f>"118"</f>
        <v>118</v>
      </c>
      <c r="R542" t="str">
        <f>"מערכות"</f>
        <v>מערכות</v>
      </c>
      <c r="S542" t="str">
        <f>"034"</f>
        <v>034</v>
      </c>
      <c r="T542" t="str">
        <f>"חן בזק"</f>
        <v>חן בזק</v>
      </c>
      <c r="U542">
        <v>0</v>
      </c>
      <c r="V542">
        <v>0</v>
      </c>
      <c r="W542" s="2">
        <v>3885</v>
      </c>
      <c r="X542" s="2">
        <v>3885</v>
      </c>
      <c r="Z542" t="str">
        <f>"Y"</f>
        <v>Y</v>
      </c>
      <c r="AA542">
        <v>1</v>
      </c>
      <c r="AC542">
        <v>0</v>
      </c>
      <c r="AE542">
        <v>0</v>
      </c>
      <c r="AF542">
        <v>0</v>
      </c>
      <c r="AG542" s="2">
        <v>13216.77</v>
      </c>
      <c r="AH542">
        <v>0</v>
      </c>
      <c r="AI542" s="2">
        <v>13216.77</v>
      </c>
      <c r="AJ542" s="2">
        <v>3885</v>
      </c>
      <c r="AK542" s="2">
        <v>3885</v>
      </c>
      <c r="AL542" t="str">
        <f>"$"</f>
        <v>$</v>
      </c>
    </row>
    <row r="543" spans="1:38" x14ac:dyDescent="0.3">
      <c r="A543" t="str">
        <f>"SO20000370"</f>
        <v>SO20000370</v>
      </c>
      <c r="B543" t="str">
        <f>"E000319967"</f>
        <v>E000319967</v>
      </c>
      <c r="C543" t="str">
        <f>"בוצעה"</f>
        <v>בוצעה</v>
      </c>
      <c r="E543" s="3">
        <v>44067</v>
      </c>
      <c r="F543" s="3">
        <v>44241</v>
      </c>
      <c r="G543" t="str">
        <f>"700065"</f>
        <v>700065</v>
      </c>
      <c r="H543" t="str">
        <f>"אלתא מערכות בע""מ"</f>
        <v>אלתא מערכות בע"מ</v>
      </c>
      <c r="I543" t="str">
        <f>"ערן שלו"</f>
        <v>ערן שלו</v>
      </c>
      <c r="J543" t="str">
        <f>"OP-KT00108"</f>
        <v>OP-KT00108</v>
      </c>
      <c r="K543" s="1" t="str">
        <f>"VOLTAGE RECTIFIER UNIT מק""ט 1039H790-001"</f>
        <v>VOLTAGE RECTIFIER UNIT מק"ט 1039H790-001</v>
      </c>
      <c r="L543">
        <v>5</v>
      </c>
      <c r="M543" t="str">
        <f>"PR20000576"</f>
        <v>PR20000576</v>
      </c>
      <c r="N543" t="str">
        <f>"VOLTAGE RECTIFIER UNIT"</f>
        <v>VOLTAGE RECTIFIER UNIT</v>
      </c>
      <c r="O543" s="2">
        <v>6250</v>
      </c>
      <c r="P543" t="str">
        <f>"$"</f>
        <v>$</v>
      </c>
      <c r="Q543" t="str">
        <f>"118"</f>
        <v>118</v>
      </c>
      <c r="R543" t="str">
        <f>"מערכות"</f>
        <v>מערכות</v>
      </c>
      <c r="S543" t="str">
        <f>"034"</f>
        <v>034</v>
      </c>
      <c r="T543" t="str">
        <f>"חן בזק"</f>
        <v>חן בזק</v>
      </c>
      <c r="U543">
        <v>0</v>
      </c>
      <c r="V543">
        <v>0</v>
      </c>
      <c r="W543" s="2">
        <v>6250</v>
      </c>
      <c r="X543" s="2">
        <v>31250</v>
      </c>
      <c r="Z543" t="str">
        <f>"Y"</f>
        <v>Y</v>
      </c>
      <c r="AA543">
        <v>0</v>
      </c>
      <c r="AC543">
        <v>0</v>
      </c>
      <c r="AE543">
        <v>0</v>
      </c>
      <c r="AF543">
        <v>0</v>
      </c>
      <c r="AG543" s="2">
        <v>21262.5</v>
      </c>
      <c r="AH543">
        <v>0</v>
      </c>
      <c r="AI543" s="2">
        <v>106312.5</v>
      </c>
      <c r="AJ543" s="2">
        <v>31250</v>
      </c>
      <c r="AK543" s="2">
        <v>31250</v>
      </c>
      <c r="AL543" t="str">
        <f>"$"</f>
        <v>$</v>
      </c>
    </row>
    <row r="544" spans="1:38" x14ac:dyDescent="0.3">
      <c r="A544" t="str">
        <f>"SO20000371"</f>
        <v>SO20000371</v>
      </c>
      <c r="B544" t="str">
        <f>"E000316561"</f>
        <v>E000316561</v>
      </c>
      <c r="C544" t="str">
        <f>"בוצעה"</f>
        <v>בוצעה</v>
      </c>
      <c r="E544" s="3">
        <v>44067</v>
      </c>
      <c r="F544" s="3">
        <v>44094</v>
      </c>
      <c r="G544" t="str">
        <f>"700065"</f>
        <v>700065</v>
      </c>
      <c r="H544" t="str">
        <f>"אלתא מערכות בע""מ"</f>
        <v>אלתא מערכות בע"מ</v>
      </c>
      <c r="I544" t="str">
        <f>"ערן שלו"</f>
        <v>ערן שלו</v>
      </c>
      <c r="J544" t="str">
        <f>"OP-AR01297"</f>
        <v>OP-AR01297</v>
      </c>
      <c r="K544" s="1" t="str">
        <f>"שדרוג יחידה LB PDB"</f>
        <v>שדרוג יחידה LB PDB</v>
      </c>
      <c r="L544">
        <v>1</v>
      </c>
      <c r="M544" t="str">
        <f>"PR19000454"</f>
        <v>PR19000454</v>
      </c>
      <c r="N544" t="str">
        <f>"שדרוג יחידות LB PDB"</f>
        <v>שדרוג יחידות LB PDB</v>
      </c>
      <c r="O544" s="2">
        <v>2549</v>
      </c>
      <c r="P544" t="str">
        <f>"$"</f>
        <v>$</v>
      </c>
      <c r="Q544" t="str">
        <f>"000"</f>
        <v>000</v>
      </c>
      <c r="R544" t="str">
        <f>"כללית"</f>
        <v>כללית</v>
      </c>
      <c r="S544" t="str">
        <f>"034"</f>
        <v>034</v>
      </c>
      <c r="T544" t="str">
        <f>"חן בזק"</f>
        <v>חן בזק</v>
      </c>
      <c r="U544">
        <v>0</v>
      </c>
      <c r="V544">
        <v>0</v>
      </c>
      <c r="W544" s="2">
        <v>2549</v>
      </c>
      <c r="X544" s="2">
        <v>2549</v>
      </c>
      <c r="Z544" t="str">
        <f>"Y"</f>
        <v>Y</v>
      </c>
      <c r="AA544">
        <v>0</v>
      </c>
      <c r="AC544">
        <v>0</v>
      </c>
      <c r="AE544">
        <v>0</v>
      </c>
      <c r="AF544">
        <v>0</v>
      </c>
      <c r="AG544" s="2">
        <v>8671.7000000000007</v>
      </c>
      <c r="AH544">
        <v>0</v>
      </c>
      <c r="AI544" s="2">
        <v>8671.7000000000007</v>
      </c>
      <c r="AJ544" s="2">
        <v>2549</v>
      </c>
      <c r="AK544" s="2">
        <v>2549</v>
      </c>
      <c r="AL544" t="str">
        <f>"$"</f>
        <v>$</v>
      </c>
    </row>
    <row r="545" spans="1:38" x14ac:dyDescent="0.3">
      <c r="A545" t="str">
        <f>"SO20000373"</f>
        <v>SO20000373</v>
      </c>
      <c r="B545" t="str">
        <f>"E000319150"</f>
        <v>E000319150</v>
      </c>
      <c r="C545" t="str">
        <f>"בוצעה"</f>
        <v>בוצעה</v>
      </c>
      <c r="E545" s="3">
        <v>44068</v>
      </c>
      <c r="F545" s="3">
        <v>44132</v>
      </c>
      <c r="G545" t="str">
        <f>"700065"</f>
        <v>700065</v>
      </c>
      <c r="H545" t="str">
        <f>"אלתא מערכות בע""מ"</f>
        <v>אלתא מערכות בע"מ</v>
      </c>
      <c r="I545" t="str">
        <f>"ערן שלו"</f>
        <v>ערן שלו</v>
      </c>
      <c r="J545" t="str">
        <f>"OP-AR01984"</f>
        <v>OP-AR01984</v>
      </c>
      <c r="K545" s="1" t="str">
        <f>"6660L001-001/-  AKD W213 UPGRADED BUNDLE INS-D"</f>
        <v>6660L001-001/-  AKD W213 UPGRADED BUNDLE INS-D</v>
      </c>
      <c r="L545">
        <v>3</v>
      </c>
      <c r="M545" t="str">
        <f>"PR20000567"</f>
        <v>PR20000567</v>
      </c>
      <c r="N545" t="str">
        <f>"AKD W213 UPGRADED BUNDLE INS-D"</f>
        <v>AKD W213 UPGRADED BUNDLE INS-D</v>
      </c>
      <c r="O545" s="2">
        <v>1651.65</v>
      </c>
      <c r="P545" t="str">
        <f>"$"</f>
        <v>$</v>
      </c>
      <c r="Q545" t="str">
        <f>"117"</f>
        <v>117</v>
      </c>
      <c r="R545" t="str">
        <f>"רתמות"</f>
        <v>רתמות</v>
      </c>
      <c r="S545" t="str">
        <f>"034"</f>
        <v>034</v>
      </c>
      <c r="T545" t="str">
        <f>"חן בזק"</f>
        <v>חן בזק</v>
      </c>
      <c r="U545">
        <v>0</v>
      </c>
      <c r="V545">
        <v>0</v>
      </c>
      <c r="W545" s="2">
        <v>1651.65</v>
      </c>
      <c r="X545" s="2">
        <v>4954.95</v>
      </c>
      <c r="Z545" t="str">
        <f>"Y"</f>
        <v>Y</v>
      </c>
      <c r="AA545">
        <v>0</v>
      </c>
      <c r="AC545">
        <v>0</v>
      </c>
      <c r="AE545">
        <v>0</v>
      </c>
      <c r="AF545">
        <v>0</v>
      </c>
      <c r="AG545" s="2">
        <v>5615.61</v>
      </c>
      <c r="AH545">
        <v>0</v>
      </c>
      <c r="AI545" s="2">
        <v>16846.830000000002</v>
      </c>
      <c r="AJ545" s="2">
        <v>4954.95</v>
      </c>
      <c r="AK545" s="2">
        <v>4954.95</v>
      </c>
      <c r="AL545" t="str">
        <f>"$"</f>
        <v>$</v>
      </c>
    </row>
    <row r="546" spans="1:38" x14ac:dyDescent="0.3">
      <c r="A546" t="str">
        <f>"SO20000373"</f>
        <v>SO20000373</v>
      </c>
      <c r="B546" t="str">
        <f>"E000319150"</f>
        <v>E000319150</v>
      </c>
      <c r="C546" t="str">
        <f>"בוצעה"</f>
        <v>בוצעה</v>
      </c>
      <c r="E546" s="3">
        <v>44068</v>
      </c>
      <c r="F546" s="3">
        <v>44270</v>
      </c>
      <c r="G546" t="str">
        <f>"700065"</f>
        <v>700065</v>
      </c>
      <c r="H546" t="str">
        <f>"אלתא מערכות בע""מ"</f>
        <v>אלתא מערכות בע"מ</v>
      </c>
      <c r="I546" t="str">
        <f>"ערן שלו"</f>
        <v>ערן שלו</v>
      </c>
      <c r="J546" t="str">
        <f>"OP-AR01985"</f>
        <v>OP-AR01985</v>
      </c>
      <c r="K546" s="1" t="str">
        <f>"NRE FOR E000319150"</f>
        <v>NRE FOR E000319150</v>
      </c>
      <c r="L546">
        <v>1</v>
      </c>
      <c r="M546" t="str">
        <f>"PR20000567"</f>
        <v>PR20000567</v>
      </c>
      <c r="N546" t="str">
        <f>"AKD W213 UPGRADED BUNDLE INS-D"</f>
        <v>AKD W213 UPGRADED BUNDLE INS-D</v>
      </c>
      <c r="O546">
        <v>248</v>
      </c>
      <c r="P546" t="str">
        <f>"$"</f>
        <v>$</v>
      </c>
      <c r="Q546" t="str">
        <f>"117"</f>
        <v>117</v>
      </c>
      <c r="R546" t="str">
        <f>"רתמות"</f>
        <v>רתמות</v>
      </c>
      <c r="S546" t="str">
        <f>"034"</f>
        <v>034</v>
      </c>
      <c r="T546" t="str">
        <f>"חן בזק"</f>
        <v>חן בזק</v>
      </c>
      <c r="U546">
        <v>0</v>
      </c>
      <c r="V546">
        <v>0</v>
      </c>
      <c r="W546">
        <v>248</v>
      </c>
      <c r="X546">
        <v>248</v>
      </c>
      <c r="Z546" t="str">
        <f>"Y"</f>
        <v>Y</v>
      </c>
      <c r="AA546">
        <v>1</v>
      </c>
      <c r="AC546">
        <v>0</v>
      </c>
      <c r="AE546">
        <v>0</v>
      </c>
      <c r="AF546">
        <v>0</v>
      </c>
      <c r="AG546">
        <v>843.2</v>
      </c>
      <c r="AH546">
        <v>0</v>
      </c>
      <c r="AI546">
        <v>843.2</v>
      </c>
      <c r="AJ546">
        <v>248</v>
      </c>
      <c r="AK546">
        <v>248</v>
      </c>
      <c r="AL546" t="str">
        <f>"$"</f>
        <v>$</v>
      </c>
    </row>
    <row r="547" spans="1:38" x14ac:dyDescent="0.3">
      <c r="A547" t="str">
        <f>"SO20000375"</f>
        <v>SO20000375</v>
      </c>
      <c r="B547" t="str">
        <f>"E000319640"</f>
        <v>E000319640</v>
      </c>
      <c r="C547" t="str">
        <f>"בוצעה"</f>
        <v>בוצעה</v>
      </c>
      <c r="E547" s="3">
        <v>44068</v>
      </c>
      <c r="F547" s="3">
        <v>44346</v>
      </c>
      <c r="G547" t="str">
        <f>"700065"</f>
        <v>700065</v>
      </c>
      <c r="H547" t="str">
        <f>"אלתא מערכות בע""מ"</f>
        <v>אלתא מערכות בע"מ</v>
      </c>
      <c r="I547" t="str">
        <f>"ערן שלו"</f>
        <v>ערן שלו</v>
      </c>
      <c r="J547" t="str">
        <f>"OP-AR01902"</f>
        <v>OP-AR01902</v>
      </c>
      <c r="K547" s="1" t="str">
        <f>"1039V964-001 - CABLE ASSY WR114"</f>
        <v>1039V964-001 - CABLE ASSY WR114</v>
      </c>
      <c r="L547">
        <v>6</v>
      </c>
      <c r="M547" t="str">
        <f>"PR20000571"</f>
        <v>PR20000571</v>
      </c>
      <c r="N547" t="str">
        <f>"WR114 - ETH SW TO RC AND EPU PNL"</f>
        <v>WR114 - ETH SW TO RC AND EPU PNL</v>
      </c>
      <c r="O547" s="2">
        <v>1722.54</v>
      </c>
      <c r="P547" t="str">
        <f>"$"</f>
        <v>$</v>
      </c>
      <c r="Q547" t="str">
        <f>"117"</f>
        <v>117</v>
      </c>
      <c r="R547" t="str">
        <f>"רתמות"</f>
        <v>רתמות</v>
      </c>
      <c r="S547" t="str">
        <f>"034"</f>
        <v>034</v>
      </c>
      <c r="T547" t="str">
        <f>"חן בזק"</f>
        <v>חן בזק</v>
      </c>
      <c r="U547">
        <v>0</v>
      </c>
      <c r="V547">
        <v>0</v>
      </c>
      <c r="W547" s="2">
        <v>1722.54</v>
      </c>
      <c r="X547" s="2">
        <v>10335.24</v>
      </c>
      <c r="Z547" t="str">
        <f>"Y"</f>
        <v>Y</v>
      </c>
      <c r="AA547">
        <v>0</v>
      </c>
      <c r="AC547">
        <v>0</v>
      </c>
      <c r="AE547">
        <v>0</v>
      </c>
      <c r="AF547">
        <v>0</v>
      </c>
      <c r="AG547" s="2">
        <v>5856.64</v>
      </c>
      <c r="AH547">
        <v>0</v>
      </c>
      <c r="AI547" s="2">
        <v>35139.82</v>
      </c>
      <c r="AJ547" s="2">
        <v>10335.24</v>
      </c>
      <c r="AK547" s="2">
        <v>10335.24</v>
      </c>
      <c r="AL547" t="str">
        <f>"$"</f>
        <v>$</v>
      </c>
    </row>
    <row r="548" spans="1:38" x14ac:dyDescent="0.3">
      <c r="A548" t="str">
        <f>"SO20000381"</f>
        <v>SO20000381</v>
      </c>
      <c r="B548" t="str">
        <f>"E000319715"</f>
        <v>E000319715</v>
      </c>
      <c r="C548" t="str">
        <f>"בוצעה"</f>
        <v>בוצעה</v>
      </c>
      <c r="E548" s="3">
        <v>44073</v>
      </c>
      <c r="F548" s="3">
        <v>44241</v>
      </c>
      <c r="G548" t="str">
        <f>"700065"</f>
        <v>700065</v>
      </c>
      <c r="H548" t="str">
        <f>"אלתא מערכות בע""מ"</f>
        <v>אלתא מערכות בע"מ</v>
      </c>
      <c r="I548" t="str">
        <f>"ערן שלו"</f>
        <v>ערן שלו</v>
      </c>
      <c r="J548" t="str">
        <f>"PS9900081"</f>
        <v>PS9900081</v>
      </c>
      <c r="K548" s="1" t="str">
        <f>"מטען מצברים 1039V517-001 ירוק"</f>
        <v>מטען מצברים 1039V517-001 ירוק</v>
      </c>
      <c r="L548">
        <v>2</v>
      </c>
      <c r="M548" t="str">
        <f>"PR20000578"</f>
        <v>PR20000578</v>
      </c>
      <c r="N548" t="str">
        <f>"LB BATTARY BOX CHARGER"</f>
        <v>LB BATTARY BOX CHARGER</v>
      </c>
      <c r="O548" s="2">
        <v>5500</v>
      </c>
      <c r="P548" t="str">
        <f>"$"</f>
        <v>$</v>
      </c>
      <c r="Q548" t="str">
        <f>"118"</f>
        <v>118</v>
      </c>
      <c r="R548" t="str">
        <f>"מערכות"</f>
        <v>מערכות</v>
      </c>
      <c r="S548" t="str">
        <f>"034"</f>
        <v>034</v>
      </c>
      <c r="T548" t="str">
        <f>"חן בזק"</f>
        <v>חן בזק</v>
      </c>
      <c r="U548">
        <v>0</v>
      </c>
      <c r="V548">
        <v>0</v>
      </c>
      <c r="W548" s="2">
        <v>5500</v>
      </c>
      <c r="X548" s="2">
        <v>11000</v>
      </c>
      <c r="Z548" t="str">
        <f>"Y"</f>
        <v>Y</v>
      </c>
      <c r="AA548">
        <v>0</v>
      </c>
      <c r="AC548">
        <v>0</v>
      </c>
      <c r="AE548">
        <v>0</v>
      </c>
      <c r="AF548">
        <v>0</v>
      </c>
      <c r="AG548" s="2">
        <v>18524</v>
      </c>
      <c r="AH548">
        <v>0</v>
      </c>
      <c r="AI548" s="2">
        <v>37048</v>
      </c>
      <c r="AJ548" s="2">
        <v>11000</v>
      </c>
      <c r="AK548" s="2">
        <v>11000</v>
      </c>
      <c r="AL548" t="str">
        <f>"$"</f>
        <v>$</v>
      </c>
    </row>
    <row r="549" spans="1:38" x14ac:dyDescent="0.3">
      <c r="A549" t="str">
        <f>"SO20000381"</f>
        <v>SO20000381</v>
      </c>
      <c r="B549" t="str">
        <f>"E000319715"</f>
        <v>E000319715</v>
      </c>
      <c r="C549" t="str">
        <f>"בוצעה"</f>
        <v>בוצעה</v>
      </c>
      <c r="E549" s="3">
        <v>44073</v>
      </c>
      <c r="F549" s="3">
        <v>44241</v>
      </c>
      <c r="G549" t="str">
        <f>"700065"</f>
        <v>700065</v>
      </c>
      <c r="H549" t="str">
        <f>"אלתא מערכות בע""מ"</f>
        <v>אלתא מערכות בע"מ</v>
      </c>
      <c r="I549" t="str">
        <f>"ערן שלו"</f>
        <v>ערן שלו</v>
      </c>
      <c r="J549" t="str">
        <f>"PS9900081"</f>
        <v>PS9900081</v>
      </c>
      <c r="K549" s="1" t="str">
        <f>"מטען מצברים 1039V517-001 ירוק"</f>
        <v>מטען מצברים 1039V517-001 ירוק</v>
      </c>
      <c r="L549">
        <v>2</v>
      </c>
      <c r="M549" t="str">
        <f>"PR20000578"</f>
        <v>PR20000578</v>
      </c>
      <c r="N549" t="str">
        <f>"LB BATTARY BOX CHARGER"</f>
        <v>LB BATTARY BOX CHARGER</v>
      </c>
      <c r="O549" s="2">
        <v>5500</v>
      </c>
      <c r="P549" t="str">
        <f>"$"</f>
        <v>$</v>
      </c>
      <c r="Q549" t="str">
        <f>"118"</f>
        <v>118</v>
      </c>
      <c r="R549" t="str">
        <f>"מערכות"</f>
        <v>מערכות</v>
      </c>
      <c r="S549" t="str">
        <f>"034"</f>
        <v>034</v>
      </c>
      <c r="T549" t="str">
        <f>"חן בזק"</f>
        <v>חן בזק</v>
      </c>
      <c r="U549">
        <v>0</v>
      </c>
      <c r="V549">
        <v>0</v>
      </c>
      <c r="W549" s="2">
        <v>5500</v>
      </c>
      <c r="X549" s="2">
        <v>11000</v>
      </c>
      <c r="Z549" t="str">
        <f>"Y"</f>
        <v>Y</v>
      </c>
      <c r="AA549">
        <v>0</v>
      </c>
      <c r="AC549">
        <v>0</v>
      </c>
      <c r="AE549">
        <v>0</v>
      </c>
      <c r="AF549">
        <v>0</v>
      </c>
      <c r="AG549" s="2">
        <v>18524</v>
      </c>
      <c r="AH549">
        <v>0</v>
      </c>
      <c r="AI549" s="2">
        <v>37048</v>
      </c>
      <c r="AJ549" s="2">
        <v>11000</v>
      </c>
      <c r="AK549" s="2">
        <v>11000</v>
      </c>
      <c r="AL549" t="str">
        <f>"$"</f>
        <v>$</v>
      </c>
    </row>
    <row r="550" spans="1:38" x14ac:dyDescent="0.3">
      <c r="A550" t="str">
        <f>"SO20000381"</f>
        <v>SO20000381</v>
      </c>
      <c r="B550" t="str">
        <f>"E000319715"</f>
        <v>E000319715</v>
      </c>
      <c r="C550" t="str">
        <f>"בוצעה"</f>
        <v>בוצעה</v>
      </c>
      <c r="E550" s="3">
        <v>44073</v>
      </c>
      <c r="F550" s="3">
        <v>44377</v>
      </c>
      <c r="G550" t="str">
        <f>"700065"</f>
        <v>700065</v>
      </c>
      <c r="H550" t="str">
        <f>"אלתא מערכות בע""מ"</f>
        <v>אלתא מערכות בע"מ</v>
      </c>
      <c r="I550" t="str">
        <f>"ערן שלו"</f>
        <v>ערן שלו</v>
      </c>
      <c r="J550" t="str">
        <f>"PS9900081"</f>
        <v>PS9900081</v>
      </c>
      <c r="K550" s="1" t="str">
        <f>"מטען מצברים 1039V517-001 ירוק"</f>
        <v>מטען מצברים 1039V517-001 ירוק</v>
      </c>
      <c r="L550">
        <v>2</v>
      </c>
      <c r="M550" t="str">
        <f>"PR20000578"</f>
        <v>PR20000578</v>
      </c>
      <c r="N550" t="str">
        <f>"LB BATTARY BOX CHARGER"</f>
        <v>LB BATTARY BOX CHARGER</v>
      </c>
      <c r="O550" s="2">
        <v>5500</v>
      </c>
      <c r="P550" t="str">
        <f>"$"</f>
        <v>$</v>
      </c>
      <c r="Q550" t="str">
        <f>"118"</f>
        <v>118</v>
      </c>
      <c r="R550" t="str">
        <f>"מערכות"</f>
        <v>מערכות</v>
      </c>
      <c r="S550" t="str">
        <f>"034"</f>
        <v>034</v>
      </c>
      <c r="T550" t="str">
        <f>"חן בזק"</f>
        <v>חן בזק</v>
      </c>
      <c r="U550">
        <v>0</v>
      </c>
      <c r="V550">
        <v>0</v>
      </c>
      <c r="W550" s="2">
        <v>5500</v>
      </c>
      <c r="X550" s="2">
        <v>11000</v>
      </c>
      <c r="Z550" t="str">
        <f>"Y"</f>
        <v>Y</v>
      </c>
      <c r="AA550">
        <v>0</v>
      </c>
      <c r="AC550">
        <v>0</v>
      </c>
      <c r="AE550">
        <v>0</v>
      </c>
      <c r="AF550">
        <v>0</v>
      </c>
      <c r="AG550" s="2">
        <v>18524</v>
      </c>
      <c r="AH550">
        <v>0</v>
      </c>
      <c r="AI550" s="2">
        <v>37048</v>
      </c>
      <c r="AJ550" s="2">
        <v>11000</v>
      </c>
      <c r="AK550" s="2">
        <v>11000</v>
      </c>
      <c r="AL550" t="str">
        <f>"$"</f>
        <v>$</v>
      </c>
    </row>
    <row r="551" spans="1:38" x14ac:dyDescent="0.3">
      <c r="A551" t="str">
        <f>"SO20000381"</f>
        <v>SO20000381</v>
      </c>
      <c r="B551" t="str">
        <f>"E000319715"</f>
        <v>E000319715</v>
      </c>
      <c r="C551" t="str">
        <f>"בוצעה"</f>
        <v>בוצעה</v>
      </c>
      <c r="E551" s="3">
        <v>44073</v>
      </c>
      <c r="F551" s="3">
        <v>44407</v>
      </c>
      <c r="G551" t="str">
        <f>"700065"</f>
        <v>700065</v>
      </c>
      <c r="H551" t="str">
        <f>"אלתא מערכות בע""מ"</f>
        <v>אלתא מערכות בע"מ</v>
      </c>
      <c r="I551" t="str">
        <f>"ערן שלו"</f>
        <v>ערן שלו</v>
      </c>
      <c r="J551" t="str">
        <f>"PS9900081"</f>
        <v>PS9900081</v>
      </c>
      <c r="K551" s="1" t="str">
        <f>"מטען מצברים 1039V517-001 ירוק"</f>
        <v>מטען מצברים 1039V517-001 ירוק</v>
      </c>
      <c r="L551">
        <v>2</v>
      </c>
      <c r="M551" t="str">
        <f>"PR20000578"</f>
        <v>PR20000578</v>
      </c>
      <c r="N551" t="str">
        <f>"LB BATTARY BOX CHARGER"</f>
        <v>LB BATTARY BOX CHARGER</v>
      </c>
      <c r="O551" s="2">
        <v>5500</v>
      </c>
      <c r="P551" t="str">
        <f>"$"</f>
        <v>$</v>
      </c>
      <c r="Q551" t="str">
        <f>"118"</f>
        <v>118</v>
      </c>
      <c r="R551" t="str">
        <f>"מערכות"</f>
        <v>מערכות</v>
      </c>
      <c r="S551" t="str">
        <f>"034"</f>
        <v>034</v>
      </c>
      <c r="T551" t="str">
        <f>"חן בזק"</f>
        <v>חן בזק</v>
      </c>
      <c r="U551">
        <v>0</v>
      </c>
      <c r="V551">
        <v>0</v>
      </c>
      <c r="W551" s="2">
        <v>5500</v>
      </c>
      <c r="X551" s="2">
        <v>11000</v>
      </c>
      <c r="Z551" t="str">
        <f>"Y"</f>
        <v>Y</v>
      </c>
      <c r="AA551">
        <v>0</v>
      </c>
      <c r="AC551">
        <v>0</v>
      </c>
      <c r="AE551">
        <v>0</v>
      </c>
      <c r="AF551">
        <v>0</v>
      </c>
      <c r="AG551" s="2">
        <v>18524</v>
      </c>
      <c r="AH551">
        <v>0</v>
      </c>
      <c r="AI551" s="2">
        <v>37048</v>
      </c>
      <c r="AJ551" s="2">
        <v>11000</v>
      </c>
      <c r="AK551" s="2">
        <v>11000</v>
      </c>
      <c r="AL551" t="str">
        <f>"$"</f>
        <v>$</v>
      </c>
    </row>
    <row r="552" spans="1:38" x14ac:dyDescent="0.3">
      <c r="A552" t="str">
        <f>"SO20000381"</f>
        <v>SO20000381</v>
      </c>
      <c r="B552" t="str">
        <f>"E000319715"</f>
        <v>E000319715</v>
      </c>
      <c r="C552" t="str">
        <f>"בוצעה"</f>
        <v>בוצעה</v>
      </c>
      <c r="E552" s="3">
        <v>44073</v>
      </c>
      <c r="F552" s="3">
        <v>44418</v>
      </c>
      <c r="G552" t="str">
        <f>"700065"</f>
        <v>700065</v>
      </c>
      <c r="H552" t="str">
        <f>"אלתא מערכות בע""מ"</f>
        <v>אלתא מערכות בע"מ</v>
      </c>
      <c r="I552" t="str">
        <f>"ערן שלו"</f>
        <v>ערן שלו</v>
      </c>
      <c r="J552" t="str">
        <f>"PS9900081"</f>
        <v>PS9900081</v>
      </c>
      <c r="K552" s="1" t="str">
        <f>"מטען מצברים 1039V517-001 ירוק"</f>
        <v>מטען מצברים 1039V517-001 ירוק</v>
      </c>
      <c r="L552">
        <v>5</v>
      </c>
      <c r="M552" t="str">
        <f>"PR20000578"</f>
        <v>PR20000578</v>
      </c>
      <c r="N552" t="str">
        <f>"LB BATTARY BOX CHARGER"</f>
        <v>LB BATTARY BOX CHARGER</v>
      </c>
      <c r="O552" s="2">
        <v>5500</v>
      </c>
      <c r="P552" t="str">
        <f>"$"</f>
        <v>$</v>
      </c>
      <c r="Q552" t="str">
        <f>"118"</f>
        <v>118</v>
      </c>
      <c r="R552" t="str">
        <f>"מערכות"</f>
        <v>מערכות</v>
      </c>
      <c r="S552" t="str">
        <f>"034"</f>
        <v>034</v>
      </c>
      <c r="T552" t="str">
        <f>"חן בזק"</f>
        <v>חן בזק</v>
      </c>
      <c r="U552">
        <v>0</v>
      </c>
      <c r="V552">
        <v>0</v>
      </c>
      <c r="W552" s="2">
        <v>5500</v>
      </c>
      <c r="X552" s="2">
        <v>27500</v>
      </c>
      <c r="Z552" t="str">
        <f>"Y"</f>
        <v>Y</v>
      </c>
      <c r="AA552">
        <v>0</v>
      </c>
      <c r="AC552">
        <v>0</v>
      </c>
      <c r="AE552">
        <v>0</v>
      </c>
      <c r="AF552">
        <v>0</v>
      </c>
      <c r="AG552" s="2">
        <v>18524</v>
      </c>
      <c r="AH552">
        <v>0</v>
      </c>
      <c r="AI552" s="2">
        <v>92620</v>
      </c>
      <c r="AJ552" s="2">
        <v>27500</v>
      </c>
      <c r="AK552" s="2">
        <v>27500</v>
      </c>
      <c r="AL552" t="str">
        <f>"$"</f>
        <v>$</v>
      </c>
    </row>
    <row r="553" spans="1:38" x14ac:dyDescent="0.3">
      <c r="A553" t="str">
        <f>"SO20000381"</f>
        <v>SO20000381</v>
      </c>
      <c r="B553" t="str">
        <f>"E000319715"</f>
        <v>E000319715</v>
      </c>
      <c r="C553" t="str">
        <f>"בוצעה"</f>
        <v>בוצעה</v>
      </c>
      <c r="E553" s="3">
        <v>44073</v>
      </c>
      <c r="F553" s="3">
        <v>44316</v>
      </c>
      <c r="G553" t="str">
        <f>"700065"</f>
        <v>700065</v>
      </c>
      <c r="H553" t="str">
        <f>"אלתא מערכות בע""מ"</f>
        <v>אלתא מערכות בע"מ</v>
      </c>
      <c r="I553" t="str">
        <f>"ערן שלו"</f>
        <v>ערן שלו</v>
      </c>
      <c r="J553" t="str">
        <f>"OP-AR09105-1"</f>
        <v>OP-AR09105-1</v>
      </c>
      <c r="K553" s="1" t="str">
        <f>"לוח ARMY מק""ט לקוח 1036V310-001"</f>
        <v>לוח ARMY מק"ט לקוח 1036V310-001</v>
      </c>
      <c r="L553">
        <v>1</v>
      </c>
      <c r="M553" t="str">
        <f>"PR20000140"</f>
        <v>PR20000140</v>
      </c>
      <c r="N553" t="str">
        <f>"ייצור לוח PDB דצמבר 2020/3"</f>
        <v>ייצור לוח PDB דצמבר 2020/3</v>
      </c>
      <c r="O553" s="2">
        <v>38749</v>
      </c>
      <c r="P553" t="str">
        <f>"$"</f>
        <v>$</v>
      </c>
      <c r="Q553" t="str">
        <f>"118"</f>
        <v>118</v>
      </c>
      <c r="R553" t="str">
        <f>"מערכות"</f>
        <v>מערכות</v>
      </c>
      <c r="S553" t="str">
        <f>"034"</f>
        <v>034</v>
      </c>
      <c r="T553" t="str">
        <f>"חן בזק"</f>
        <v>חן בזק</v>
      </c>
      <c r="U553">
        <v>0</v>
      </c>
      <c r="V553">
        <v>0</v>
      </c>
      <c r="W553" s="2">
        <v>38749</v>
      </c>
      <c r="X553" s="2">
        <v>38749</v>
      </c>
      <c r="Z553" t="str">
        <f>"Y"</f>
        <v>Y</v>
      </c>
      <c r="AA553">
        <v>0</v>
      </c>
      <c r="AC553">
        <v>0</v>
      </c>
      <c r="AE553">
        <v>0</v>
      </c>
      <c r="AF553">
        <v>0</v>
      </c>
      <c r="AG553" s="2">
        <v>130506.63</v>
      </c>
      <c r="AH553">
        <v>0</v>
      </c>
      <c r="AI553" s="2">
        <v>130506.63</v>
      </c>
      <c r="AJ553" s="2">
        <v>38749</v>
      </c>
      <c r="AK553" s="2">
        <v>38749</v>
      </c>
      <c r="AL553" t="str">
        <f>"$"</f>
        <v>$</v>
      </c>
    </row>
    <row r="554" spans="1:38" x14ac:dyDescent="0.3">
      <c r="A554" t="str">
        <f>"SO20000381"</f>
        <v>SO20000381</v>
      </c>
      <c r="B554" t="str">
        <f>"E000319715"</f>
        <v>E000319715</v>
      </c>
      <c r="C554" t="str">
        <f>"בוצעה"</f>
        <v>בוצעה</v>
      </c>
      <c r="E554" s="3">
        <v>44073</v>
      </c>
      <c r="F554" s="3">
        <v>44402</v>
      </c>
      <c r="G554" t="str">
        <f>"700065"</f>
        <v>700065</v>
      </c>
      <c r="H554" t="str">
        <f>"אלתא מערכות בע""מ"</f>
        <v>אלתא מערכות בע"מ</v>
      </c>
      <c r="I554" t="str">
        <f>"ערן שלו"</f>
        <v>ערן שלו</v>
      </c>
      <c r="J554" t="str">
        <f>"OP-AR09105-1"</f>
        <v>OP-AR09105-1</v>
      </c>
      <c r="K554" s="1" t="str">
        <f>"לוח ARMY מק""ט לקוח 1036V310-001"</f>
        <v>לוח ARMY מק"ט לקוח 1036V310-001</v>
      </c>
      <c r="L554">
        <v>1</v>
      </c>
      <c r="M554" t="str">
        <f>"PR20000141"</f>
        <v>PR20000141</v>
      </c>
      <c r="N554" t="str">
        <f>"ייצור לוח PDB מרץ  2021/1"</f>
        <v>ייצור לוח PDB מרץ  2021/1</v>
      </c>
      <c r="O554" s="2">
        <v>38749</v>
      </c>
      <c r="P554" t="str">
        <f>"$"</f>
        <v>$</v>
      </c>
      <c r="Q554" t="str">
        <f>"118"</f>
        <v>118</v>
      </c>
      <c r="R554" t="str">
        <f>"מערכות"</f>
        <v>מערכות</v>
      </c>
      <c r="S554" t="str">
        <f>"034"</f>
        <v>034</v>
      </c>
      <c r="T554" t="str">
        <f>"חן בזק"</f>
        <v>חן בזק</v>
      </c>
      <c r="U554">
        <v>0</v>
      </c>
      <c r="V554">
        <v>0</v>
      </c>
      <c r="W554" s="2">
        <v>38749</v>
      </c>
      <c r="X554" s="2">
        <v>38749</v>
      </c>
      <c r="Z554" t="str">
        <f>"Y"</f>
        <v>Y</v>
      </c>
      <c r="AA554">
        <v>0</v>
      </c>
      <c r="AC554">
        <v>0</v>
      </c>
      <c r="AE554">
        <v>0</v>
      </c>
      <c r="AF554">
        <v>0</v>
      </c>
      <c r="AG554" s="2">
        <v>130506.63</v>
      </c>
      <c r="AH554">
        <v>0</v>
      </c>
      <c r="AI554" s="2">
        <v>130506.63</v>
      </c>
      <c r="AJ554" s="2">
        <v>38749</v>
      </c>
      <c r="AK554" s="2">
        <v>38749</v>
      </c>
      <c r="AL554" t="str">
        <f>"$"</f>
        <v>$</v>
      </c>
    </row>
    <row r="555" spans="1:38" x14ac:dyDescent="0.3">
      <c r="A555" t="str">
        <f>"SO20000381"</f>
        <v>SO20000381</v>
      </c>
      <c r="B555" t="str">
        <f>"E000319715"</f>
        <v>E000319715</v>
      </c>
      <c r="C555" t="str">
        <f>"בוצעה"</f>
        <v>בוצעה</v>
      </c>
      <c r="E555" s="3">
        <v>44073</v>
      </c>
      <c r="F555" s="3">
        <v>44409</v>
      </c>
      <c r="G555" t="str">
        <f>"700065"</f>
        <v>700065</v>
      </c>
      <c r="H555" t="str">
        <f>"אלתא מערכות בע""מ"</f>
        <v>אלתא מערכות בע"מ</v>
      </c>
      <c r="I555" t="str">
        <f>"ערן שלו"</f>
        <v>ערן שלו</v>
      </c>
      <c r="J555" t="str">
        <f>"OP-AR09105-1"</f>
        <v>OP-AR09105-1</v>
      </c>
      <c r="K555" s="1" t="str">
        <f>"לוח ARMY מק""ט לקוח 1036V310-001"</f>
        <v>לוח ARMY מק"ט לקוח 1036V310-001</v>
      </c>
      <c r="L555">
        <v>1</v>
      </c>
      <c r="M555" t="str">
        <f>"PR20000142"</f>
        <v>PR20000142</v>
      </c>
      <c r="N555" t="str">
        <f>"ייצור לוח PDB מרץ 2021/2"</f>
        <v>ייצור לוח PDB מרץ 2021/2</v>
      </c>
      <c r="O555" s="2">
        <v>38749</v>
      </c>
      <c r="P555" t="str">
        <f>"$"</f>
        <v>$</v>
      </c>
      <c r="Q555" t="str">
        <f>"118"</f>
        <v>118</v>
      </c>
      <c r="R555" t="str">
        <f>"מערכות"</f>
        <v>מערכות</v>
      </c>
      <c r="S555" t="str">
        <f>"034"</f>
        <v>034</v>
      </c>
      <c r="T555" t="str">
        <f>"חן בזק"</f>
        <v>חן בזק</v>
      </c>
      <c r="U555">
        <v>0</v>
      </c>
      <c r="V555">
        <v>0</v>
      </c>
      <c r="W555" s="2">
        <v>38749</v>
      </c>
      <c r="X555" s="2">
        <v>38749</v>
      </c>
      <c r="Z555" t="str">
        <f>"Y"</f>
        <v>Y</v>
      </c>
      <c r="AA555">
        <v>0</v>
      </c>
      <c r="AC555">
        <v>0</v>
      </c>
      <c r="AE555">
        <v>0</v>
      </c>
      <c r="AF555">
        <v>0</v>
      </c>
      <c r="AG555" s="2">
        <v>130506.63</v>
      </c>
      <c r="AH555">
        <v>0</v>
      </c>
      <c r="AI555" s="2">
        <v>130506.63</v>
      </c>
      <c r="AJ555" s="2">
        <v>38749</v>
      </c>
      <c r="AK555" s="2">
        <v>38749</v>
      </c>
      <c r="AL555" t="str">
        <f>"$"</f>
        <v>$</v>
      </c>
    </row>
    <row r="556" spans="1:38" x14ac:dyDescent="0.3">
      <c r="A556" t="str">
        <f>"SO20000381"</f>
        <v>SO20000381</v>
      </c>
      <c r="B556" t="str">
        <f>"E000319715"</f>
        <v>E000319715</v>
      </c>
      <c r="C556" t="str">
        <f>"בוצעה"</f>
        <v>בוצעה</v>
      </c>
      <c r="E556" s="3">
        <v>44073</v>
      </c>
      <c r="F556" s="3">
        <v>44530</v>
      </c>
      <c r="G556" t="str">
        <f>"700065"</f>
        <v>700065</v>
      </c>
      <c r="H556" t="str">
        <f>"אלתא מערכות בע""מ"</f>
        <v>אלתא מערכות בע"מ</v>
      </c>
      <c r="I556" t="str">
        <f>"ערן שלו"</f>
        <v>ערן שלו</v>
      </c>
      <c r="J556" t="str">
        <f>"OP-AR09105-1"</f>
        <v>OP-AR09105-1</v>
      </c>
      <c r="K556" s="1" t="str">
        <f>"לוח ARMY מק""ט לקוח 1036V310-001"</f>
        <v>לוח ARMY מק"ט לקוח 1036V310-001</v>
      </c>
      <c r="L556">
        <v>1</v>
      </c>
      <c r="M556" t="str">
        <f>"PR20000143"</f>
        <v>PR20000143</v>
      </c>
      <c r="N556" t="str">
        <f>"ייצור לוח PDB מרץ 2021/3"</f>
        <v>ייצור לוח PDB מרץ 2021/3</v>
      </c>
      <c r="O556" s="2">
        <v>38749</v>
      </c>
      <c r="P556" t="str">
        <f>"$"</f>
        <v>$</v>
      </c>
      <c r="Q556" t="str">
        <f>"118"</f>
        <v>118</v>
      </c>
      <c r="R556" t="str">
        <f>"מערכות"</f>
        <v>מערכות</v>
      </c>
      <c r="S556" t="str">
        <f>"034"</f>
        <v>034</v>
      </c>
      <c r="T556" t="str">
        <f>"חן בזק"</f>
        <v>חן בזק</v>
      </c>
      <c r="U556">
        <v>0</v>
      </c>
      <c r="V556">
        <v>0</v>
      </c>
      <c r="W556" s="2">
        <v>38749</v>
      </c>
      <c r="X556" s="2">
        <v>38749</v>
      </c>
      <c r="Z556" t="str">
        <f>"Y"</f>
        <v>Y</v>
      </c>
      <c r="AA556">
        <v>0</v>
      </c>
      <c r="AC556">
        <v>0</v>
      </c>
      <c r="AE556">
        <v>0</v>
      </c>
      <c r="AF556">
        <v>0</v>
      </c>
      <c r="AG556" s="2">
        <v>130506.63</v>
      </c>
      <c r="AH556">
        <v>0</v>
      </c>
      <c r="AI556" s="2">
        <v>130506.63</v>
      </c>
      <c r="AJ556" s="2">
        <v>38749</v>
      </c>
      <c r="AK556" s="2">
        <v>38749</v>
      </c>
      <c r="AL556" t="str">
        <f>"$"</f>
        <v>$</v>
      </c>
    </row>
    <row r="557" spans="1:38" x14ac:dyDescent="0.3">
      <c r="A557" t="str">
        <f>"SO20000381"</f>
        <v>SO20000381</v>
      </c>
      <c r="B557" t="str">
        <f>"E000319715"</f>
        <v>E000319715</v>
      </c>
      <c r="C557" t="str">
        <f>"בוצעה"</f>
        <v>בוצעה</v>
      </c>
      <c r="E557" s="3">
        <v>44073</v>
      </c>
      <c r="F557" s="3">
        <v>44742</v>
      </c>
      <c r="G557" t="str">
        <f>"700065"</f>
        <v>700065</v>
      </c>
      <c r="H557" t="str">
        <f>"אלתא מערכות בע""מ"</f>
        <v>אלתא מערכות בע"מ</v>
      </c>
      <c r="I557" t="str">
        <f>"ערן שלו"</f>
        <v>ערן שלו</v>
      </c>
      <c r="J557" t="str">
        <f>"OP-AR09105-1"</f>
        <v>OP-AR09105-1</v>
      </c>
      <c r="K557" s="1" t="str">
        <f>"לוח ARMY מק""ט לקוח 1036V310-001"</f>
        <v>לוח ARMY מק"ט לקוח 1036V310-001</v>
      </c>
      <c r="L557">
        <v>1</v>
      </c>
      <c r="M557" t="str">
        <f>"PR20000144"</f>
        <v>PR20000144</v>
      </c>
      <c r="N557" t="str">
        <f>"ייצור לוח PDB יולי  2021/1"</f>
        <v>ייצור לוח PDB יולי  2021/1</v>
      </c>
      <c r="O557" s="2">
        <v>38749</v>
      </c>
      <c r="P557" t="str">
        <f>"$"</f>
        <v>$</v>
      </c>
      <c r="Q557" t="str">
        <f>"118"</f>
        <v>118</v>
      </c>
      <c r="R557" t="str">
        <f>"מערכות"</f>
        <v>מערכות</v>
      </c>
      <c r="S557" t="str">
        <f>"034"</f>
        <v>034</v>
      </c>
      <c r="T557" t="str">
        <f>"חן בזק"</f>
        <v>חן בזק</v>
      </c>
      <c r="U557">
        <v>0</v>
      </c>
      <c r="V557">
        <v>0</v>
      </c>
      <c r="W557" s="2">
        <v>38749</v>
      </c>
      <c r="X557" s="2">
        <v>38749</v>
      </c>
      <c r="Z557" t="str">
        <f>"Y"</f>
        <v>Y</v>
      </c>
      <c r="AA557">
        <v>0</v>
      </c>
      <c r="AC557">
        <v>0</v>
      </c>
      <c r="AE557">
        <v>0</v>
      </c>
      <c r="AF557">
        <v>0</v>
      </c>
      <c r="AG557" s="2">
        <v>130506.63</v>
      </c>
      <c r="AH557">
        <v>0</v>
      </c>
      <c r="AI557" s="2">
        <v>130506.63</v>
      </c>
      <c r="AJ557" s="2">
        <v>38749</v>
      </c>
      <c r="AK557" s="2">
        <v>38749</v>
      </c>
      <c r="AL557" t="str">
        <f>"$"</f>
        <v>$</v>
      </c>
    </row>
    <row r="558" spans="1:38" x14ac:dyDescent="0.3">
      <c r="A558" t="str">
        <f>"SO20000381"</f>
        <v>SO20000381</v>
      </c>
      <c r="B558" t="str">
        <f>"E000319715"</f>
        <v>E000319715</v>
      </c>
      <c r="C558" t="str">
        <f>"בוצעה"</f>
        <v>בוצעה</v>
      </c>
      <c r="E558" s="3">
        <v>44073</v>
      </c>
      <c r="F558" s="3">
        <v>44316</v>
      </c>
      <c r="G558" t="str">
        <f>"700065"</f>
        <v>700065</v>
      </c>
      <c r="H558" t="str">
        <f>"אלתא מערכות בע""מ"</f>
        <v>אלתא מערכות בע"מ</v>
      </c>
      <c r="I558" t="str">
        <f>"ערן שלו"</f>
        <v>ערן שלו</v>
      </c>
      <c r="J558" t="str">
        <f>"OP-AR01025"</f>
        <v>OP-AR01025</v>
      </c>
      <c r="K558" s="1" t="str">
        <f>"BATTERY BOX 1039V520-001"</f>
        <v>BATTERY BOX 1039V520-001</v>
      </c>
      <c r="L558">
        <v>1</v>
      </c>
      <c r="M558" t="str">
        <f>"PR20000156"</f>
        <v>PR20000156</v>
      </c>
      <c r="N558" t="str">
        <f>"LB BATTERY BOX דצמבר 2020"</f>
        <v>LB BATTERY BOX דצמבר 2020</v>
      </c>
      <c r="O558" s="2">
        <v>5577</v>
      </c>
      <c r="P558" t="str">
        <f>"$"</f>
        <v>$</v>
      </c>
      <c r="Q558" t="str">
        <f>"118"</f>
        <v>118</v>
      </c>
      <c r="R558" t="str">
        <f>"מערכות"</f>
        <v>מערכות</v>
      </c>
      <c r="S558" t="str">
        <f>"034"</f>
        <v>034</v>
      </c>
      <c r="T558" t="str">
        <f>"חן בזק"</f>
        <v>חן בזק</v>
      </c>
      <c r="U558">
        <v>0</v>
      </c>
      <c r="V558">
        <v>0</v>
      </c>
      <c r="W558" s="2">
        <v>5577</v>
      </c>
      <c r="X558" s="2">
        <v>5577</v>
      </c>
      <c r="Z558" t="str">
        <f>"Y"</f>
        <v>Y</v>
      </c>
      <c r="AA558">
        <v>0</v>
      </c>
      <c r="AC558">
        <v>0</v>
      </c>
      <c r="AE558">
        <v>0</v>
      </c>
      <c r="AF558">
        <v>0</v>
      </c>
      <c r="AG558" s="2">
        <v>18783.34</v>
      </c>
      <c r="AH558">
        <v>0</v>
      </c>
      <c r="AI558" s="2">
        <v>18783.34</v>
      </c>
      <c r="AJ558" s="2">
        <v>5577</v>
      </c>
      <c r="AK558" s="2">
        <v>5577</v>
      </c>
      <c r="AL558" t="str">
        <f>"$"</f>
        <v>$</v>
      </c>
    </row>
    <row r="559" spans="1:38" x14ac:dyDescent="0.3">
      <c r="A559" t="str">
        <f>"SO20000381"</f>
        <v>SO20000381</v>
      </c>
      <c r="B559" t="str">
        <f>"E000319715"</f>
        <v>E000319715</v>
      </c>
      <c r="C559" t="str">
        <f>"בוצעה"</f>
        <v>בוצעה</v>
      </c>
      <c r="E559" s="3">
        <v>44073</v>
      </c>
      <c r="F559" s="3">
        <v>44392</v>
      </c>
      <c r="G559" t="str">
        <f>"700065"</f>
        <v>700065</v>
      </c>
      <c r="H559" t="str">
        <f>"אלתא מערכות בע""מ"</f>
        <v>אלתא מערכות בע"מ</v>
      </c>
      <c r="I559" t="str">
        <f>"ערן שלו"</f>
        <v>ערן שלו</v>
      </c>
      <c r="J559" t="str">
        <f>"OP-AR01025"</f>
        <v>OP-AR01025</v>
      </c>
      <c r="K559" s="1" t="str">
        <f>"BATTERY BOX 1039V520-001"</f>
        <v>BATTERY BOX 1039V520-001</v>
      </c>
      <c r="L559">
        <v>1</v>
      </c>
      <c r="M559" t="str">
        <f>"PR20000157"</f>
        <v>PR20000157</v>
      </c>
      <c r="N559" t="str">
        <f>"LB BATTERY BOX יולי 2021"</f>
        <v>LB BATTERY BOX יולי 2021</v>
      </c>
      <c r="O559" s="2">
        <v>5577</v>
      </c>
      <c r="P559" t="str">
        <f>"$"</f>
        <v>$</v>
      </c>
      <c r="Q559" t="str">
        <f>"118"</f>
        <v>118</v>
      </c>
      <c r="R559" t="str">
        <f>"מערכות"</f>
        <v>מערכות</v>
      </c>
      <c r="S559" t="str">
        <f>"034"</f>
        <v>034</v>
      </c>
      <c r="T559" t="str">
        <f>"חן בזק"</f>
        <v>חן בזק</v>
      </c>
      <c r="U559">
        <v>0</v>
      </c>
      <c r="V559">
        <v>0</v>
      </c>
      <c r="W559" s="2">
        <v>5577</v>
      </c>
      <c r="X559" s="2">
        <v>5577</v>
      </c>
      <c r="Z559" t="str">
        <f>"Y"</f>
        <v>Y</v>
      </c>
      <c r="AA559">
        <v>0</v>
      </c>
      <c r="AC559">
        <v>0</v>
      </c>
      <c r="AE559">
        <v>0</v>
      </c>
      <c r="AF559">
        <v>0</v>
      </c>
      <c r="AG559" s="2">
        <v>18783.34</v>
      </c>
      <c r="AH559">
        <v>0</v>
      </c>
      <c r="AI559" s="2">
        <v>18783.34</v>
      </c>
      <c r="AJ559" s="2">
        <v>5577</v>
      </c>
      <c r="AK559" s="2">
        <v>5577</v>
      </c>
      <c r="AL559" t="str">
        <f>"$"</f>
        <v>$</v>
      </c>
    </row>
    <row r="560" spans="1:38" x14ac:dyDescent="0.3">
      <c r="A560" t="str">
        <f>"SO20000381"</f>
        <v>SO20000381</v>
      </c>
      <c r="B560" t="str">
        <f>"E000319715"</f>
        <v>E000319715</v>
      </c>
      <c r="C560" t="str">
        <f>"בוצעה"</f>
        <v>בוצעה</v>
      </c>
      <c r="E560" s="3">
        <v>44073</v>
      </c>
      <c r="F560" s="3">
        <v>44392</v>
      </c>
      <c r="G560" t="str">
        <f>"700065"</f>
        <v>700065</v>
      </c>
      <c r="H560" t="str">
        <f>"אלתא מערכות בע""מ"</f>
        <v>אלתא מערכות בע"מ</v>
      </c>
      <c r="I560" t="str">
        <f>"ערן שלו"</f>
        <v>ערן שלו</v>
      </c>
      <c r="J560" t="str">
        <f>"OP-AR01025"</f>
        <v>OP-AR01025</v>
      </c>
      <c r="K560" s="1" t="str">
        <f>"BATTERY BOX 1039V520-001"</f>
        <v>BATTERY BOX 1039V520-001</v>
      </c>
      <c r="L560">
        <v>1</v>
      </c>
      <c r="M560" t="str">
        <f>"PR20000157"</f>
        <v>PR20000157</v>
      </c>
      <c r="N560" t="str">
        <f>"LB BATTERY BOX יולי 2021"</f>
        <v>LB BATTERY BOX יולי 2021</v>
      </c>
      <c r="O560" s="2">
        <v>5577</v>
      </c>
      <c r="P560" t="str">
        <f>"$"</f>
        <v>$</v>
      </c>
      <c r="Q560" t="str">
        <f>"118"</f>
        <v>118</v>
      </c>
      <c r="R560" t="str">
        <f>"מערכות"</f>
        <v>מערכות</v>
      </c>
      <c r="S560" t="str">
        <f>"034"</f>
        <v>034</v>
      </c>
      <c r="T560" t="str">
        <f>"חן בזק"</f>
        <v>חן בזק</v>
      </c>
      <c r="U560">
        <v>0</v>
      </c>
      <c r="V560">
        <v>0</v>
      </c>
      <c r="W560" s="2">
        <v>5577</v>
      </c>
      <c r="X560" s="2">
        <v>5577</v>
      </c>
      <c r="Z560" t="str">
        <f>"Y"</f>
        <v>Y</v>
      </c>
      <c r="AA560">
        <v>0</v>
      </c>
      <c r="AC560">
        <v>0</v>
      </c>
      <c r="AE560">
        <v>0</v>
      </c>
      <c r="AF560">
        <v>0</v>
      </c>
      <c r="AG560" s="2">
        <v>18783.34</v>
      </c>
      <c r="AH560">
        <v>0</v>
      </c>
      <c r="AI560" s="2">
        <v>18783.34</v>
      </c>
      <c r="AJ560" s="2">
        <v>5577</v>
      </c>
      <c r="AK560" s="2">
        <v>5577</v>
      </c>
      <c r="AL560" t="str">
        <f>"$"</f>
        <v>$</v>
      </c>
    </row>
    <row r="561" spans="1:38" x14ac:dyDescent="0.3">
      <c r="A561" t="str">
        <f>"SO20000381"</f>
        <v>SO20000381</v>
      </c>
      <c r="B561" t="str">
        <f>"E000319715"</f>
        <v>E000319715</v>
      </c>
      <c r="C561" t="str">
        <f>"בוצעה"</f>
        <v>בוצעה</v>
      </c>
      <c r="E561" s="3">
        <v>44073</v>
      </c>
      <c r="F561" s="3">
        <v>44635</v>
      </c>
      <c r="G561" t="str">
        <f>"700065"</f>
        <v>700065</v>
      </c>
      <c r="H561" t="str">
        <f>"אלתא מערכות בע""מ"</f>
        <v>אלתא מערכות בע"מ</v>
      </c>
      <c r="I561" t="str">
        <f>"ערן שלו"</f>
        <v>ערן שלו</v>
      </c>
      <c r="J561" t="str">
        <f>"OP-AR01025"</f>
        <v>OP-AR01025</v>
      </c>
      <c r="K561" s="1" t="str">
        <f>"BATTERY BOX 1039V520-001"</f>
        <v>BATTERY BOX 1039V520-001</v>
      </c>
      <c r="L561">
        <v>1</v>
      </c>
      <c r="M561" t="str">
        <f>"PR20000158"</f>
        <v>PR20000158</v>
      </c>
      <c r="N561" t="str">
        <f>"LB BATTERY BOX דצמבר 2021"</f>
        <v>LB BATTERY BOX דצמבר 2021</v>
      </c>
      <c r="O561" s="2">
        <v>5577</v>
      </c>
      <c r="P561" t="str">
        <f>"$"</f>
        <v>$</v>
      </c>
      <c r="Q561" t="str">
        <f>"118"</f>
        <v>118</v>
      </c>
      <c r="R561" t="str">
        <f>"מערכות"</f>
        <v>מערכות</v>
      </c>
      <c r="S561" t="str">
        <f>"034"</f>
        <v>034</v>
      </c>
      <c r="T561" t="str">
        <f>"חן בזק"</f>
        <v>חן בזק</v>
      </c>
      <c r="U561">
        <v>0</v>
      </c>
      <c r="V561">
        <v>0</v>
      </c>
      <c r="W561" s="2">
        <v>5577</v>
      </c>
      <c r="X561" s="2">
        <v>5577</v>
      </c>
      <c r="Z561" t="str">
        <f>"Y"</f>
        <v>Y</v>
      </c>
      <c r="AA561">
        <v>0</v>
      </c>
      <c r="AC561">
        <v>0</v>
      </c>
      <c r="AE561">
        <v>0</v>
      </c>
      <c r="AF561">
        <v>0</v>
      </c>
      <c r="AG561" s="2">
        <v>18783.34</v>
      </c>
      <c r="AH561">
        <v>0</v>
      </c>
      <c r="AI561" s="2">
        <v>18783.34</v>
      </c>
      <c r="AJ561" s="2">
        <v>5577</v>
      </c>
      <c r="AK561" s="2">
        <v>5577</v>
      </c>
      <c r="AL561" t="str">
        <f>"$"</f>
        <v>$</v>
      </c>
    </row>
    <row r="562" spans="1:38" x14ac:dyDescent="0.3">
      <c r="A562" t="str">
        <f>"SO20000381"</f>
        <v>SO20000381</v>
      </c>
      <c r="B562" t="str">
        <f>"E000319715"</f>
        <v>E000319715</v>
      </c>
      <c r="C562" t="str">
        <f>"בוצעה"</f>
        <v>בוצעה</v>
      </c>
      <c r="E562" s="3">
        <v>44073</v>
      </c>
      <c r="F562" s="3">
        <v>44635</v>
      </c>
      <c r="G562" t="str">
        <f>"700065"</f>
        <v>700065</v>
      </c>
      <c r="H562" t="str">
        <f>"אלתא מערכות בע""מ"</f>
        <v>אלתא מערכות בע"מ</v>
      </c>
      <c r="I562" t="str">
        <f>"ערן שלו"</f>
        <v>ערן שלו</v>
      </c>
      <c r="J562" t="str">
        <f>"OP-AR01025"</f>
        <v>OP-AR01025</v>
      </c>
      <c r="K562" s="1" t="str">
        <f>"BATTERY BOX 1039V520-001"</f>
        <v>BATTERY BOX 1039V520-001</v>
      </c>
      <c r="L562">
        <v>1</v>
      </c>
      <c r="M562" t="str">
        <f>"PR20000158"</f>
        <v>PR20000158</v>
      </c>
      <c r="N562" t="str">
        <f>"LB BATTERY BOX דצמבר 2021"</f>
        <v>LB BATTERY BOX דצמבר 2021</v>
      </c>
      <c r="O562" s="2">
        <v>5577</v>
      </c>
      <c r="P562" t="str">
        <f>"$"</f>
        <v>$</v>
      </c>
      <c r="Q562" t="str">
        <f>"118"</f>
        <v>118</v>
      </c>
      <c r="R562" t="str">
        <f>"מערכות"</f>
        <v>מערכות</v>
      </c>
      <c r="S562" t="str">
        <f>"034"</f>
        <v>034</v>
      </c>
      <c r="T562" t="str">
        <f>"חן בזק"</f>
        <v>חן בזק</v>
      </c>
      <c r="U562">
        <v>0</v>
      </c>
      <c r="V562">
        <v>0</v>
      </c>
      <c r="W562" s="2">
        <v>5577</v>
      </c>
      <c r="X562" s="2">
        <v>5577</v>
      </c>
      <c r="Z562" t="str">
        <f>"Y"</f>
        <v>Y</v>
      </c>
      <c r="AA562">
        <v>0</v>
      </c>
      <c r="AC562">
        <v>0</v>
      </c>
      <c r="AE562">
        <v>0</v>
      </c>
      <c r="AF562">
        <v>0</v>
      </c>
      <c r="AG562" s="2">
        <v>18783.34</v>
      </c>
      <c r="AH562">
        <v>0</v>
      </c>
      <c r="AI562" s="2">
        <v>18783.34</v>
      </c>
      <c r="AJ562" s="2">
        <v>5577</v>
      </c>
      <c r="AK562" s="2">
        <v>5577</v>
      </c>
      <c r="AL562" t="str">
        <f>"$"</f>
        <v>$</v>
      </c>
    </row>
    <row r="563" spans="1:38" x14ac:dyDescent="0.3">
      <c r="A563" t="str">
        <f>"SO20000381"</f>
        <v>SO20000381</v>
      </c>
      <c r="B563" t="str">
        <f>"E000319715"</f>
        <v>E000319715</v>
      </c>
      <c r="C563" t="str">
        <f>"בוצעה"</f>
        <v>בוצעה</v>
      </c>
      <c r="E563" s="3">
        <v>44073</v>
      </c>
      <c r="F563" s="3">
        <v>44201</v>
      </c>
      <c r="G563" t="str">
        <f>"700065"</f>
        <v>700065</v>
      </c>
      <c r="H563" t="str">
        <f>"אלתא מערכות בע""מ"</f>
        <v>אלתא מערכות בע"מ</v>
      </c>
      <c r="I563" t="str">
        <f>"ערן שלו"</f>
        <v>ערן שלו</v>
      </c>
      <c r="J563" t="str">
        <f>"OP-AR09107"</f>
        <v>OP-AR09107</v>
      </c>
      <c r="K563" s="1" t="str">
        <f>"לוח AUX BOX מק""ט לקוח 1026L320-001"</f>
        <v>לוח AUX BOX מק"ט לקוח 1026L320-001</v>
      </c>
      <c r="L563">
        <v>0</v>
      </c>
      <c r="M563" t="str">
        <f>"PR20000149"</f>
        <v>PR20000149</v>
      </c>
      <c r="N563" t="str">
        <f>"יצור AUX BOX דצמבר 2020/3"</f>
        <v>יצור AUX BOX דצמבר 2020/3</v>
      </c>
      <c r="O563" s="2">
        <v>26958</v>
      </c>
      <c r="P563" t="str">
        <f>"$"</f>
        <v>$</v>
      </c>
      <c r="Q563" t="str">
        <f>"118"</f>
        <v>118</v>
      </c>
      <c r="R563" t="str">
        <f>"מערכות"</f>
        <v>מערכות</v>
      </c>
      <c r="S563" t="str">
        <f>"034"</f>
        <v>034</v>
      </c>
      <c r="T563" t="str">
        <f>"חן בזק"</f>
        <v>חן בזק</v>
      </c>
      <c r="U563">
        <v>0</v>
      </c>
      <c r="V563">
        <v>0</v>
      </c>
      <c r="W563" s="2">
        <v>26958</v>
      </c>
      <c r="X563">
        <v>0</v>
      </c>
      <c r="Z563" t="str">
        <f>"Y"</f>
        <v>Y</v>
      </c>
      <c r="AA563">
        <v>0</v>
      </c>
      <c r="AC563">
        <v>0</v>
      </c>
      <c r="AE563">
        <v>0</v>
      </c>
      <c r="AF563">
        <v>0</v>
      </c>
      <c r="AG563" s="2">
        <v>90794.54</v>
      </c>
      <c r="AH563">
        <v>0</v>
      </c>
      <c r="AI563">
        <v>0</v>
      </c>
      <c r="AJ563">
        <v>0</v>
      </c>
      <c r="AK563">
        <v>0</v>
      </c>
      <c r="AL563" t="str">
        <f>"$"</f>
        <v>$</v>
      </c>
    </row>
    <row r="564" spans="1:38" x14ac:dyDescent="0.3">
      <c r="A564" t="str">
        <f>"SO20000381"</f>
        <v>SO20000381</v>
      </c>
      <c r="B564" t="str">
        <f>"E000319715"</f>
        <v>E000319715</v>
      </c>
      <c r="C564" t="str">
        <f>"בוצעה"</f>
        <v>בוצעה</v>
      </c>
      <c r="E564" s="3">
        <v>44073</v>
      </c>
      <c r="F564" s="3">
        <v>44203</v>
      </c>
      <c r="G564" t="str">
        <f>"700065"</f>
        <v>700065</v>
      </c>
      <c r="H564" t="str">
        <f>"אלתא מערכות בע""מ"</f>
        <v>אלתא מערכות בע"מ</v>
      </c>
      <c r="I564" t="str">
        <f>"ערן שלו"</f>
        <v>ערן שלו</v>
      </c>
      <c r="J564" t="str">
        <f>"OP-AR09107-1"</f>
        <v>OP-AR09107-1</v>
      </c>
      <c r="K564" s="1" t="str">
        <f>"לוח AUX BOX מק""ט לקוח 1036V320 001"</f>
        <v>לוח AUX BOX מק"ט לקוח 1036V320 001</v>
      </c>
      <c r="L564">
        <v>1</v>
      </c>
      <c r="M564" t="str">
        <f>"PR20000149"</f>
        <v>PR20000149</v>
      </c>
      <c r="N564" t="str">
        <f>"יצור AUX BOX דצמבר 2020/3"</f>
        <v>יצור AUX BOX דצמבר 2020/3</v>
      </c>
      <c r="O564" s="2">
        <v>26958</v>
      </c>
      <c r="P564" t="str">
        <f>"$"</f>
        <v>$</v>
      </c>
      <c r="Q564" t="str">
        <f>"118"</f>
        <v>118</v>
      </c>
      <c r="R564" t="str">
        <f>"מערכות"</f>
        <v>מערכות</v>
      </c>
      <c r="S564" t="str">
        <f>"034"</f>
        <v>034</v>
      </c>
      <c r="T564" t="str">
        <f>"חן בזק"</f>
        <v>חן בזק</v>
      </c>
      <c r="U564">
        <v>0</v>
      </c>
      <c r="V564">
        <v>0</v>
      </c>
      <c r="W564" s="2">
        <v>26958</v>
      </c>
      <c r="X564" s="2">
        <v>26958</v>
      </c>
      <c r="Z564" t="str">
        <f>"Y"</f>
        <v>Y</v>
      </c>
      <c r="AA564">
        <v>0</v>
      </c>
      <c r="AC564">
        <v>0</v>
      </c>
      <c r="AE564">
        <v>0</v>
      </c>
      <c r="AF564">
        <v>0</v>
      </c>
      <c r="AG564" s="2">
        <v>90794.54</v>
      </c>
      <c r="AH564">
        <v>0</v>
      </c>
      <c r="AI564" s="2">
        <v>90794.54</v>
      </c>
      <c r="AJ564" s="2">
        <v>26958</v>
      </c>
      <c r="AK564" s="2">
        <v>26958</v>
      </c>
      <c r="AL564" t="str">
        <f>"$"</f>
        <v>$</v>
      </c>
    </row>
    <row r="565" spans="1:38" x14ac:dyDescent="0.3">
      <c r="A565" t="str">
        <f>"SO20000381"</f>
        <v>SO20000381</v>
      </c>
      <c r="B565" t="str">
        <f>"E000319715"</f>
        <v>E000319715</v>
      </c>
      <c r="C565" t="str">
        <f>"בוצעה"</f>
        <v>בוצעה</v>
      </c>
      <c r="E565" s="3">
        <v>44073</v>
      </c>
      <c r="F565" s="3">
        <v>44438</v>
      </c>
      <c r="G565" t="str">
        <f>"700065"</f>
        <v>700065</v>
      </c>
      <c r="H565" t="str">
        <f>"אלתא מערכות בע""מ"</f>
        <v>אלתא מערכות בע"מ</v>
      </c>
      <c r="I565" t="str">
        <f>"ערן שלו"</f>
        <v>ערן שלו</v>
      </c>
      <c r="J565" t="str">
        <f>"OP-AR09107-1"</f>
        <v>OP-AR09107-1</v>
      </c>
      <c r="K565" s="1" t="str">
        <f>"לוח AUX BOX מק""ט לקוח 1036V320 001"</f>
        <v>לוח AUX BOX מק"ט לקוח 1036V320 001</v>
      </c>
      <c r="L565">
        <v>1</v>
      </c>
      <c r="M565" t="str">
        <f>"PR20000150"</f>
        <v>PR20000150</v>
      </c>
      <c r="N565" t="str">
        <f>"יצור AUX BOX יולי  2021/1"</f>
        <v>יצור AUX BOX יולי  2021/1</v>
      </c>
      <c r="O565" s="2">
        <v>26958</v>
      </c>
      <c r="P565" t="str">
        <f>"$"</f>
        <v>$</v>
      </c>
      <c r="Q565" t="str">
        <f>"118"</f>
        <v>118</v>
      </c>
      <c r="R565" t="str">
        <f>"מערכות"</f>
        <v>מערכות</v>
      </c>
      <c r="S565" t="str">
        <f>"034"</f>
        <v>034</v>
      </c>
      <c r="T565" t="str">
        <f>"חן בזק"</f>
        <v>חן בזק</v>
      </c>
      <c r="U565">
        <v>0</v>
      </c>
      <c r="V565">
        <v>0</v>
      </c>
      <c r="W565" s="2">
        <v>26958</v>
      </c>
      <c r="X565" s="2">
        <v>26958</v>
      </c>
      <c r="Z565" t="str">
        <f>"Y"</f>
        <v>Y</v>
      </c>
      <c r="AA565">
        <v>0</v>
      </c>
      <c r="AC565">
        <v>0</v>
      </c>
      <c r="AE565">
        <v>0</v>
      </c>
      <c r="AF565">
        <v>0</v>
      </c>
      <c r="AG565" s="2">
        <v>90794.54</v>
      </c>
      <c r="AH565">
        <v>0</v>
      </c>
      <c r="AI565" s="2">
        <v>90794.54</v>
      </c>
      <c r="AJ565" s="2">
        <v>26958</v>
      </c>
      <c r="AK565" s="2">
        <v>26958</v>
      </c>
      <c r="AL565" t="str">
        <f>"$"</f>
        <v>$</v>
      </c>
    </row>
    <row r="566" spans="1:38" x14ac:dyDescent="0.3">
      <c r="A566" t="str">
        <f>"SO20000381"</f>
        <v>SO20000381</v>
      </c>
      <c r="B566" t="str">
        <f>"E000319715"</f>
        <v>E000319715</v>
      </c>
      <c r="C566" t="str">
        <f>"בוצעה"</f>
        <v>בוצעה</v>
      </c>
      <c r="E566" s="3">
        <v>44073</v>
      </c>
      <c r="F566" s="3">
        <v>44523</v>
      </c>
      <c r="G566" t="str">
        <f>"700065"</f>
        <v>700065</v>
      </c>
      <c r="H566" t="str">
        <f>"אלתא מערכות בע""מ"</f>
        <v>אלתא מערכות בע"מ</v>
      </c>
      <c r="I566" t="str">
        <f>"ערן שלו"</f>
        <v>ערן שלו</v>
      </c>
      <c r="J566" t="str">
        <f>"9977"</f>
        <v>9977</v>
      </c>
      <c r="K566" s="1" t="str">
        <f>"קנס פיגור באספקה"</f>
        <v>קנס פיגור באספקה</v>
      </c>
      <c r="L566">
        <v>-1</v>
      </c>
      <c r="O566">
        <v>673.95</v>
      </c>
      <c r="P566" t="str">
        <f>"$"</f>
        <v>$</v>
      </c>
      <c r="Q566" t="str">
        <f>"118"</f>
        <v>118</v>
      </c>
      <c r="R566" t="str">
        <f>"מערכות"</f>
        <v>מערכות</v>
      </c>
      <c r="S566" t="str">
        <f>"034"</f>
        <v>034</v>
      </c>
      <c r="T566" t="str">
        <f>"חן בזק"</f>
        <v>חן בזק</v>
      </c>
      <c r="U566">
        <v>0</v>
      </c>
      <c r="V566">
        <v>0</v>
      </c>
      <c r="W566">
        <v>673.95</v>
      </c>
      <c r="X566">
        <v>-673.95</v>
      </c>
      <c r="Z566" t="str">
        <f>"Y"</f>
        <v>Y</v>
      </c>
      <c r="AA566">
        <v>-1</v>
      </c>
      <c r="AC566">
        <v>0</v>
      </c>
      <c r="AE566">
        <v>0</v>
      </c>
      <c r="AF566">
        <v>0</v>
      </c>
      <c r="AG566" s="2">
        <v>2269.86</v>
      </c>
      <c r="AH566">
        <v>0</v>
      </c>
      <c r="AI566" s="2">
        <v>-2269.86</v>
      </c>
      <c r="AJ566">
        <v>-673.95</v>
      </c>
      <c r="AK566">
        <v>-673.95</v>
      </c>
      <c r="AL566" t="str">
        <f>"$"</f>
        <v>$</v>
      </c>
    </row>
    <row r="567" spans="1:38" x14ac:dyDescent="0.3">
      <c r="A567" t="str">
        <f>"SO20000381"</f>
        <v>SO20000381</v>
      </c>
      <c r="B567" t="str">
        <f>"E000319715"</f>
        <v>E000319715</v>
      </c>
      <c r="C567" t="str">
        <f>"בוצעה"</f>
        <v>בוצעה</v>
      </c>
      <c r="E567" s="3">
        <v>44073</v>
      </c>
      <c r="F567" s="3">
        <v>44499</v>
      </c>
      <c r="G567" t="str">
        <f>"700065"</f>
        <v>700065</v>
      </c>
      <c r="H567" t="str">
        <f>"אלתא מערכות בע""מ"</f>
        <v>אלתא מערכות בע"מ</v>
      </c>
      <c r="I567" t="str">
        <f>"ערן שלו"</f>
        <v>ערן שלו</v>
      </c>
      <c r="J567" t="str">
        <f>"OP-AR09107-1"</f>
        <v>OP-AR09107-1</v>
      </c>
      <c r="K567" s="1" t="str">
        <f>"לוח AUX BOX מק""ט לקוח 1036V320 001"</f>
        <v>לוח AUX BOX מק"ט לקוח 1036V320 001</v>
      </c>
      <c r="L567">
        <v>1</v>
      </c>
      <c r="M567" t="str">
        <f>"PR21000137"</f>
        <v>PR21000137</v>
      </c>
      <c r="N567" t="str">
        <f>"ייצור AUXירוק"</f>
        <v>ייצור AUXירוק</v>
      </c>
      <c r="O567" s="2">
        <v>26958</v>
      </c>
      <c r="P567" t="str">
        <f>"$"</f>
        <v>$</v>
      </c>
      <c r="Q567" t="str">
        <f>"118"</f>
        <v>118</v>
      </c>
      <c r="R567" t="str">
        <f>"מערכות"</f>
        <v>מערכות</v>
      </c>
      <c r="S567" t="str">
        <f>"034"</f>
        <v>034</v>
      </c>
      <c r="T567" t="str">
        <f>"חן בזק"</f>
        <v>חן בזק</v>
      </c>
      <c r="U567">
        <v>0</v>
      </c>
      <c r="V567">
        <v>0</v>
      </c>
      <c r="W567" s="2">
        <v>26958</v>
      </c>
      <c r="X567" s="2">
        <v>26958</v>
      </c>
      <c r="Z567" t="str">
        <f>"Y"</f>
        <v>Y</v>
      </c>
      <c r="AA567">
        <v>0</v>
      </c>
      <c r="AC567">
        <v>0</v>
      </c>
      <c r="AE567">
        <v>0</v>
      </c>
      <c r="AF567">
        <v>0</v>
      </c>
      <c r="AG567" s="2">
        <v>90794.54</v>
      </c>
      <c r="AH567">
        <v>0</v>
      </c>
      <c r="AI567" s="2">
        <v>90794.54</v>
      </c>
      <c r="AJ567" s="2">
        <v>26958</v>
      </c>
      <c r="AK567" s="2">
        <v>26958</v>
      </c>
      <c r="AL567" t="str">
        <f>"$"</f>
        <v>$</v>
      </c>
    </row>
    <row r="568" spans="1:38" x14ac:dyDescent="0.3">
      <c r="A568" t="str">
        <f>"SO20000381"</f>
        <v>SO20000381</v>
      </c>
      <c r="B568" t="str">
        <f>"E000319715"</f>
        <v>E000319715</v>
      </c>
      <c r="C568" t="str">
        <f>"בוצעה"</f>
        <v>בוצעה</v>
      </c>
      <c r="E568" s="3">
        <v>44073</v>
      </c>
      <c r="F568" s="3">
        <v>44666</v>
      </c>
      <c r="G568" t="str">
        <f>"700065"</f>
        <v>700065</v>
      </c>
      <c r="H568" t="str">
        <f>"אלתא מערכות בע""מ"</f>
        <v>אלתא מערכות בע"מ</v>
      </c>
      <c r="I568" t="str">
        <f>"ערן שלו"</f>
        <v>ערן שלו</v>
      </c>
      <c r="J568" t="str">
        <f>"OP-AR09107-1"</f>
        <v>OP-AR09107-1</v>
      </c>
      <c r="K568" s="1" t="str">
        <f>"לוח AUX BOX מק""ט לקוח 1036V320 001"</f>
        <v>לוח AUX BOX מק"ט לקוח 1036V320 001</v>
      </c>
      <c r="L568">
        <v>1</v>
      </c>
      <c r="M568" t="str">
        <f>"PR20000152"</f>
        <v>PR20000152</v>
      </c>
      <c r="N568" t="str">
        <f>"יצור AUX BOX יולי 2021/3"</f>
        <v>יצור AUX BOX יולי 2021/3</v>
      </c>
      <c r="O568" s="2">
        <v>26958</v>
      </c>
      <c r="P568" t="str">
        <f>"$"</f>
        <v>$</v>
      </c>
      <c r="Q568" t="str">
        <f>"118"</f>
        <v>118</v>
      </c>
      <c r="R568" t="str">
        <f>"מערכות"</f>
        <v>מערכות</v>
      </c>
      <c r="S568" t="str">
        <f>"034"</f>
        <v>034</v>
      </c>
      <c r="T568" t="str">
        <f>"חן בזק"</f>
        <v>חן בזק</v>
      </c>
      <c r="U568">
        <v>0</v>
      </c>
      <c r="V568">
        <v>0</v>
      </c>
      <c r="W568" s="2">
        <v>26958</v>
      </c>
      <c r="X568" s="2">
        <v>26958</v>
      </c>
      <c r="Z568" t="str">
        <f>"Y"</f>
        <v>Y</v>
      </c>
      <c r="AA568">
        <v>0</v>
      </c>
      <c r="AC568">
        <v>0</v>
      </c>
      <c r="AE568">
        <v>0</v>
      </c>
      <c r="AF568">
        <v>0</v>
      </c>
      <c r="AG568" s="2">
        <v>90794.54</v>
      </c>
      <c r="AH568">
        <v>0</v>
      </c>
      <c r="AI568" s="2">
        <v>90794.54</v>
      </c>
      <c r="AJ568" s="2">
        <v>26958</v>
      </c>
      <c r="AK568" s="2">
        <v>26958</v>
      </c>
      <c r="AL568" t="str">
        <f>"$"</f>
        <v>$</v>
      </c>
    </row>
    <row r="569" spans="1:38" x14ac:dyDescent="0.3">
      <c r="A569" t="str">
        <f>"SO20000381"</f>
        <v>SO20000381</v>
      </c>
      <c r="B569" t="str">
        <f>"E000319715"</f>
        <v>E000319715</v>
      </c>
      <c r="C569" t="str">
        <f>"בוצעה"</f>
        <v>בוצעה</v>
      </c>
      <c r="E569" s="3">
        <v>44073</v>
      </c>
      <c r="F569" s="3">
        <v>44650</v>
      </c>
      <c r="G569" t="str">
        <f>"700065"</f>
        <v>700065</v>
      </c>
      <c r="H569" t="str">
        <f>"אלתא מערכות בע""מ"</f>
        <v>אלתא מערכות בע"מ</v>
      </c>
      <c r="I569" t="str">
        <f>"ערן שלו"</f>
        <v>ערן שלו</v>
      </c>
      <c r="J569" t="str">
        <f>"OP-AR09107-1"</f>
        <v>OP-AR09107-1</v>
      </c>
      <c r="K569" s="1" t="str">
        <f>"לוח AUX BOX מק""ט לקוח 1036V320 001"</f>
        <v>לוח AUX BOX מק"ט לקוח 1036V320 001</v>
      </c>
      <c r="L569">
        <v>1</v>
      </c>
      <c r="M569" t="str">
        <f>"PR20000153"</f>
        <v>PR20000153</v>
      </c>
      <c r="N569" t="str">
        <f>"יצור AUX BOX דצמבר 2021/1"</f>
        <v>יצור AUX BOX דצמבר 2021/1</v>
      </c>
      <c r="O569" s="2">
        <v>26958</v>
      </c>
      <c r="P569" t="str">
        <f>"$"</f>
        <v>$</v>
      </c>
      <c r="Q569" t="str">
        <f>"118"</f>
        <v>118</v>
      </c>
      <c r="R569" t="str">
        <f>"מערכות"</f>
        <v>מערכות</v>
      </c>
      <c r="S569" t="str">
        <f>"034"</f>
        <v>034</v>
      </c>
      <c r="T569" t="str">
        <f>"חן בזק"</f>
        <v>חן בזק</v>
      </c>
      <c r="U569">
        <v>0</v>
      </c>
      <c r="V569">
        <v>0</v>
      </c>
      <c r="W569" s="2">
        <v>26958</v>
      </c>
      <c r="X569" s="2">
        <v>26958</v>
      </c>
      <c r="Z569" t="str">
        <f>"Y"</f>
        <v>Y</v>
      </c>
      <c r="AA569">
        <v>0</v>
      </c>
      <c r="AC569">
        <v>0</v>
      </c>
      <c r="AE569">
        <v>0</v>
      </c>
      <c r="AF569">
        <v>0</v>
      </c>
      <c r="AG569" s="2">
        <v>90794.54</v>
      </c>
      <c r="AH569">
        <v>0</v>
      </c>
      <c r="AI569" s="2">
        <v>90794.54</v>
      </c>
      <c r="AJ569" s="2">
        <v>26958</v>
      </c>
      <c r="AK569" s="2">
        <v>26958</v>
      </c>
      <c r="AL569" t="str">
        <f>"$"</f>
        <v>$</v>
      </c>
    </row>
    <row r="570" spans="1:38" x14ac:dyDescent="0.3">
      <c r="A570" t="str">
        <f>"SO20000384"</f>
        <v>SO20000384</v>
      </c>
      <c r="B570" t="str">
        <f>"E000319391"</f>
        <v>E000319391</v>
      </c>
      <c r="C570" t="str">
        <f>"בוצעה"</f>
        <v>בוצעה</v>
      </c>
      <c r="E570" s="3">
        <v>44073</v>
      </c>
      <c r="F570" s="3">
        <v>44140</v>
      </c>
      <c r="G570" t="str">
        <f>"700065"</f>
        <v>700065</v>
      </c>
      <c r="H570" t="str">
        <f>"אלתא מערכות בע""מ"</f>
        <v>אלתא מערכות בע"מ</v>
      </c>
      <c r="I570" t="str">
        <f>"ערן שלו"</f>
        <v>ערן שלו</v>
      </c>
      <c r="J570" t="str">
        <f>"OP-AR01977"</f>
        <v>OP-AR01977</v>
      </c>
      <c r="K570" s="1" t="str">
        <f>"1022H567-001  - W17-RG178 CABLE ASSY"</f>
        <v>1022H567-001  - W17-RG178 CABLE ASSY</v>
      </c>
      <c r="L570">
        <v>5</v>
      </c>
      <c r="M570" t="str">
        <f>"PR20000572"</f>
        <v>PR20000572</v>
      </c>
      <c r="N570" t="str">
        <f>"W17-RG178 CABLE ASS"</f>
        <v>W17-RG178 CABLE ASS</v>
      </c>
      <c r="O570">
        <v>141.63999999999999</v>
      </c>
      <c r="P570" t="str">
        <f>"$"</f>
        <v>$</v>
      </c>
      <c r="Q570" t="str">
        <f>"000"</f>
        <v>000</v>
      </c>
      <c r="R570" t="str">
        <f>"כללית"</f>
        <v>כללית</v>
      </c>
      <c r="S570" t="str">
        <f>"034"</f>
        <v>034</v>
      </c>
      <c r="T570" t="str">
        <f>"חן בזק"</f>
        <v>חן בזק</v>
      </c>
      <c r="U570">
        <v>0</v>
      </c>
      <c r="V570">
        <v>0</v>
      </c>
      <c r="W570">
        <v>141.63999999999999</v>
      </c>
      <c r="X570">
        <v>708.2</v>
      </c>
      <c r="Z570" t="str">
        <f>"Y"</f>
        <v>Y</v>
      </c>
      <c r="AA570">
        <v>0</v>
      </c>
      <c r="AC570">
        <v>0</v>
      </c>
      <c r="AE570">
        <v>0</v>
      </c>
      <c r="AF570">
        <v>0</v>
      </c>
      <c r="AG570">
        <v>477.04</v>
      </c>
      <c r="AH570">
        <v>0</v>
      </c>
      <c r="AI570" s="2">
        <v>2385.2199999999998</v>
      </c>
      <c r="AJ570">
        <v>708.2</v>
      </c>
      <c r="AK570">
        <v>708.2</v>
      </c>
      <c r="AL570" t="str">
        <f>"$"</f>
        <v>$</v>
      </c>
    </row>
    <row r="571" spans="1:38" x14ac:dyDescent="0.3">
      <c r="A571" t="str">
        <f>"SO20000384"</f>
        <v>SO20000384</v>
      </c>
      <c r="B571" t="str">
        <f>"E000319391"</f>
        <v>E000319391</v>
      </c>
      <c r="C571" t="str">
        <f>"בוצעה"</f>
        <v>בוצעה</v>
      </c>
      <c r="E571" s="3">
        <v>44073</v>
      </c>
      <c r="F571" s="3">
        <v>44140</v>
      </c>
      <c r="G571" t="str">
        <f>"700065"</f>
        <v>700065</v>
      </c>
      <c r="H571" t="str">
        <f>"אלתא מערכות בע""מ"</f>
        <v>אלתא מערכות בע"מ</v>
      </c>
      <c r="I571" t="str">
        <f>"ערן שלו"</f>
        <v>ערן שלו</v>
      </c>
      <c r="J571" t="str">
        <f>"OP-AR01978"</f>
        <v>OP-AR01978</v>
      </c>
      <c r="K571" s="1" t="str">
        <f>"1022H704-001  -  W4- DC CABLE ASSY"</f>
        <v>1022H704-001  -  W4- DC CABLE ASSY</v>
      </c>
      <c r="L571">
        <v>5</v>
      </c>
      <c r="M571" t="str">
        <f>"PR20000572"</f>
        <v>PR20000572</v>
      </c>
      <c r="N571" t="str">
        <f>"W17-RG178 CABLE ASS"</f>
        <v>W17-RG178 CABLE ASS</v>
      </c>
      <c r="O571">
        <v>366.67</v>
      </c>
      <c r="P571" t="str">
        <f>"$"</f>
        <v>$</v>
      </c>
      <c r="Q571" t="str">
        <f>"000"</f>
        <v>000</v>
      </c>
      <c r="R571" t="str">
        <f>"כללית"</f>
        <v>כללית</v>
      </c>
      <c r="S571" t="str">
        <f>"034"</f>
        <v>034</v>
      </c>
      <c r="T571" t="str">
        <f>"חן בזק"</f>
        <v>חן בזק</v>
      </c>
      <c r="U571">
        <v>0</v>
      </c>
      <c r="V571">
        <v>0</v>
      </c>
      <c r="W571">
        <v>366.67</v>
      </c>
      <c r="X571" s="2">
        <v>1833.35</v>
      </c>
      <c r="Z571" t="str">
        <f>"Y"</f>
        <v>Y</v>
      </c>
      <c r="AA571">
        <v>0</v>
      </c>
      <c r="AC571">
        <v>0</v>
      </c>
      <c r="AE571">
        <v>0</v>
      </c>
      <c r="AF571">
        <v>0</v>
      </c>
      <c r="AG571" s="2">
        <v>1234.94</v>
      </c>
      <c r="AH571">
        <v>0</v>
      </c>
      <c r="AI571" s="2">
        <v>6174.72</v>
      </c>
      <c r="AJ571" s="2">
        <v>1833.35</v>
      </c>
      <c r="AK571" s="2">
        <v>1833.35</v>
      </c>
      <c r="AL571" t="str">
        <f>"$"</f>
        <v>$</v>
      </c>
    </row>
    <row r="572" spans="1:38" x14ac:dyDescent="0.3">
      <c r="A572" t="str">
        <f>"SO20000384"</f>
        <v>SO20000384</v>
      </c>
      <c r="B572" t="str">
        <f>"E000319391"</f>
        <v>E000319391</v>
      </c>
      <c r="C572" t="str">
        <f>"בוצעה"</f>
        <v>בוצעה</v>
      </c>
      <c r="E572" s="3">
        <v>44073</v>
      </c>
      <c r="F572" s="3">
        <v>44140</v>
      </c>
      <c r="G572" t="str">
        <f>"700065"</f>
        <v>700065</v>
      </c>
      <c r="H572" t="str">
        <f>"אלתא מערכות בע""מ"</f>
        <v>אלתא מערכות בע"מ</v>
      </c>
      <c r="I572" t="str">
        <f>"ערן שלו"</f>
        <v>ערן שלו</v>
      </c>
      <c r="J572" t="str">
        <f>"OP-AR01979"</f>
        <v>OP-AR01979</v>
      </c>
      <c r="K572" s="1" t="str">
        <f>"1024Y807-001  - W7-INPUT DC CABLE ASSY"</f>
        <v>1024Y807-001  - W7-INPUT DC CABLE ASSY</v>
      </c>
      <c r="L572">
        <v>5</v>
      </c>
      <c r="M572" t="str">
        <f>"PR20000572"</f>
        <v>PR20000572</v>
      </c>
      <c r="N572" t="str">
        <f>"W17-RG178 CABLE ASS"</f>
        <v>W17-RG178 CABLE ASS</v>
      </c>
      <c r="O572">
        <v>282.97000000000003</v>
      </c>
      <c r="P572" t="str">
        <f>"$"</f>
        <v>$</v>
      </c>
      <c r="Q572" t="str">
        <f>"000"</f>
        <v>000</v>
      </c>
      <c r="R572" t="str">
        <f>"כללית"</f>
        <v>כללית</v>
      </c>
      <c r="S572" t="str">
        <f>"034"</f>
        <v>034</v>
      </c>
      <c r="T572" t="str">
        <f>"חן בזק"</f>
        <v>חן בזק</v>
      </c>
      <c r="U572">
        <v>0</v>
      </c>
      <c r="V572">
        <v>0</v>
      </c>
      <c r="W572">
        <v>282.97000000000003</v>
      </c>
      <c r="X572" s="2">
        <v>1414.85</v>
      </c>
      <c r="Z572" t="str">
        <f>"Y"</f>
        <v>Y</v>
      </c>
      <c r="AA572">
        <v>0</v>
      </c>
      <c r="AC572">
        <v>0</v>
      </c>
      <c r="AE572">
        <v>0</v>
      </c>
      <c r="AF572">
        <v>0</v>
      </c>
      <c r="AG572">
        <v>953.04</v>
      </c>
      <c r="AH572">
        <v>0</v>
      </c>
      <c r="AI572" s="2">
        <v>4765.21</v>
      </c>
      <c r="AJ572" s="2">
        <v>1414.85</v>
      </c>
      <c r="AK572" s="2">
        <v>1414.85</v>
      </c>
      <c r="AL572" t="str">
        <f>"$"</f>
        <v>$</v>
      </c>
    </row>
    <row r="573" spans="1:38" x14ac:dyDescent="0.3">
      <c r="A573" t="str">
        <f>"SO20000408"</f>
        <v>SO20000408</v>
      </c>
      <c r="B573" t="str">
        <f>"E000319385"</f>
        <v>E000319385</v>
      </c>
      <c r="C573" t="str">
        <f>"בוצעה"</f>
        <v>בוצעה</v>
      </c>
      <c r="E573" s="3">
        <v>44081</v>
      </c>
      <c r="F573" s="3">
        <v>44165</v>
      </c>
      <c r="G573" t="str">
        <f>"700065"</f>
        <v>700065</v>
      </c>
      <c r="H573" t="str">
        <f>"אלתא מערכות בע""מ"</f>
        <v>אלתא מערכות בע"מ</v>
      </c>
      <c r="I573" t="str">
        <f>"ערן שלו"</f>
        <v>ערן שלו</v>
      </c>
      <c r="J573" t="str">
        <f>"OP-AR01996"</f>
        <v>OP-AR01996</v>
      </c>
      <c r="K573" s="1" t="str">
        <f>"1040U669-001/A    HARNESS WEXT06"</f>
        <v>1040U669-001/A    HARNESS WEXT06</v>
      </c>
      <c r="L573">
        <v>1</v>
      </c>
      <c r="M573" t="str">
        <f>"PR20000609"</f>
        <v>PR20000609</v>
      </c>
      <c r="N573" t="str">
        <f>"S WEXT06 - LRIR - SHELTER PCD TO"</f>
        <v>S WEXT06 - LRIR - SHELTER PCD TO</v>
      </c>
      <c r="O573" s="2">
        <v>1708.34</v>
      </c>
      <c r="P573" t="str">
        <f>"$"</f>
        <v>$</v>
      </c>
      <c r="Q573" t="str">
        <f>"117"</f>
        <v>117</v>
      </c>
      <c r="R573" t="str">
        <f>"רתמות"</f>
        <v>רתמות</v>
      </c>
      <c r="S573" t="str">
        <f>"034"</f>
        <v>034</v>
      </c>
      <c r="T573" t="str">
        <f>"חן בזק"</f>
        <v>חן בזק</v>
      </c>
      <c r="U573">
        <v>0</v>
      </c>
      <c r="V573">
        <v>0</v>
      </c>
      <c r="W573" s="2">
        <v>1708.34</v>
      </c>
      <c r="X573" s="2">
        <v>1708.34</v>
      </c>
      <c r="Z573" t="str">
        <f>"Y"</f>
        <v>Y</v>
      </c>
      <c r="AA573">
        <v>0</v>
      </c>
      <c r="AC573">
        <v>0</v>
      </c>
      <c r="AE573">
        <v>0</v>
      </c>
      <c r="AF573">
        <v>0</v>
      </c>
      <c r="AG573" s="2">
        <v>5770.77</v>
      </c>
      <c r="AH573">
        <v>0</v>
      </c>
      <c r="AI573" s="2">
        <v>5770.77</v>
      </c>
      <c r="AJ573" s="2">
        <v>1708.34</v>
      </c>
      <c r="AK573" s="2">
        <v>1708.34</v>
      </c>
      <c r="AL573" t="str">
        <f>"$"</f>
        <v>$</v>
      </c>
    </row>
    <row r="574" spans="1:38" x14ac:dyDescent="0.3">
      <c r="A574" t="str">
        <f>"SO20000408"</f>
        <v>SO20000408</v>
      </c>
      <c r="B574" t="str">
        <f>"E000319385"</f>
        <v>E000319385</v>
      </c>
      <c r="C574" t="str">
        <f>"בוצעה"</f>
        <v>בוצעה</v>
      </c>
      <c r="E574" s="3">
        <v>44081</v>
      </c>
      <c r="F574" s="3">
        <v>44165</v>
      </c>
      <c r="G574" t="str">
        <f>"700065"</f>
        <v>700065</v>
      </c>
      <c r="H574" t="str">
        <f>"אלתא מערכות בע""מ"</f>
        <v>אלתא מערכות בע"מ</v>
      </c>
      <c r="I574" t="str">
        <f>"ערן שלו"</f>
        <v>ערן שלו</v>
      </c>
      <c r="J574" t="str">
        <f>"OP-AR01997"</f>
        <v>OP-AR01997</v>
      </c>
      <c r="K574" s="1" t="str">
        <f>"1040U641-001/-   HARNESS WEXT03"</f>
        <v>1040U641-001/-   HARNESS WEXT03</v>
      </c>
      <c r="L574">
        <v>1</v>
      </c>
      <c r="M574" t="str">
        <f>"PR20000609"</f>
        <v>PR20000609</v>
      </c>
      <c r="N574" t="str">
        <f>"S WEXT06 - LRIR - SHELTER PCD TO"</f>
        <v>S WEXT06 - LRIR - SHELTER PCD TO</v>
      </c>
      <c r="O574" s="2">
        <v>1968.82</v>
      </c>
      <c r="P574" t="str">
        <f>"$"</f>
        <v>$</v>
      </c>
      <c r="Q574" t="str">
        <f>"117"</f>
        <v>117</v>
      </c>
      <c r="R574" t="str">
        <f>"רתמות"</f>
        <v>רתמות</v>
      </c>
      <c r="S574" t="str">
        <f>"034"</f>
        <v>034</v>
      </c>
      <c r="T574" t="str">
        <f>"חן בזק"</f>
        <v>חן בזק</v>
      </c>
      <c r="U574">
        <v>0</v>
      </c>
      <c r="V574">
        <v>0</v>
      </c>
      <c r="W574" s="2">
        <v>1968.82</v>
      </c>
      <c r="X574" s="2">
        <v>1968.82</v>
      </c>
      <c r="Z574" t="str">
        <f>"Y"</f>
        <v>Y</v>
      </c>
      <c r="AA574">
        <v>0</v>
      </c>
      <c r="AC574">
        <v>0</v>
      </c>
      <c r="AE574">
        <v>0</v>
      </c>
      <c r="AF574">
        <v>0</v>
      </c>
      <c r="AG574" s="2">
        <v>6650.67</v>
      </c>
      <c r="AH574">
        <v>0</v>
      </c>
      <c r="AI574" s="2">
        <v>6650.67</v>
      </c>
      <c r="AJ574" s="2">
        <v>1968.82</v>
      </c>
      <c r="AK574" s="2">
        <v>1968.82</v>
      </c>
      <c r="AL574" t="str">
        <f>"$"</f>
        <v>$</v>
      </c>
    </row>
    <row r="575" spans="1:38" x14ac:dyDescent="0.3">
      <c r="A575" t="str">
        <f>"SO20000408"</f>
        <v>SO20000408</v>
      </c>
      <c r="B575" t="str">
        <f>"E000319385"</f>
        <v>E000319385</v>
      </c>
      <c r="C575" t="str">
        <f>"בוצעה"</f>
        <v>בוצעה</v>
      </c>
      <c r="E575" s="3">
        <v>44081</v>
      </c>
      <c r="F575" s="3">
        <v>44165</v>
      </c>
      <c r="G575" t="str">
        <f>"700065"</f>
        <v>700065</v>
      </c>
      <c r="H575" t="str">
        <f>"אלתא מערכות בע""מ"</f>
        <v>אלתא מערכות בע"מ</v>
      </c>
      <c r="I575" t="str">
        <f>"ערן שלו"</f>
        <v>ערן שלו</v>
      </c>
      <c r="J575" t="str">
        <f>"OP-AR01998"</f>
        <v>OP-AR01998</v>
      </c>
      <c r="K575" s="1" t="str">
        <f>"1040U606-001/-   HARNESS WEXT20"</f>
        <v>1040U606-001/-   HARNESS WEXT20</v>
      </c>
      <c r="L575">
        <v>1</v>
      </c>
      <c r="M575" t="str">
        <f>"PR20000609"</f>
        <v>PR20000609</v>
      </c>
      <c r="N575" t="str">
        <f>"S WEXT06 - LRIR - SHELTER PCD TO"</f>
        <v>S WEXT06 - LRIR - SHELTER PCD TO</v>
      </c>
      <c r="O575" s="2">
        <v>1475.59</v>
      </c>
      <c r="P575" t="str">
        <f>"$"</f>
        <v>$</v>
      </c>
      <c r="Q575" t="str">
        <f>"117"</f>
        <v>117</v>
      </c>
      <c r="R575" t="str">
        <f>"רתמות"</f>
        <v>רתמות</v>
      </c>
      <c r="S575" t="str">
        <f>"034"</f>
        <v>034</v>
      </c>
      <c r="T575" t="str">
        <f>"חן בזק"</f>
        <v>חן בזק</v>
      </c>
      <c r="U575">
        <v>0</v>
      </c>
      <c r="V575">
        <v>0</v>
      </c>
      <c r="W575" s="2">
        <v>1475.59</v>
      </c>
      <c r="X575" s="2">
        <v>1475.59</v>
      </c>
      <c r="Z575" t="str">
        <f>"Y"</f>
        <v>Y</v>
      </c>
      <c r="AA575">
        <v>0</v>
      </c>
      <c r="AC575">
        <v>0</v>
      </c>
      <c r="AE575">
        <v>0</v>
      </c>
      <c r="AF575">
        <v>0</v>
      </c>
      <c r="AG575" s="2">
        <v>4984.54</v>
      </c>
      <c r="AH575">
        <v>0</v>
      </c>
      <c r="AI575" s="2">
        <v>4984.54</v>
      </c>
      <c r="AJ575" s="2">
        <v>1475.59</v>
      </c>
      <c r="AK575" s="2">
        <v>1475.59</v>
      </c>
      <c r="AL575" t="str">
        <f>"$"</f>
        <v>$</v>
      </c>
    </row>
    <row r="576" spans="1:38" x14ac:dyDescent="0.3">
      <c r="A576" t="str">
        <f>"SO20000408"</f>
        <v>SO20000408</v>
      </c>
      <c r="B576" t="str">
        <f>"E000319385"</f>
        <v>E000319385</v>
      </c>
      <c r="C576" t="str">
        <f>"בוצעה"</f>
        <v>בוצעה</v>
      </c>
      <c r="E576" s="3">
        <v>44081</v>
      </c>
      <c r="F576" s="3">
        <v>44165</v>
      </c>
      <c r="G576" t="str">
        <f>"700065"</f>
        <v>700065</v>
      </c>
      <c r="H576" t="str">
        <f>"אלתא מערכות בע""מ"</f>
        <v>אלתא מערכות בע"מ</v>
      </c>
      <c r="I576" t="str">
        <f>"ערן שלו"</f>
        <v>ערן שלו</v>
      </c>
      <c r="J576" t="str">
        <f>"OP-AR01999"</f>
        <v>OP-AR01999</v>
      </c>
      <c r="K576" s="1" t="str">
        <f>"1040U663-001/-   GROUND CABLE WEXT19"</f>
        <v>1040U663-001/-   GROUND CABLE WEXT19</v>
      </c>
      <c r="L576">
        <v>1</v>
      </c>
      <c r="M576" t="str">
        <f>"PR20000609"</f>
        <v>PR20000609</v>
      </c>
      <c r="N576" t="str">
        <f>"S WEXT06 - LRIR - SHELTER PCD TO"</f>
        <v>S WEXT06 - LRIR - SHELTER PCD TO</v>
      </c>
      <c r="O576">
        <v>195.48</v>
      </c>
      <c r="P576" t="str">
        <f>"$"</f>
        <v>$</v>
      </c>
      <c r="Q576" t="str">
        <f>"117"</f>
        <v>117</v>
      </c>
      <c r="R576" t="str">
        <f>"רתמות"</f>
        <v>רתמות</v>
      </c>
      <c r="S576" t="str">
        <f>"034"</f>
        <v>034</v>
      </c>
      <c r="T576" t="str">
        <f>"חן בזק"</f>
        <v>חן בזק</v>
      </c>
      <c r="U576">
        <v>0</v>
      </c>
      <c r="V576">
        <v>0</v>
      </c>
      <c r="W576">
        <v>195.48</v>
      </c>
      <c r="X576">
        <v>195.48</v>
      </c>
      <c r="Z576" t="str">
        <f>"Y"</f>
        <v>Y</v>
      </c>
      <c r="AA576">
        <v>0</v>
      </c>
      <c r="AC576">
        <v>0</v>
      </c>
      <c r="AE576">
        <v>0</v>
      </c>
      <c r="AF576">
        <v>0</v>
      </c>
      <c r="AG576">
        <v>660.33</v>
      </c>
      <c r="AH576">
        <v>0</v>
      </c>
      <c r="AI576">
        <v>660.33</v>
      </c>
      <c r="AJ576">
        <v>195.48</v>
      </c>
      <c r="AK576">
        <v>195.48</v>
      </c>
      <c r="AL576" t="str">
        <f>"$"</f>
        <v>$</v>
      </c>
    </row>
    <row r="577" spans="1:38" x14ac:dyDescent="0.3">
      <c r="A577" t="str">
        <f>"SO20000408"</f>
        <v>SO20000408</v>
      </c>
      <c r="B577" t="str">
        <f>"E000319385"</f>
        <v>E000319385</v>
      </c>
      <c r="C577" t="str">
        <f>"בוצעה"</f>
        <v>בוצעה</v>
      </c>
      <c r="E577" s="3">
        <v>44081</v>
      </c>
      <c r="F577" s="3">
        <v>44165</v>
      </c>
      <c r="G577" t="str">
        <f>"700065"</f>
        <v>700065</v>
      </c>
      <c r="H577" t="str">
        <f>"אלתא מערכות בע""מ"</f>
        <v>אלתא מערכות בע"מ</v>
      </c>
      <c r="I577" t="str">
        <f>"ערן שלו"</f>
        <v>ערן שלו</v>
      </c>
      <c r="J577" t="str">
        <f>"OP-AR02000"</f>
        <v>OP-AR02000</v>
      </c>
      <c r="K577" s="1" t="str">
        <f>"1040U642-001/-   HARNESS WEXT12"</f>
        <v>1040U642-001/-   HARNESS WEXT12</v>
      </c>
      <c r="L577">
        <v>1</v>
      </c>
      <c r="M577" t="str">
        <f>"PR20000609"</f>
        <v>PR20000609</v>
      </c>
      <c r="N577" t="str">
        <f>"S WEXT06 - LRIR - SHELTER PCD TO"</f>
        <v>S WEXT06 - LRIR - SHELTER PCD TO</v>
      </c>
      <c r="O577" s="2">
        <v>1110.32</v>
      </c>
      <c r="P577" t="str">
        <f>"$"</f>
        <v>$</v>
      </c>
      <c r="Q577" t="str">
        <f>"117"</f>
        <v>117</v>
      </c>
      <c r="R577" t="str">
        <f>"רתמות"</f>
        <v>רתמות</v>
      </c>
      <c r="S577" t="str">
        <f>"034"</f>
        <v>034</v>
      </c>
      <c r="T577" t="str">
        <f>"חן בזק"</f>
        <v>חן בזק</v>
      </c>
      <c r="U577">
        <v>0</v>
      </c>
      <c r="V577">
        <v>0</v>
      </c>
      <c r="W577" s="2">
        <v>1110.32</v>
      </c>
      <c r="X577" s="2">
        <v>1110.32</v>
      </c>
      <c r="Z577" t="str">
        <f>"Y"</f>
        <v>Y</v>
      </c>
      <c r="AA577">
        <v>0</v>
      </c>
      <c r="AC577">
        <v>0</v>
      </c>
      <c r="AE577">
        <v>0</v>
      </c>
      <c r="AF577">
        <v>0</v>
      </c>
      <c r="AG577" s="2">
        <v>3750.66</v>
      </c>
      <c r="AH577">
        <v>0</v>
      </c>
      <c r="AI577" s="2">
        <v>3750.66</v>
      </c>
      <c r="AJ577" s="2">
        <v>1110.32</v>
      </c>
      <c r="AK577" s="2">
        <v>1110.32</v>
      </c>
      <c r="AL577" t="str">
        <f>"$"</f>
        <v>$</v>
      </c>
    </row>
    <row r="578" spans="1:38" x14ac:dyDescent="0.3">
      <c r="A578" t="str">
        <f>"SO20000408"</f>
        <v>SO20000408</v>
      </c>
      <c r="B578" t="str">
        <f>"E000319385"</f>
        <v>E000319385</v>
      </c>
      <c r="C578" t="str">
        <f>"בוצעה"</f>
        <v>בוצעה</v>
      </c>
      <c r="E578" s="3">
        <v>44081</v>
      </c>
      <c r="F578" s="3">
        <v>44165</v>
      </c>
      <c r="G578" t="str">
        <f>"700065"</f>
        <v>700065</v>
      </c>
      <c r="H578" t="str">
        <f>"אלתא מערכות בע""מ"</f>
        <v>אלתא מערכות בע"מ</v>
      </c>
      <c r="I578" t="str">
        <f>"ערן שלו"</f>
        <v>ערן שלו</v>
      </c>
      <c r="J578" t="str">
        <f>"OP-AR02001"</f>
        <v>OP-AR02001</v>
      </c>
      <c r="K578" s="1" t="str">
        <f>"1040T616-001/-    HARNESS PDIW34"</f>
        <v>1040T616-001/-    HARNESS PDIW34</v>
      </c>
      <c r="L578">
        <v>1</v>
      </c>
      <c r="M578" t="str">
        <f>"PR20000609"</f>
        <v>PR20000609</v>
      </c>
      <c r="N578" t="str">
        <f>"S WEXT06 - LRIR - SHELTER PCD TO"</f>
        <v>S WEXT06 - LRIR - SHELTER PCD TO</v>
      </c>
      <c r="O578">
        <v>659.91</v>
      </c>
      <c r="P578" t="str">
        <f>"$"</f>
        <v>$</v>
      </c>
      <c r="Q578" t="str">
        <f>"117"</f>
        <v>117</v>
      </c>
      <c r="R578" t="str">
        <f>"רתמות"</f>
        <v>רתמות</v>
      </c>
      <c r="S578" t="str">
        <f>"034"</f>
        <v>034</v>
      </c>
      <c r="T578" t="str">
        <f>"חן בזק"</f>
        <v>חן בזק</v>
      </c>
      <c r="U578">
        <v>0</v>
      </c>
      <c r="V578">
        <v>0</v>
      </c>
      <c r="W578">
        <v>659.91</v>
      </c>
      <c r="X578">
        <v>659.91</v>
      </c>
      <c r="Z578" t="str">
        <f>"Y"</f>
        <v>Y</v>
      </c>
      <c r="AA578">
        <v>0</v>
      </c>
      <c r="AC578">
        <v>0</v>
      </c>
      <c r="AE578">
        <v>0</v>
      </c>
      <c r="AF578">
        <v>0</v>
      </c>
      <c r="AG578" s="2">
        <v>2229.1799999999998</v>
      </c>
      <c r="AH578">
        <v>0</v>
      </c>
      <c r="AI578" s="2">
        <v>2229.1799999999998</v>
      </c>
      <c r="AJ578">
        <v>659.91</v>
      </c>
      <c r="AK578">
        <v>659.91</v>
      </c>
      <c r="AL578" t="str">
        <f>"$"</f>
        <v>$</v>
      </c>
    </row>
    <row r="579" spans="1:38" x14ac:dyDescent="0.3">
      <c r="A579" t="str">
        <f>"SO20000408"</f>
        <v>SO20000408</v>
      </c>
      <c r="B579" t="str">
        <f>"E000319385"</f>
        <v>E000319385</v>
      </c>
      <c r="C579" t="str">
        <f>"בוצעה"</f>
        <v>בוצעה</v>
      </c>
      <c r="E579" s="3">
        <v>44081</v>
      </c>
      <c r="F579" s="3">
        <v>44165</v>
      </c>
      <c r="G579" t="str">
        <f>"700065"</f>
        <v>700065</v>
      </c>
      <c r="H579" t="str">
        <f>"אלתא מערכות בע""מ"</f>
        <v>אלתא מערכות בע"מ</v>
      </c>
      <c r="I579" t="str">
        <f>"ערן שלו"</f>
        <v>ערן שלו</v>
      </c>
      <c r="J579" t="str">
        <f>"OP-AR02002"</f>
        <v>OP-AR02002</v>
      </c>
      <c r="K579" s="1" t="str">
        <f>"1040T744-001/-   HARNESS WPD100"</f>
        <v>1040T744-001/-   HARNESS WPD100</v>
      </c>
      <c r="L579">
        <v>1</v>
      </c>
      <c r="M579" t="str">
        <f>"PR20000609"</f>
        <v>PR20000609</v>
      </c>
      <c r="N579" t="str">
        <f>"S WEXT06 - LRIR - SHELTER PCD TO"</f>
        <v>S WEXT06 - LRIR - SHELTER PCD TO</v>
      </c>
      <c r="O579" s="2">
        <v>1009.12</v>
      </c>
      <c r="P579" t="str">
        <f>"$"</f>
        <v>$</v>
      </c>
      <c r="Q579" t="str">
        <f>"117"</f>
        <v>117</v>
      </c>
      <c r="R579" t="str">
        <f>"רתמות"</f>
        <v>רתמות</v>
      </c>
      <c r="S579" t="str">
        <f>"034"</f>
        <v>034</v>
      </c>
      <c r="T579" t="str">
        <f>"חן בזק"</f>
        <v>חן בזק</v>
      </c>
      <c r="U579">
        <v>0</v>
      </c>
      <c r="V579">
        <v>0</v>
      </c>
      <c r="W579" s="2">
        <v>1009.12</v>
      </c>
      <c r="X579" s="2">
        <v>1009.12</v>
      </c>
      <c r="Z579" t="str">
        <f>"Y"</f>
        <v>Y</v>
      </c>
      <c r="AA579">
        <v>0</v>
      </c>
      <c r="AC579">
        <v>0</v>
      </c>
      <c r="AE579">
        <v>0</v>
      </c>
      <c r="AF579">
        <v>0</v>
      </c>
      <c r="AG579" s="2">
        <v>3408.81</v>
      </c>
      <c r="AH579">
        <v>0</v>
      </c>
      <c r="AI579" s="2">
        <v>3408.81</v>
      </c>
      <c r="AJ579" s="2">
        <v>1009.12</v>
      </c>
      <c r="AK579" s="2">
        <v>1009.12</v>
      </c>
      <c r="AL579" t="str">
        <f>"$"</f>
        <v>$</v>
      </c>
    </row>
    <row r="580" spans="1:38" x14ac:dyDescent="0.3">
      <c r="A580" t="str">
        <f>"SO20000408"</f>
        <v>SO20000408</v>
      </c>
      <c r="B580" t="str">
        <f>"E000319385"</f>
        <v>E000319385</v>
      </c>
      <c r="C580" t="str">
        <f>"בוצעה"</f>
        <v>בוצעה</v>
      </c>
      <c r="E580" s="3">
        <v>44081</v>
      </c>
      <c r="F580" s="3">
        <v>44165</v>
      </c>
      <c r="G580" t="str">
        <f>"700065"</f>
        <v>700065</v>
      </c>
      <c r="H580" t="str">
        <f>"אלתא מערכות בע""מ"</f>
        <v>אלתא מערכות בע"מ</v>
      </c>
      <c r="I580" t="str">
        <f>"ערן שלו"</f>
        <v>ערן שלו</v>
      </c>
      <c r="J580" t="str">
        <f>"OP-AR02003"</f>
        <v>OP-AR02003</v>
      </c>
      <c r="K580" s="1" t="str">
        <f>"1040T040-001/-   HARNESS PDEW40"</f>
        <v>1040T040-001/-   HARNESS PDEW40</v>
      </c>
      <c r="L580">
        <v>1</v>
      </c>
      <c r="M580" t="str">
        <f>"PR20000609"</f>
        <v>PR20000609</v>
      </c>
      <c r="N580" t="str">
        <f>"S WEXT06 - LRIR - SHELTER PCD TO"</f>
        <v>S WEXT06 - LRIR - SHELTER PCD TO</v>
      </c>
      <c r="O580">
        <v>530.03</v>
      </c>
      <c r="P580" t="str">
        <f>"$"</f>
        <v>$</v>
      </c>
      <c r="Q580" t="str">
        <f>"117"</f>
        <v>117</v>
      </c>
      <c r="R580" t="str">
        <f>"רתמות"</f>
        <v>רתמות</v>
      </c>
      <c r="S580" t="str">
        <f>"034"</f>
        <v>034</v>
      </c>
      <c r="T580" t="str">
        <f>"חן בזק"</f>
        <v>חן בזק</v>
      </c>
      <c r="U580">
        <v>0</v>
      </c>
      <c r="V580">
        <v>0</v>
      </c>
      <c r="W580">
        <v>530.03</v>
      </c>
      <c r="X580">
        <v>530.03</v>
      </c>
      <c r="Z580" t="str">
        <f>"Y"</f>
        <v>Y</v>
      </c>
      <c r="AA580">
        <v>0</v>
      </c>
      <c r="AC580">
        <v>0</v>
      </c>
      <c r="AE580">
        <v>0</v>
      </c>
      <c r="AF580">
        <v>0</v>
      </c>
      <c r="AG580" s="2">
        <v>1790.44</v>
      </c>
      <c r="AH580">
        <v>0</v>
      </c>
      <c r="AI580" s="2">
        <v>1790.44</v>
      </c>
      <c r="AJ580">
        <v>530.03</v>
      </c>
      <c r="AK580">
        <v>530.03</v>
      </c>
      <c r="AL580" t="str">
        <f>"$"</f>
        <v>$</v>
      </c>
    </row>
    <row r="581" spans="1:38" x14ac:dyDescent="0.3">
      <c r="A581" t="str">
        <f>"SO20000408"</f>
        <v>SO20000408</v>
      </c>
      <c r="B581" t="str">
        <f>"E000319385"</f>
        <v>E000319385</v>
      </c>
      <c r="C581" t="str">
        <f>"בוצעה"</f>
        <v>בוצעה</v>
      </c>
      <c r="E581" s="3">
        <v>44081</v>
      </c>
      <c r="F581" s="3">
        <v>44270</v>
      </c>
      <c r="G581" t="str">
        <f>"700065"</f>
        <v>700065</v>
      </c>
      <c r="H581" t="str">
        <f>"אלתא מערכות בע""מ"</f>
        <v>אלתא מערכות בע"מ</v>
      </c>
      <c r="I581" t="str">
        <f>"ערן שלו"</f>
        <v>ערן שלו</v>
      </c>
      <c r="J581" t="str">
        <f>"OP-AR02004"</f>
        <v>OP-AR02004</v>
      </c>
      <c r="K581" s="1" t="str">
        <f>"NRE FOR E000319385"</f>
        <v>NRE FOR E000319385</v>
      </c>
      <c r="L581">
        <v>1</v>
      </c>
      <c r="M581" t="str">
        <f>"PR20000609"</f>
        <v>PR20000609</v>
      </c>
      <c r="N581" t="str">
        <f>"S WEXT06 - LRIR - SHELTER PCD TO"</f>
        <v>S WEXT06 - LRIR - SHELTER PCD TO</v>
      </c>
      <c r="O581" s="2">
        <v>1258</v>
      </c>
      <c r="P581" t="str">
        <f>"$"</f>
        <v>$</v>
      </c>
      <c r="Q581" t="str">
        <f>"117"</f>
        <v>117</v>
      </c>
      <c r="R581" t="str">
        <f>"רתמות"</f>
        <v>רתמות</v>
      </c>
      <c r="S581" t="str">
        <f>"034"</f>
        <v>034</v>
      </c>
      <c r="T581" t="str">
        <f>"חן בזק"</f>
        <v>חן בזק</v>
      </c>
      <c r="U581">
        <v>0</v>
      </c>
      <c r="V581">
        <v>0</v>
      </c>
      <c r="W581" s="2">
        <v>1258</v>
      </c>
      <c r="X581" s="2">
        <v>1258</v>
      </c>
      <c r="Z581" t="str">
        <f>"Y"</f>
        <v>Y</v>
      </c>
      <c r="AA581">
        <v>1</v>
      </c>
      <c r="AC581">
        <v>0</v>
      </c>
      <c r="AE581">
        <v>0</v>
      </c>
      <c r="AF581">
        <v>0</v>
      </c>
      <c r="AG581" s="2">
        <v>4249.5200000000004</v>
      </c>
      <c r="AH581">
        <v>0</v>
      </c>
      <c r="AI581" s="2">
        <v>4249.5200000000004</v>
      </c>
      <c r="AJ581" s="2">
        <v>1258</v>
      </c>
      <c r="AK581" s="2">
        <v>1258</v>
      </c>
      <c r="AL581" t="str">
        <f>"$"</f>
        <v>$</v>
      </c>
    </row>
    <row r="582" spans="1:38" x14ac:dyDescent="0.3">
      <c r="A582" t="str">
        <f>"SO20000408"</f>
        <v>SO20000408</v>
      </c>
      <c r="B582" t="str">
        <f>"E000319385"</f>
        <v>E000319385</v>
      </c>
      <c r="C582" t="str">
        <f>"בוצעה"</f>
        <v>בוצעה</v>
      </c>
      <c r="E582" s="3">
        <v>44081</v>
      </c>
      <c r="F582" s="3">
        <v>44187</v>
      </c>
      <c r="G582" t="str">
        <f>"700065"</f>
        <v>700065</v>
      </c>
      <c r="H582" t="str">
        <f>"אלתא מערכות בע""מ"</f>
        <v>אלתא מערכות בע"מ</v>
      </c>
      <c r="I582" t="str">
        <f>"ערן שלו"</f>
        <v>ערן שלו</v>
      </c>
      <c r="J582" t="str">
        <f>"000"</f>
        <v>000</v>
      </c>
      <c r="K582" s="1" t="str">
        <f>"תיקון 1040T744-001"</f>
        <v>תיקון 1040T744-001</v>
      </c>
      <c r="L582">
        <v>1</v>
      </c>
      <c r="M582" t="str">
        <f>"PR20000609"</f>
        <v>PR20000609</v>
      </c>
      <c r="N582" t="str">
        <f>"S WEXT06 - LRIR - SHELTER PCD TO"</f>
        <v>S WEXT06 - LRIR - SHELTER PCD TO</v>
      </c>
      <c r="O582">
        <v>0</v>
      </c>
      <c r="P582" t="str">
        <f>"$"</f>
        <v>$</v>
      </c>
      <c r="Q582" t="str">
        <f>"117"</f>
        <v>117</v>
      </c>
      <c r="R582" t="str">
        <f>"רתמות"</f>
        <v>רתמות</v>
      </c>
      <c r="S582" t="str">
        <f>"034"</f>
        <v>034</v>
      </c>
      <c r="T582" t="str">
        <f>"חן בזק"</f>
        <v>חן בזק</v>
      </c>
      <c r="U582">
        <v>0</v>
      </c>
      <c r="V582">
        <v>0</v>
      </c>
      <c r="W582">
        <v>0</v>
      </c>
      <c r="X582">
        <v>0</v>
      </c>
      <c r="Z582" t="str">
        <f>"Y"</f>
        <v>Y</v>
      </c>
      <c r="AA582">
        <v>0</v>
      </c>
      <c r="AC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t="str">
        <f>"$"</f>
        <v>$</v>
      </c>
    </row>
    <row r="583" spans="1:38" x14ac:dyDescent="0.3">
      <c r="A583" t="str">
        <f>"SO20000408"</f>
        <v>SO20000408</v>
      </c>
      <c r="B583" t="str">
        <f>"E000319385"</f>
        <v>E000319385</v>
      </c>
      <c r="C583" t="str">
        <f>"בוצעה"</f>
        <v>בוצעה</v>
      </c>
      <c r="E583" s="3">
        <v>44081</v>
      </c>
      <c r="F583" s="3">
        <v>44201</v>
      </c>
      <c r="G583" t="str">
        <f>"700065"</f>
        <v>700065</v>
      </c>
      <c r="H583" t="str">
        <f>"אלתא מערכות בע""מ"</f>
        <v>אלתא מערכות בע"מ</v>
      </c>
      <c r="I583" t="str">
        <f>"ערן שלו"</f>
        <v>ערן שלו</v>
      </c>
      <c r="J583" t="str">
        <f>"000"</f>
        <v>000</v>
      </c>
      <c r="K583" s="1" t="str">
        <f>"1040U641-001"</f>
        <v>1040U641-001</v>
      </c>
      <c r="L583">
        <v>1</v>
      </c>
      <c r="M583" t="str">
        <f>"PR20000609"</f>
        <v>PR20000609</v>
      </c>
      <c r="N583" t="str">
        <f>"S WEXT06 - LRIR - SHELTER PCD TO"</f>
        <v>S WEXT06 - LRIR - SHELTER PCD TO</v>
      </c>
      <c r="O583">
        <v>0</v>
      </c>
      <c r="P583" t="str">
        <f>"$"</f>
        <v>$</v>
      </c>
      <c r="Q583" t="str">
        <f>"117"</f>
        <v>117</v>
      </c>
      <c r="R583" t="str">
        <f>"רתמות"</f>
        <v>רתמות</v>
      </c>
      <c r="S583" t="str">
        <f>"034"</f>
        <v>034</v>
      </c>
      <c r="T583" t="str">
        <f>"חן בזק"</f>
        <v>חן בזק</v>
      </c>
      <c r="U583">
        <v>0</v>
      </c>
      <c r="V583">
        <v>0</v>
      </c>
      <c r="W583">
        <v>0</v>
      </c>
      <c r="X583">
        <v>0</v>
      </c>
      <c r="Z583" t="str">
        <f>"Y"</f>
        <v>Y</v>
      </c>
      <c r="AA583">
        <v>0</v>
      </c>
      <c r="AC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t="str">
        <f>"$"</f>
        <v>$</v>
      </c>
    </row>
    <row r="584" spans="1:38" x14ac:dyDescent="0.3">
      <c r="A584" t="str">
        <f>"SO20000408"</f>
        <v>SO20000408</v>
      </c>
      <c r="B584" t="str">
        <f>"E000319385"</f>
        <v>E000319385</v>
      </c>
      <c r="C584" t="str">
        <f>"בוצעה"</f>
        <v>בוצעה</v>
      </c>
      <c r="E584" s="3">
        <v>44081</v>
      </c>
      <c r="F584" s="3">
        <v>44201</v>
      </c>
      <c r="G584" t="str">
        <f>"700065"</f>
        <v>700065</v>
      </c>
      <c r="H584" t="str">
        <f>"אלתא מערכות בע""מ"</f>
        <v>אלתא מערכות בע"מ</v>
      </c>
      <c r="I584" t="str">
        <f>"ערן שלו"</f>
        <v>ערן שלו</v>
      </c>
      <c r="J584" t="str">
        <f>"000"</f>
        <v>000</v>
      </c>
      <c r="K584" s="1" t="str">
        <f>"1040U606-001"</f>
        <v>1040U606-001</v>
      </c>
      <c r="L584">
        <v>1</v>
      </c>
      <c r="M584" t="str">
        <f>"PR20000609"</f>
        <v>PR20000609</v>
      </c>
      <c r="N584" t="str">
        <f>"S WEXT06 - LRIR - SHELTER PCD TO"</f>
        <v>S WEXT06 - LRIR - SHELTER PCD TO</v>
      </c>
      <c r="O584">
        <v>0</v>
      </c>
      <c r="P584" t="str">
        <f>"$"</f>
        <v>$</v>
      </c>
      <c r="Q584" t="str">
        <f>"117"</f>
        <v>117</v>
      </c>
      <c r="R584" t="str">
        <f>"רתמות"</f>
        <v>רתמות</v>
      </c>
      <c r="S584" t="str">
        <f>"034"</f>
        <v>034</v>
      </c>
      <c r="T584" t="str">
        <f>"חן בזק"</f>
        <v>חן בזק</v>
      </c>
      <c r="U584">
        <v>0</v>
      </c>
      <c r="V584">
        <v>0</v>
      </c>
      <c r="W584">
        <v>0</v>
      </c>
      <c r="X584">
        <v>0</v>
      </c>
      <c r="Z584" t="str">
        <f>"Y"</f>
        <v>Y</v>
      </c>
      <c r="AA584">
        <v>0</v>
      </c>
      <c r="AC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 t="str">
        <f>"$"</f>
        <v>$</v>
      </c>
    </row>
    <row r="585" spans="1:38" x14ac:dyDescent="0.3">
      <c r="A585" t="str">
        <f>"SO20000409"</f>
        <v>SO20000409</v>
      </c>
      <c r="B585" t="str">
        <f>"E000320341"</f>
        <v>E000320341</v>
      </c>
      <c r="C585" t="str">
        <f>"בוצעה"</f>
        <v>בוצעה</v>
      </c>
      <c r="E585" s="3">
        <v>44082</v>
      </c>
      <c r="F585" s="3">
        <v>44242</v>
      </c>
      <c r="G585" t="str">
        <f>"700065"</f>
        <v>700065</v>
      </c>
      <c r="H585" t="str">
        <f>"אלתא מערכות בע""מ"</f>
        <v>אלתא מערכות בע"מ</v>
      </c>
      <c r="I585" t="str">
        <f>"ערן שלו"</f>
        <v>ערן שלו</v>
      </c>
      <c r="J585" t="str">
        <f>"OP-AR02005"</f>
        <v>OP-AR02005</v>
      </c>
      <c r="K585" s="1" t="str">
        <f>"1023W809-001/B    W9-SAFETY SWITCH CABLE"</f>
        <v>1023W809-001/B    W9-SAFETY SWITCH CABLE</v>
      </c>
      <c r="L585">
        <v>1</v>
      </c>
      <c r="M585" t="str">
        <f>"PR20000620"</f>
        <v>PR20000620</v>
      </c>
      <c r="N585" t="str">
        <f>"W9-SAFETY SWITCH CABLE"</f>
        <v>W9-SAFETY SWITCH CABLE</v>
      </c>
      <c r="O585">
        <v>736.73</v>
      </c>
      <c r="P585" t="str">
        <f>"$"</f>
        <v>$</v>
      </c>
      <c r="Q585" t="str">
        <f>"117"</f>
        <v>117</v>
      </c>
      <c r="R585" t="str">
        <f>"רתמות"</f>
        <v>רתמות</v>
      </c>
      <c r="S585" t="str">
        <f>"034"</f>
        <v>034</v>
      </c>
      <c r="T585" t="str">
        <f>"חן בזק"</f>
        <v>חן בזק</v>
      </c>
      <c r="U585">
        <v>0</v>
      </c>
      <c r="V585">
        <v>0</v>
      </c>
      <c r="W585">
        <v>736.73</v>
      </c>
      <c r="X585">
        <v>736.73</v>
      </c>
      <c r="Z585" t="str">
        <f>"Y"</f>
        <v>Y</v>
      </c>
      <c r="AA585">
        <v>0</v>
      </c>
      <c r="AC585">
        <v>0</v>
      </c>
      <c r="AE585">
        <v>0</v>
      </c>
      <c r="AF585">
        <v>0</v>
      </c>
      <c r="AG585" s="2">
        <v>2498.9899999999998</v>
      </c>
      <c r="AH585">
        <v>0</v>
      </c>
      <c r="AI585" s="2">
        <v>2498.9899999999998</v>
      </c>
      <c r="AJ585">
        <v>736.73</v>
      </c>
      <c r="AK585">
        <v>736.73</v>
      </c>
      <c r="AL585" t="str">
        <f>"$"</f>
        <v>$</v>
      </c>
    </row>
    <row r="586" spans="1:38" x14ac:dyDescent="0.3">
      <c r="A586" t="str">
        <f>"SO20000409"</f>
        <v>SO20000409</v>
      </c>
      <c r="B586" t="str">
        <f>"E000320341"</f>
        <v>E000320341</v>
      </c>
      <c r="C586" t="str">
        <f>"בוצעה"</f>
        <v>בוצעה</v>
      </c>
      <c r="E586" s="3">
        <v>44082</v>
      </c>
      <c r="F586" s="3">
        <v>44242</v>
      </c>
      <c r="G586" t="str">
        <f>"700065"</f>
        <v>700065</v>
      </c>
      <c r="H586" t="str">
        <f>"אלתא מערכות בע""מ"</f>
        <v>אלתא מערכות בע"מ</v>
      </c>
      <c r="I586" t="str">
        <f>"ערן שלו"</f>
        <v>ערן שלו</v>
      </c>
      <c r="J586" t="str">
        <f>"OP-AR02006"</f>
        <v>OP-AR02006</v>
      </c>
      <c r="K586" s="1" t="str">
        <f>"1025Y670-001/B   W20-TX CONT CABLE"</f>
        <v>1025Y670-001/B   W20-TX CONT CABLE</v>
      </c>
      <c r="L586">
        <v>6</v>
      </c>
      <c r="M586" t="str">
        <f>"PR20000620"</f>
        <v>PR20000620</v>
      </c>
      <c r="N586" t="str">
        <f>"W9-SAFETY SWITCH CABLE"</f>
        <v>W9-SAFETY SWITCH CABLE</v>
      </c>
      <c r="O586">
        <v>212.39</v>
      </c>
      <c r="P586" t="str">
        <f>"$"</f>
        <v>$</v>
      </c>
      <c r="Q586" t="str">
        <f>"117"</f>
        <v>117</v>
      </c>
      <c r="R586" t="str">
        <f>"רתמות"</f>
        <v>רתמות</v>
      </c>
      <c r="S586" t="str">
        <f>"034"</f>
        <v>034</v>
      </c>
      <c r="T586" t="str">
        <f>"חן בזק"</f>
        <v>חן בזק</v>
      </c>
      <c r="U586">
        <v>0</v>
      </c>
      <c r="V586">
        <v>0</v>
      </c>
      <c r="W586">
        <v>212.39</v>
      </c>
      <c r="X586" s="2">
        <v>1274.3399999999999</v>
      </c>
      <c r="Z586" t="str">
        <f>"Y"</f>
        <v>Y</v>
      </c>
      <c r="AA586">
        <v>0</v>
      </c>
      <c r="AC586">
        <v>0</v>
      </c>
      <c r="AE586">
        <v>0</v>
      </c>
      <c r="AF586">
        <v>0</v>
      </c>
      <c r="AG586">
        <v>720.43</v>
      </c>
      <c r="AH586">
        <v>0</v>
      </c>
      <c r="AI586" s="2">
        <v>4322.5600000000004</v>
      </c>
      <c r="AJ586" s="2">
        <v>1274.3399999999999</v>
      </c>
      <c r="AK586" s="2">
        <v>1274.3399999999999</v>
      </c>
      <c r="AL586" t="str">
        <f>"$"</f>
        <v>$</v>
      </c>
    </row>
    <row r="587" spans="1:38" x14ac:dyDescent="0.3">
      <c r="A587" t="str">
        <f>"SO20000409"</f>
        <v>SO20000409</v>
      </c>
      <c r="B587" t="str">
        <f>"E000320341"</f>
        <v>E000320341</v>
      </c>
      <c r="C587" t="str">
        <f>"בוצעה"</f>
        <v>בוצעה</v>
      </c>
      <c r="E587" s="3">
        <v>44082</v>
      </c>
      <c r="F587" s="3">
        <v>44242</v>
      </c>
      <c r="G587" t="str">
        <f>"700065"</f>
        <v>700065</v>
      </c>
      <c r="H587" t="str">
        <f>"אלתא מערכות בע""מ"</f>
        <v>אלתא מערכות בע"מ</v>
      </c>
      <c r="I587" t="str">
        <f>"ערן שלו"</f>
        <v>ערן שלו</v>
      </c>
      <c r="J587" t="str">
        <f>"OP-AR02007"</f>
        <v>OP-AR02007</v>
      </c>
      <c r="K587" s="1" t="str">
        <f>"1017C863-001/C  CABLE 220V AC RACK PANEL W63"</f>
        <v>1017C863-001/C  CABLE 220V AC RACK PANEL W63</v>
      </c>
      <c r="L587">
        <v>7</v>
      </c>
      <c r="M587" t="str">
        <f>"PR20000620"</f>
        <v>PR20000620</v>
      </c>
      <c r="N587" t="str">
        <f>"W9-SAFETY SWITCH CABLE"</f>
        <v>W9-SAFETY SWITCH CABLE</v>
      </c>
      <c r="O587" s="2">
        <v>1516.71</v>
      </c>
      <c r="P587" t="str">
        <f>"$"</f>
        <v>$</v>
      </c>
      <c r="Q587" t="str">
        <f>"117"</f>
        <v>117</v>
      </c>
      <c r="R587" t="str">
        <f>"רתמות"</f>
        <v>רתמות</v>
      </c>
      <c r="S587" t="str">
        <f>"034"</f>
        <v>034</v>
      </c>
      <c r="T587" t="str">
        <f>"חן בזק"</f>
        <v>חן בזק</v>
      </c>
      <c r="U587">
        <v>0</v>
      </c>
      <c r="V587">
        <v>0</v>
      </c>
      <c r="W587" s="2">
        <v>1516.71</v>
      </c>
      <c r="X587" s="2">
        <v>10616.97</v>
      </c>
      <c r="Z587" t="str">
        <f>"Y"</f>
        <v>Y</v>
      </c>
      <c r="AA587">
        <v>0</v>
      </c>
      <c r="AC587">
        <v>0</v>
      </c>
      <c r="AE587">
        <v>0</v>
      </c>
      <c r="AF587">
        <v>0</v>
      </c>
      <c r="AG587" s="2">
        <v>5144.68</v>
      </c>
      <c r="AH587">
        <v>0</v>
      </c>
      <c r="AI587" s="2">
        <v>36012.76</v>
      </c>
      <c r="AJ587" s="2">
        <v>10616.97</v>
      </c>
      <c r="AK587" s="2">
        <v>10616.97</v>
      </c>
      <c r="AL587" t="str">
        <f>"$"</f>
        <v>$</v>
      </c>
    </row>
    <row r="588" spans="1:38" x14ac:dyDescent="0.3">
      <c r="A588" t="str">
        <f>"SO20000409"</f>
        <v>SO20000409</v>
      </c>
      <c r="B588" t="str">
        <f>"E000320341"</f>
        <v>E000320341</v>
      </c>
      <c r="C588" t="str">
        <f>"בוצעה"</f>
        <v>בוצעה</v>
      </c>
      <c r="E588" s="3">
        <v>44082</v>
      </c>
      <c r="F588" s="3">
        <v>44242</v>
      </c>
      <c r="G588" t="str">
        <f>"700065"</f>
        <v>700065</v>
      </c>
      <c r="H588" t="str">
        <f>"אלתא מערכות בע""מ"</f>
        <v>אלתא מערכות בע"מ</v>
      </c>
      <c r="I588" t="str">
        <f>"ערן שלו"</f>
        <v>ערן שלו</v>
      </c>
      <c r="J588" t="str">
        <f>"OP-AR02008"</f>
        <v>OP-AR02008</v>
      </c>
      <c r="K588" s="1" t="str">
        <f>"1016C803-001/E  W3 220V TO MEU AND TRANS CABLE"</f>
        <v>1016C803-001/E  W3 220V TO MEU AND TRANS CABLE</v>
      </c>
      <c r="L588">
        <v>3</v>
      </c>
      <c r="M588" t="str">
        <f>"PR20000620"</f>
        <v>PR20000620</v>
      </c>
      <c r="N588" t="str">
        <f>"W9-SAFETY SWITCH CABLE"</f>
        <v>W9-SAFETY SWITCH CABLE</v>
      </c>
      <c r="O588">
        <v>887.08</v>
      </c>
      <c r="P588" t="str">
        <f>"$"</f>
        <v>$</v>
      </c>
      <c r="Q588" t="str">
        <f>"117"</f>
        <v>117</v>
      </c>
      <c r="R588" t="str">
        <f>"רתמות"</f>
        <v>רתמות</v>
      </c>
      <c r="S588" t="str">
        <f>"034"</f>
        <v>034</v>
      </c>
      <c r="T588" t="str">
        <f>"חן בזק"</f>
        <v>חן בזק</v>
      </c>
      <c r="U588">
        <v>0</v>
      </c>
      <c r="V588">
        <v>0</v>
      </c>
      <c r="W588">
        <v>887.08</v>
      </c>
      <c r="X588" s="2">
        <v>2661.24</v>
      </c>
      <c r="Z588" t="str">
        <f>"Y"</f>
        <v>Y</v>
      </c>
      <c r="AA588">
        <v>0</v>
      </c>
      <c r="AC588">
        <v>0</v>
      </c>
      <c r="AE588">
        <v>0</v>
      </c>
      <c r="AF588">
        <v>0</v>
      </c>
      <c r="AG588" s="2">
        <v>3008.98</v>
      </c>
      <c r="AH588">
        <v>0</v>
      </c>
      <c r="AI588" s="2">
        <v>9026.93</v>
      </c>
      <c r="AJ588" s="2">
        <v>2661.24</v>
      </c>
      <c r="AK588" s="2">
        <v>2661.24</v>
      </c>
      <c r="AL588" t="str">
        <f>"$"</f>
        <v>$</v>
      </c>
    </row>
    <row r="589" spans="1:38" x14ac:dyDescent="0.3">
      <c r="A589" t="str">
        <f>"SO20000409"</f>
        <v>SO20000409</v>
      </c>
      <c r="B589" t="str">
        <f>"E000320341"</f>
        <v>E000320341</v>
      </c>
      <c r="C589" t="str">
        <f>"בוצעה"</f>
        <v>בוצעה</v>
      </c>
      <c r="E589" s="3">
        <v>44082</v>
      </c>
      <c r="F589" s="3">
        <v>44242</v>
      </c>
      <c r="G589" t="str">
        <f>"700065"</f>
        <v>700065</v>
      </c>
      <c r="H589" t="str">
        <f>"אלתא מערכות בע""מ"</f>
        <v>אלתא מערכות בע"מ</v>
      </c>
      <c r="I589" t="str">
        <f>"ערן שלו"</f>
        <v>ערן שלו</v>
      </c>
      <c r="J589" t="str">
        <f>"OP-AR02009"</f>
        <v>OP-AR02009</v>
      </c>
      <c r="K589" s="1" t="str">
        <f>"1023W667-001/D   W17-DC CABLE"</f>
        <v>1023W667-001/D   W17-DC CABLE</v>
      </c>
      <c r="L589">
        <v>5</v>
      </c>
      <c r="M589" t="str">
        <f>"PR20000620"</f>
        <v>PR20000620</v>
      </c>
      <c r="N589" t="str">
        <f>"W9-SAFETY SWITCH CABLE"</f>
        <v>W9-SAFETY SWITCH CABLE</v>
      </c>
      <c r="O589">
        <v>399.2</v>
      </c>
      <c r="P589" t="str">
        <f>"$"</f>
        <v>$</v>
      </c>
      <c r="Q589" t="str">
        <f>"117"</f>
        <v>117</v>
      </c>
      <c r="R589" t="str">
        <f>"רתמות"</f>
        <v>רתמות</v>
      </c>
      <c r="S589" t="str">
        <f>"034"</f>
        <v>034</v>
      </c>
      <c r="T589" t="str">
        <f>"חן בזק"</f>
        <v>חן בזק</v>
      </c>
      <c r="U589">
        <v>0</v>
      </c>
      <c r="V589">
        <v>0</v>
      </c>
      <c r="W589">
        <v>399.2</v>
      </c>
      <c r="X589" s="2">
        <v>1996</v>
      </c>
      <c r="Z589" t="str">
        <f>"Y"</f>
        <v>Y</v>
      </c>
      <c r="AA589">
        <v>0</v>
      </c>
      <c r="AC589">
        <v>0</v>
      </c>
      <c r="AE589">
        <v>0</v>
      </c>
      <c r="AF589">
        <v>0</v>
      </c>
      <c r="AG589" s="2">
        <v>1354.09</v>
      </c>
      <c r="AH589">
        <v>0</v>
      </c>
      <c r="AI589" s="2">
        <v>6770.43</v>
      </c>
      <c r="AJ589" s="2">
        <v>1996</v>
      </c>
      <c r="AK589" s="2">
        <v>1996</v>
      </c>
      <c r="AL589" t="str">
        <f>"$"</f>
        <v>$</v>
      </c>
    </row>
    <row r="590" spans="1:38" x14ac:dyDescent="0.3">
      <c r="A590" t="str">
        <f>"SO20000409"</f>
        <v>SO20000409</v>
      </c>
      <c r="B590" t="str">
        <f>"E000320341"</f>
        <v>E000320341</v>
      </c>
      <c r="C590" t="str">
        <f>"בוצעה"</f>
        <v>בוצעה</v>
      </c>
      <c r="E590" s="3">
        <v>44082</v>
      </c>
      <c r="F590" s="3">
        <v>44242</v>
      </c>
      <c r="G590" t="str">
        <f>"700065"</f>
        <v>700065</v>
      </c>
      <c r="H590" t="str">
        <f>"אלתא מערכות בע""מ"</f>
        <v>אלתא מערכות בע"מ</v>
      </c>
      <c r="I590" t="str">
        <f>"ערן שלו"</f>
        <v>ערן שלו</v>
      </c>
      <c r="J590" t="str">
        <f>"OP-AR02010"</f>
        <v>OP-AR02010</v>
      </c>
      <c r="K590" s="1" t="str">
        <f>"1017C862-001/B   CABLE 220V AC RACK PANEL W62"</f>
        <v>1017C862-001/B   CABLE 220V AC RACK PANEL W62</v>
      </c>
      <c r="L590">
        <v>2</v>
      </c>
      <c r="M590" t="str">
        <f>"PR20000620"</f>
        <v>PR20000620</v>
      </c>
      <c r="N590" t="str">
        <f>"W9-SAFETY SWITCH CABLE"</f>
        <v>W9-SAFETY SWITCH CABLE</v>
      </c>
      <c r="O590" s="2">
        <v>1331.94</v>
      </c>
      <c r="P590" t="str">
        <f>"$"</f>
        <v>$</v>
      </c>
      <c r="Q590" t="str">
        <f>"117"</f>
        <v>117</v>
      </c>
      <c r="R590" t="str">
        <f>"רתמות"</f>
        <v>רתמות</v>
      </c>
      <c r="S590" t="str">
        <f>"034"</f>
        <v>034</v>
      </c>
      <c r="T590" t="str">
        <f>"חן בזק"</f>
        <v>חן בזק</v>
      </c>
      <c r="U590">
        <v>0</v>
      </c>
      <c r="V590">
        <v>0</v>
      </c>
      <c r="W590" s="2">
        <v>1331.94</v>
      </c>
      <c r="X590" s="2">
        <v>2663.88</v>
      </c>
      <c r="Z590" t="str">
        <f>"Y"</f>
        <v>Y</v>
      </c>
      <c r="AA590">
        <v>0</v>
      </c>
      <c r="AC590">
        <v>0</v>
      </c>
      <c r="AE590">
        <v>0</v>
      </c>
      <c r="AF590">
        <v>0</v>
      </c>
      <c r="AG590" s="2">
        <v>4517.9399999999996</v>
      </c>
      <c r="AH590">
        <v>0</v>
      </c>
      <c r="AI590" s="2">
        <v>9035.8799999999992</v>
      </c>
      <c r="AJ590" s="2">
        <v>2663.88</v>
      </c>
      <c r="AK590" s="2">
        <v>2663.88</v>
      </c>
      <c r="AL590" t="str">
        <f>"$"</f>
        <v>$</v>
      </c>
    </row>
    <row r="591" spans="1:38" x14ac:dyDescent="0.3">
      <c r="A591" t="str">
        <f>"SO20000409"</f>
        <v>SO20000409</v>
      </c>
      <c r="B591" t="str">
        <f>"E000320341"</f>
        <v>E000320341</v>
      </c>
      <c r="C591" t="str">
        <f>"בוצעה"</f>
        <v>בוצעה</v>
      </c>
      <c r="E591" s="3">
        <v>44082</v>
      </c>
      <c r="F591" s="3">
        <v>44242</v>
      </c>
      <c r="G591" t="str">
        <f>"700065"</f>
        <v>700065</v>
      </c>
      <c r="H591" t="str">
        <f>"אלתא מערכות בע""מ"</f>
        <v>אלתא מערכות בע"מ</v>
      </c>
      <c r="I591" t="str">
        <f>"ערן שלו"</f>
        <v>ערן שלו</v>
      </c>
      <c r="J591" t="str">
        <f>"OP-AR02008"</f>
        <v>OP-AR02008</v>
      </c>
      <c r="K591" s="1" t="str">
        <f>"1016C803-001/E  W3 220V TO MEU AND TRANS CABLE"</f>
        <v>1016C803-001/E  W3 220V TO MEU AND TRANS CABLE</v>
      </c>
      <c r="L591">
        <v>7</v>
      </c>
      <c r="M591" t="str">
        <f>"PR20000620"</f>
        <v>PR20000620</v>
      </c>
      <c r="N591" t="str">
        <f>"W9-SAFETY SWITCH CABLE"</f>
        <v>W9-SAFETY SWITCH CABLE</v>
      </c>
      <c r="O591">
        <v>887.08</v>
      </c>
      <c r="P591" t="str">
        <f>"$"</f>
        <v>$</v>
      </c>
      <c r="Q591" t="str">
        <f>"117"</f>
        <v>117</v>
      </c>
      <c r="R591" t="str">
        <f>"רתמות"</f>
        <v>רתמות</v>
      </c>
      <c r="S591" t="str">
        <f>"034"</f>
        <v>034</v>
      </c>
      <c r="T591" t="str">
        <f>"חן בזק"</f>
        <v>חן בזק</v>
      </c>
      <c r="U591">
        <v>0</v>
      </c>
      <c r="V591">
        <v>0</v>
      </c>
      <c r="W591">
        <v>887.08</v>
      </c>
      <c r="X591" s="2">
        <v>6209.56</v>
      </c>
      <c r="Z591" t="str">
        <f>"Y"</f>
        <v>Y</v>
      </c>
      <c r="AA591">
        <v>0</v>
      </c>
      <c r="AC591">
        <v>0</v>
      </c>
      <c r="AE591">
        <v>0</v>
      </c>
      <c r="AF591">
        <v>0</v>
      </c>
      <c r="AG591" s="2">
        <v>3008.98</v>
      </c>
      <c r="AH591">
        <v>0</v>
      </c>
      <c r="AI591" s="2">
        <v>21062.83</v>
      </c>
      <c r="AJ591" s="2">
        <v>6209.56</v>
      </c>
      <c r="AK591" s="2">
        <v>6209.56</v>
      </c>
      <c r="AL591" t="str">
        <f>"$"</f>
        <v>$</v>
      </c>
    </row>
    <row r="592" spans="1:38" x14ac:dyDescent="0.3">
      <c r="A592" t="str">
        <f>"SO20000409"</f>
        <v>SO20000409</v>
      </c>
      <c r="B592" t="str">
        <f>"E000320341"</f>
        <v>E000320341</v>
      </c>
      <c r="C592" t="str">
        <f>"בוצעה"</f>
        <v>בוצעה</v>
      </c>
      <c r="E592" s="3">
        <v>44082</v>
      </c>
      <c r="F592" s="3">
        <v>44242</v>
      </c>
      <c r="G592" t="str">
        <f>"700065"</f>
        <v>700065</v>
      </c>
      <c r="H592" t="str">
        <f>"אלתא מערכות בע""מ"</f>
        <v>אלתא מערכות בע"מ</v>
      </c>
      <c r="I592" t="str">
        <f>"ערן שלו"</f>
        <v>ערן שלו</v>
      </c>
      <c r="J592" t="str">
        <f>"OP-AR02011"</f>
        <v>OP-AR02011</v>
      </c>
      <c r="K592" s="1" t="str">
        <f>"1025Y804-001/-   W4- TX CONT CABLE"</f>
        <v>1025Y804-001/-   W4- TX CONT CABLE</v>
      </c>
      <c r="L592">
        <v>2</v>
      </c>
      <c r="M592" t="str">
        <f>"PR20000620"</f>
        <v>PR20000620</v>
      </c>
      <c r="N592" t="str">
        <f>"W9-SAFETY SWITCH CABLE"</f>
        <v>W9-SAFETY SWITCH CABLE</v>
      </c>
      <c r="O592">
        <v>609.04</v>
      </c>
      <c r="P592" t="str">
        <f>"$"</f>
        <v>$</v>
      </c>
      <c r="Q592" t="str">
        <f>"117"</f>
        <v>117</v>
      </c>
      <c r="R592" t="str">
        <f>"רתמות"</f>
        <v>רתמות</v>
      </c>
      <c r="S592" t="str">
        <f>"034"</f>
        <v>034</v>
      </c>
      <c r="T592" t="str">
        <f>"חן בזק"</f>
        <v>חן בזק</v>
      </c>
      <c r="U592">
        <v>0</v>
      </c>
      <c r="V592">
        <v>0</v>
      </c>
      <c r="W592">
        <v>609.04</v>
      </c>
      <c r="X592" s="2">
        <v>1218.08</v>
      </c>
      <c r="Z592" t="str">
        <f>"Y"</f>
        <v>Y</v>
      </c>
      <c r="AA592">
        <v>0</v>
      </c>
      <c r="AC592">
        <v>0</v>
      </c>
      <c r="AE592">
        <v>0</v>
      </c>
      <c r="AF592">
        <v>0</v>
      </c>
      <c r="AG592" s="2">
        <v>2065.86</v>
      </c>
      <c r="AH592">
        <v>0</v>
      </c>
      <c r="AI592" s="2">
        <v>4131.7299999999996</v>
      </c>
      <c r="AJ592" s="2">
        <v>1218.08</v>
      </c>
      <c r="AK592" s="2">
        <v>1218.08</v>
      </c>
      <c r="AL592" t="str">
        <f>"$"</f>
        <v>$</v>
      </c>
    </row>
    <row r="593" spans="1:38" x14ac:dyDescent="0.3">
      <c r="A593" t="str">
        <f>"SO20000409"</f>
        <v>SO20000409</v>
      </c>
      <c r="B593" t="str">
        <f>"E000320341"</f>
        <v>E000320341</v>
      </c>
      <c r="C593" t="str">
        <f>"בוצעה"</f>
        <v>בוצעה</v>
      </c>
      <c r="E593" s="3">
        <v>44082</v>
      </c>
      <c r="F593" s="3">
        <v>44242</v>
      </c>
      <c r="G593" t="str">
        <f>"700065"</f>
        <v>700065</v>
      </c>
      <c r="H593" t="str">
        <f>"אלתא מערכות בע""מ"</f>
        <v>אלתא מערכות בע"מ</v>
      </c>
      <c r="I593" t="str">
        <f>"ערן שלו"</f>
        <v>ערן שלו</v>
      </c>
      <c r="J593" t="str">
        <f>"OP-AR02012"</f>
        <v>OP-AR02012</v>
      </c>
      <c r="K593" s="1" t="str">
        <f>"1023W802-001/C   W2-POWER SUPLLY CABLE ASSY"</f>
        <v>1023W802-001/C   W2-POWER SUPLLY CABLE ASSY</v>
      </c>
      <c r="L593">
        <v>2</v>
      </c>
      <c r="M593" t="str">
        <f>"PR20000620"</f>
        <v>PR20000620</v>
      </c>
      <c r="N593" t="str">
        <f>"W9-SAFETY SWITCH CABLE"</f>
        <v>W9-SAFETY SWITCH CABLE</v>
      </c>
      <c r="O593">
        <v>586.88</v>
      </c>
      <c r="P593" t="str">
        <f>"$"</f>
        <v>$</v>
      </c>
      <c r="Q593" t="str">
        <f>"117"</f>
        <v>117</v>
      </c>
      <c r="R593" t="str">
        <f>"רתמות"</f>
        <v>רתמות</v>
      </c>
      <c r="S593" t="str">
        <f>"034"</f>
        <v>034</v>
      </c>
      <c r="T593" t="str">
        <f>"חן בזק"</f>
        <v>חן בזק</v>
      </c>
      <c r="U593">
        <v>0</v>
      </c>
      <c r="V593">
        <v>0</v>
      </c>
      <c r="W593">
        <v>586.88</v>
      </c>
      <c r="X593" s="2">
        <v>1173.76</v>
      </c>
      <c r="Z593" t="str">
        <f>"Y"</f>
        <v>Y</v>
      </c>
      <c r="AA593">
        <v>0</v>
      </c>
      <c r="AC593">
        <v>0</v>
      </c>
      <c r="AE593">
        <v>0</v>
      </c>
      <c r="AF593">
        <v>0</v>
      </c>
      <c r="AG593" s="2">
        <v>1990.7</v>
      </c>
      <c r="AH593">
        <v>0</v>
      </c>
      <c r="AI593" s="2">
        <v>3981.39</v>
      </c>
      <c r="AJ593" s="2">
        <v>1173.76</v>
      </c>
      <c r="AK593" s="2">
        <v>1173.76</v>
      </c>
      <c r="AL593" t="str">
        <f>"$"</f>
        <v>$</v>
      </c>
    </row>
    <row r="594" spans="1:38" x14ac:dyDescent="0.3">
      <c r="A594" t="str">
        <f>"SO20000409"</f>
        <v>SO20000409</v>
      </c>
      <c r="B594" t="str">
        <f>"E000320341"</f>
        <v>E000320341</v>
      </c>
      <c r="C594" t="str">
        <f>"בוצעה"</f>
        <v>בוצעה</v>
      </c>
      <c r="E594" s="3">
        <v>44082</v>
      </c>
      <c r="F594" s="3">
        <v>44242</v>
      </c>
      <c r="G594" t="str">
        <f>"700065"</f>
        <v>700065</v>
      </c>
      <c r="H594" t="str">
        <f>"אלתא מערכות בע""מ"</f>
        <v>אלתא מערכות בע"מ</v>
      </c>
      <c r="I594" t="str">
        <f>"ערן שלו"</f>
        <v>ערן שלו</v>
      </c>
      <c r="J594" t="str">
        <f>"OP-AR02013"</f>
        <v>OP-AR02013</v>
      </c>
      <c r="K594" s="1" t="str">
        <f>"1023W801-001/B   W1 - AZ DATA CABLE"</f>
        <v>1023W801-001/B   W1 - AZ DATA CABLE</v>
      </c>
      <c r="L594">
        <v>4</v>
      </c>
      <c r="M594" t="str">
        <f>"PR20000620"</f>
        <v>PR20000620</v>
      </c>
      <c r="N594" t="str">
        <f>"W9-SAFETY SWITCH CABLE"</f>
        <v>W9-SAFETY SWITCH CABLE</v>
      </c>
      <c r="O594">
        <v>682.34</v>
      </c>
      <c r="P594" t="str">
        <f>"$"</f>
        <v>$</v>
      </c>
      <c r="Q594" t="str">
        <f>"117"</f>
        <v>117</v>
      </c>
      <c r="R594" t="str">
        <f>"רתמות"</f>
        <v>רתמות</v>
      </c>
      <c r="S594" t="str">
        <f>"034"</f>
        <v>034</v>
      </c>
      <c r="T594" t="str">
        <f>"חן בזק"</f>
        <v>חן בזק</v>
      </c>
      <c r="U594">
        <v>0</v>
      </c>
      <c r="V594">
        <v>0</v>
      </c>
      <c r="W594">
        <v>682.34</v>
      </c>
      <c r="X594" s="2">
        <v>2729.36</v>
      </c>
      <c r="Z594" t="str">
        <f>"Y"</f>
        <v>Y</v>
      </c>
      <c r="AA594">
        <v>0</v>
      </c>
      <c r="AC594">
        <v>0</v>
      </c>
      <c r="AE594">
        <v>0</v>
      </c>
      <c r="AF594">
        <v>0</v>
      </c>
      <c r="AG594" s="2">
        <v>2314.5</v>
      </c>
      <c r="AH594">
        <v>0</v>
      </c>
      <c r="AI594" s="2">
        <v>9257.99</v>
      </c>
      <c r="AJ594" s="2">
        <v>2729.36</v>
      </c>
      <c r="AK594" s="2">
        <v>2729.36</v>
      </c>
      <c r="AL594" t="str">
        <f>"$"</f>
        <v>$</v>
      </c>
    </row>
    <row r="595" spans="1:38" x14ac:dyDescent="0.3">
      <c r="A595" t="str">
        <f>"SO20000409"</f>
        <v>SO20000409</v>
      </c>
      <c r="B595" t="str">
        <f>"E000320341"</f>
        <v>E000320341</v>
      </c>
      <c r="C595" t="str">
        <f>"בוצעה"</f>
        <v>בוצעה</v>
      </c>
      <c r="E595" s="3">
        <v>44082</v>
      </c>
      <c r="F595" s="3">
        <v>44242</v>
      </c>
      <c r="G595" t="str">
        <f>"700065"</f>
        <v>700065</v>
      </c>
      <c r="H595" t="str">
        <f>"אלתא מערכות בע""מ"</f>
        <v>אלתא מערכות בע"מ</v>
      </c>
      <c r="I595" t="str">
        <f>"ערן שלו"</f>
        <v>ערן שלו</v>
      </c>
      <c r="J595" t="str">
        <f>"OP-AR02014"</f>
        <v>OP-AR02014</v>
      </c>
      <c r="K595" s="1" t="str">
        <f>"1017C867-001/B   CABLE 220VAC ARRESTOR/RACK W7"</f>
        <v>1017C867-001/B   CABLE 220VAC ARRESTOR/RACK W7</v>
      </c>
      <c r="L595">
        <v>1</v>
      </c>
      <c r="M595" t="str">
        <f>"PR20000620"</f>
        <v>PR20000620</v>
      </c>
      <c r="N595" t="str">
        <f>"W9-SAFETY SWITCH CABLE"</f>
        <v>W9-SAFETY SWITCH CABLE</v>
      </c>
      <c r="O595">
        <v>642.54</v>
      </c>
      <c r="P595" t="str">
        <f>"$"</f>
        <v>$</v>
      </c>
      <c r="Q595" t="str">
        <f>"117"</f>
        <v>117</v>
      </c>
      <c r="R595" t="str">
        <f>"רתמות"</f>
        <v>רתמות</v>
      </c>
      <c r="S595" t="str">
        <f>"034"</f>
        <v>034</v>
      </c>
      <c r="T595" t="str">
        <f>"חן בזק"</f>
        <v>חן בזק</v>
      </c>
      <c r="U595">
        <v>0</v>
      </c>
      <c r="V595">
        <v>0</v>
      </c>
      <c r="W595">
        <v>642.54</v>
      </c>
      <c r="X595">
        <v>642.54</v>
      </c>
      <c r="Z595" t="str">
        <f>"Y"</f>
        <v>Y</v>
      </c>
      <c r="AA595">
        <v>0</v>
      </c>
      <c r="AC595">
        <v>0</v>
      </c>
      <c r="AE595">
        <v>0</v>
      </c>
      <c r="AF595">
        <v>0</v>
      </c>
      <c r="AG595" s="2">
        <v>2179.5</v>
      </c>
      <c r="AH595">
        <v>0</v>
      </c>
      <c r="AI595" s="2">
        <v>2179.5</v>
      </c>
      <c r="AJ595">
        <v>642.54</v>
      </c>
      <c r="AK595">
        <v>642.54</v>
      </c>
      <c r="AL595" t="str">
        <f>"$"</f>
        <v>$</v>
      </c>
    </row>
    <row r="596" spans="1:38" x14ac:dyDescent="0.3">
      <c r="A596" t="str">
        <f>"SO20000409"</f>
        <v>SO20000409</v>
      </c>
      <c r="B596" t="str">
        <f>"E000320341"</f>
        <v>E000320341</v>
      </c>
      <c r="C596" t="str">
        <f>"בוצעה"</f>
        <v>בוצעה</v>
      </c>
      <c r="D596" t="str">
        <f>"מבוטלת"</f>
        <v>מבוטלת</v>
      </c>
      <c r="E596" s="3">
        <v>44082</v>
      </c>
      <c r="F596" s="3">
        <v>44242</v>
      </c>
      <c r="G596" t="str">
        <f>"700065"</f>
        <v>700065</v>
      </c>
      <c r="H596" t="str">
        <f>"אלתא מערכות בע""מ"</f>
        <v>אלתא מערכות בע"מ</v>
      </c>
      <c r="I596" t="str">
        <f>"ערן שלו"</f>
        <v>ערן שלו</v>
      </c>
      <c r="J596" t="str">
        <f>"OP-AR02015"</f>
        <v>OP-AR02015</v>
      </c>
      <c r="K596" s="1" t="str">
        <f>"MOQ FOR 9028C03101"</f>
        <v>MOQ FOR 9028C03101</v>
      </c>
      <c r="L596">
        <v>1</v>
      </c>
      <c r="M596" t="str">
        <f>"PR20000620"</f>
        <v>PR20000620</v>
      </c>
      <c r="N596" t="str">
        <f>"W9-SAFETY SWITCH CABLE"</f>
        <v>W9-SAFETY SWITCH CABLE</v>
      </c>
      <c r="O596" s="2">
        <v>3629.72</v>
      </c>
      <c r="P596" t="str">
        <f>"$"</f>
        <v>$</v>
      </c>
      <c r="Q596" t="str">
        <f>"117"</f>
        <v>117</v>
      </c>
      <c r="R596" t="str">
        <f>"רתמות"</f>
        <v>רתמות</v>
      </c>
      <c r="S596" t="str">
        <f>"034"</f>
        <v>034</v>
      </c>
      <c r="T596" t="str">
        <f>"חן בזק"</f>
        <v>חן בזק</v>
      </c>
      <c r="U596">
        <v>0</v>
      </c>
      <c r="V596">
        <v>0</v>
      </c>
      <c r="W596" s="2">
        <v>3629.72</v>
      </c>
      <c r="X596" s="2">
        <v>3629.72</v>
      </c>
      <c r="Z596" t="str">
        <f>"Y"</f>
        <v>Y</v>
      </c>
      <c r="AA596">
        <v>1</v>
      </c>
      <c r="AC596">
        <v>0</v>
      </c>
      <c r="AE596">
        <v>0</v>
      </c>
      <c r="AF596">
        <v>0</v>
      </c>
      <c r="AG596" s="2">
        <v>12312.01</v>
      </c>
      <c r="AH596">
        <v>0</v>
      </c>
      <c r="AI596" s="2">
        <v>12312.01</v>
      </c>
      <c r="AJ596" s="2">
        <v>3629.72</v>
      </c>
      <c r="AK596" s="2">
        <v>3629.72</v>
      </c>
      <c r="AL596" t="str">
        <f>"$"</f>
        <v>$</v>
      </c>
    </row>
    <row r="597" spans="1:38" x14ac:dyDescent="0.3">
      <c r="A597" t="str">
        <f>"SO20000409"</f>
        <v>SO20000409</v>
      </c>
      <c r="B597" t="str">
        <f>"E000320341"</f>
        <v>E000320341</v>
      </c>
      <c r="C597" t="str">
        <f>"בוצעה"</f>
        <v>בוצעה</v>
      </c>
      <c r="E597" s="3">
        <v>44082</v>
      </c>
      <c r="F597" s="3">
        <v>44242</v>
      </c>
      <c r="G597" t="str">
        <f>"700065"</f>
        <v>700065</v>
      </c>
      <c r="H597" t="str">
        <f>"אלתא מערכות בע""מ"</f>
        <v>אלתא מערכות בע"מ</v>
      </c>
      <c r="I597" t="str">
        <f>"ערן שלו"</f>
        <v>ערן שלו</v>
      </c>
      <c r="J597" t="str">
        <f>"PA1001607"</f>
        <v>PA1001607</v>
      </c>
      <c r="K597" s="1" t="str">
        <f>"כבל 9028C03101  CABLE DOUBLE SHIELDED 3X12 AWG"</f>
        <v>כבל 9028C03101  CABLE DOUBLE SHIELDED 3X12 AWG</v>
      </c>
      <c r="L597">
        <v>335</v>
      </c>
      <c r="M597" t="str">
        <f>"PR20000620"</f>
        <v>PR20000620</v>
      </c>
      <c r="N597" t="str">
        <f>"W9-SAFETY SWITCH CABLE"</f>
        <v>W9-SAFETY SWITCH CABLE</v>
      </c>
      <c r="O597">
        <v>10.83</v>
      </c>
      <c r="P597" t="str">
        <f>"$"</f>
        <v>$</v>
      </c>
      <c r="Q597" t="str">
        <f>"117"</f>
        <v>117</v>
      </c>
      <c r="R597" t="str">
        <f>"רתמות"</f>
        <v>רתמות</v>
      </c>
      <c r="S597" t="str">
        <f>"034"</f>
        <v>034</v>
      </c>
      <c r="T597" t="str">
        <f>"חן בזק"</f>
        <v>חן בזק</v>
      </c>
      <c r="U597">
        <v>0</v>
      </c>
      <c r="V597">
        <v>0</v>
      </c>
      <c r="W597">
        <v>10.83</v>
      </c>
      <c r="X597" s="2">
        <v>3628.05</v>
      </c>
      <c r="Z597" t="str">
        <f>"Y"</f>
        <v>Y</v>
      </c>
      <c r="AA597">
        <v>0</v>
      </c>
      <c r="AC597">
        <v>0</v>
      </c>
      <c r="AE597">
        <v>0</v>
      </c>
      <c r="AF597">
        <v>0</v>
      </c>
      <c r="AG597">
        <v>36.74</v>
      </c>
      <c r="AH597">
        <v>0</v>
      </c>
      <c r="AI597" s="2">
        <v>12306.35</v>
      </c>
      <c r="AJ597" s="2">
        <v>3628.05</v>
      </c>
      <c r="AK597" s="2">
        <v>3628.05</v>
      </c>
      <c r="AL597" t="str">
        <f>"$"</f>
        <v>$</v>
      </c>
    </row>
    <row r="598" spans="1:38" x14ac:dyDescent="0.3">
      <c r="A598" t="str">
        <f>"SO20000410"</f>
        <v>SO20000410</v>
      </c>
      <c r="B598" t="str">
        <f>"E000320247"</f>
        <v>E000320247</v>
      </c>
      <c r="C598" t="str">
        <f>"בוצעה"</f>
        <v>בוצעה</v>
      </c>
      <c r="E598" s="3">
        <v>44082</v>
      </c>
      <c r="F598" s="3">
        <v>44089</v>
      </c>
      <c r="G598" t="str">
        <f>"700065"</f>
        <v>700065</v>
      </c>
      <c r="H598" t="str">
        <f>"אלתא מערכות בע""מ"</f>
        <v>אלתא מערכות בע"מ</v>
      </c>
      <c r="I598" t="str">
        <f>"ערן שלו"</f>
        <v>ערן שלו</v>
      </c>
      <c r="J598" t="str">
        <f>"OP-AR01523"</f>
        <v>OP-AR01523</v>
      </c>
      <c r="K598" s="1" t="str">
        <f>"סימולטור בקרה לספינות EPS"</f>
        <v>סימולטור בקרה לספינות EPS</v>
      </c>
      <c r="L598">
        <v>1</v>
      </c>
      <c r="M598" t="str">
        <f>"PR19000583"</f>
        <v>PR19000583</v>
      </c>
      <c r="N598" t="str">
        <f>"ייצור ג'יג בקרה לספינות"</f>
        <v>ייצור ג'יג בקרה לספינות</v>
      </c>
      <c r="O598" s="2">
        <v>30000</v>
      </c>
      <c r="P598" t="str">
        <f>"$"</f>
        <v>$</v>
      </c>
      <c r="Q598" t="str">
        <f>"000"</f>
        <v>000</v>
      </c>
      <c r="R598" t="str">
        <f>"כללית"</f>
        <v>כללית</v>
      </c>
      <c r="S598" t="str">
        <f>"034"</f>
        <v>034</v>
      </c>
      <c r="T598" t="str">
        <f>"חן בזק"</f>
        <v>חן בזק</v>
      </c>
      <c r="U598">
        <v>0</v>
      </c>
      <c r="V598">
        <v>0</v>
      </c>
      <c r="W598" s="2">
        <v>30000</v>
      </c>
      <c r="X598" s="2">
        <v>30000</v>
      </c>
      <c r="Z598" t="str">
        <f>"Y"</f>
        <v>Y</v>
      </c>
      <c r="AA598">
        <v>0</v>
      </c>
      <c r="AC598">
        <v>0</v>
      </c>
      <c r="AE598">
        <v>0</v>
      </c>
      <c r="AF598">
        <v>0</v>
      </c>
      <c r="AG598" s="2">
        <v>101760</v>
      </c>
      <c r="AH598">
        <v>0</v>
      </c>
      <c r="AI598" s="2">
        <v>101760</v>
      </c>
      <c r="AJ598" s="2">
        <v>30000</v>
      </c>
      <c r="AK598" s="2">
        <v>30000</v>
      </c>
      <c r="AL598" t="str">
        <f>"$"</f>
        <v>$</v>
      </c>
    </row>
    <row r="599" spans="1:38" x14ac:dyDescent="0.3">
      <c r="A599" t="str">
        <f>"SO20000411"</f>
        <v>SO20000411</v>
      </c>
      <c r="B599" t="str">
        <f>"E000320892"</f>
        <v>E000320892</v>
      </c>
      <c r="C599" t="str">
        <f>"בוצעה"</f>
        <v>בוצעה</v>
      </c>
      <c r="E599" s="3">
        <v>44082</v>
      </c>
      <c r="F599" s="3">
        <v>44197</v>
      </c>
      <c r="G599" t="str">
        <f>"700065"</f>
        <v>700065</v>
      </c>
      <c r="H599" t="str">
        <f>"אלתא מערכות בע""מ"</f>
        <v>אלתא מערכות בע"מ</v>
      </c>
      <c r="I599" t="str">
        <f>"ערן שלו"</f>
        <v>ערן שלו</v>
      </c>
      <c r="J599" t="str">
        <f>"000"</f>
        <v>000</v>
      </c>
      <c r="K599" s="1" t="str">
        <f>"התקנת 7 מצברים במערכת יאיר הא"</f>
        <v>התקנת 7 מצברים במערכת יאיר הא</v>
      </c>
      <c r="L599">
        <v>1</v>
      </c>
      <c r="M599" t="str">
        <f>"PR20000626"</f>
        <v>PR20000626</v>
      </c>
      <c r="N599" t="str">
        <f>"התקנת 7 מצברים במערכת יאיר"</f>
        <v>התקנת 7 מצברים במערכת יאיר</v>
      </c>
      <c r="O599" s="2">
        <v>1430</v>
      </c>
      <c r="P599" t="str">
        <f>"$"</f>
        <v>$</v>
      </c>
      <c r="Q599" t="str">
        <f>"000"</f>
        <v>000</v>
      </c>
      <c r="R599" t="str">
        <f>"כללית"</f>
        <v>כללית</v>
      </c>
      <c r="S599" t="str">
        <f>"034"</f>
        <v>034</v>
      </c>
      <c r="T599" t="str">
        <f>"חן בזק"</f>
        <v>חן בזק</v>
      </c>
      <c r="U599">
        <v>0</v>
      </c>
      <c r="V599">
        <v>0</v>
      </c>
      <c r="W599" s="2">
        <v>1430</v>
      </c>
      <c r="X599" s="2">
        <v>1430</v>
      </c>
      <c r="Z599" t="str">
        <f>"Y"</f>
        <v>Y</v>
      </c>
      <c r="AA599">
        <v>1</v>
      </c>
      <c r="AC599">
        <v>0</v>
      </c>
      <c r="AE599">
        <v>0</v>
      </c>
      <c r="AF599">
        <v>0</v>
      </c>
      <c r="AG599" s="2">
        <v>4850.5600000000004</v>
      </c>
      <c r="AH599">
        <v>0</v>
      </c>
      <c r="AI599" s="2">
        <v>4850.5600000000004</v>
      </c>
      <c r="AJ599" s="2">
        <v>1430</v>
      </c>
      <c r="AK599" s="2">
        <v>1430</v>
      </c>
      <c r="AL599" t="str">
        <f>"$"</f>
        <v>$</v>
      </c>
    </row>
    <row r="600" spans="1:38" x14ac:dyDescent="0.3">
      <c r="A600" t="str">
        <f>"SO20000412"</f>
        <v>SO20000412</v>
      </c>
      <c r="B600" t="str">
        <f>"E000320917"</f>
        <v>E000320917</v>
      </c>
      <c r="C600" t="str">
        <f>"בוצעה"</f>
        <v>בוצעה</v>
      </c>
      <c r="E600" s="3">
        <v>44082</v>
      </c>
      <c r="F600" s="3">
        <v>44245</v>
      </c>
      <c r="G600" t="str">
        <f>"700065"</f>
        <v>700065</v>
      </c>
      <c r="H600" t="str">
        <f>"אלתא מערכות בע""מ"</f>
        <v>אלתא מערכות בע"מ</v>
      </c>
      <c r="I600" t="str">
        <f>"ערן שלו"</f>
        <v>ערן שלו</v>
      </c>
      <c r="J600" t="str">
        <f>"OP-ML00184"</f>
        <v>OP-ML00184</v>
      </c>
      <c r="K600" s="1" t="str">
        <f>"4020F160-001 RACK MECHANICAL"</f>
        <v>4020F160-001 RACK MECHANICAL</v>
      </c>
      <c r="L600">
        <v>1</v>
      </c>
      <c r="M600" t="str">
        <f>"PR20000625"</f>
        <v>PR20000625</v>
      </c>
      <c r="N600" t="str">
        <f>"4020F160-001 RACK MECHANICAL"</f>
        <v>4020F160-001 RACK MECHANICAL</v>
      </c>
      <c r="O600" s="2">
        <v>6510.33</v>
      </c>
      <c r="P600" t="str">
        <f>"$"</f>
        <v>$</v>
      </c>
      <c r="Q600" t="str">
        <f>"118"</f>
        <v>118</v>
      </c>
      <c r="R600" t="str">
        <f>"מערכות"</f>
        <v>מערכות</v>
      </c>
      <c r="S600" t="str">
        <f>"034"</f>
        <v>034</v>
      </c>
      <c r="T600" t="str">
        <f>"חן בזק"</f>
        <v>חן בזק</v>
      </c>
      <c r="U600">
        <v>0</v>
      </c>
      <c r="V600">
        <v>0</v>
      </c>
      <c r="W600" s="2">
        <v>6510.33</v>
      </c>
      <c r="X600" s="2">
        <v>6510.33</v>
      </c>
      <c r="Z600" t="str">
        <f>"Y"</f>
        <v>Y</v>
      </c>
      <c r="AA600">
        <v>0</v>
      </c>
      <c r="AC600">
        <v>0</v>
      </c>
      <c r="AE600">
        <v>0</v>
      </c>
      <c r="AF600">
        <v>0</v>
      </c>
      <c r="AG600" s="2">
        <v>22083.040000000001</v>
      </c>
      <c r="AH600">
        <v>0</v>
      </c>
      <c r="AI600" s="2">
        <v>22083.040000000001</v>
      </c>
      <c r="AJ600" s="2">
        <v>6510.33</v>
      </c>
      <c r="AK600" s="2">
        <v>6510.33</v>
      </c>
      <c r="AL600" t="str">
        <f>"$"</f>
        <v>$</v>
      </c>
    </row>
    <row r="601" spans="1:38" x14ac:dyDescent="0.3">
      <c r="A601" t="str">
        <f>"SO20000412"</f>
        <v>SO20000412</v>
      </c>
      <c r="B601" t="str">
        <f>"E000320917"</f>
        <v>E000320917</v>
      </c>
      <c r="C601" t="str">
        <f>"בוצעה"</f>
        <v>בוצעה</v>
      </c>
      <c r="E601" s="3">
        <v>44082</v>
      </c>
      <c r="F601" s="3">
        <v>44245</v>
      </c>
      <c r="G601" t="str">
        <f>"700065"</f>
        <v>700065</v>
      </c>
      <c r="H601" t="str">
        <f>"אלתא מערכות בע""מ"</f>
        <v>אלתא מערכות בע"מ</v>
      </c>
      <c r="I601" t="str">
        <f>"ערן שלו"</f>
        <v>ערן שלו</v>
      </c>
      <c r="J601" t="str">
        <f>"OP-ML00183"</f>
        <v>OP-ML00183</v>
      </c>
      <c r="K601" s="1" t="str">
        <f>"4020F055-001 RACK MECHANICAL 2"</f>
        <v>4020F055-001 RACK MECHANICAL 2</v>
      </c>
      <c r="L601">
        <v>1</v>
      </c>
      <c r="M601" t="str">
        <f>"PR20000624"</f>
        <v>PR20000624</v>
      </c>
      <c r="N601" t="str">
        <f>"4020F055-001 RACK MECHANICAL 2"</f>
        <v>4020F055-001 RACK MECHANICAL 2</v>
      </c>
      <c r="O601" s="2">
        <v>13288.83</v>
      </c>
      <c r="P601" t="str">
        <f>"$"</f>
        <v>$</v>
      </c>
      <c r="Q601" t="str">
        <f>"118"</f>
        <v>118</v>
      </c>
      <c r="R601" t="str">
        <f>"מערכות"</f>
        <v>מערכות</v>
      </c>
      <c r="S601" t="str">
        <f>"034"</f>
        <v>034</v>
      </c>
      <c r="T601" t="str">
        <f>"חן בזק"</f>
        <v>חן בזק</v>
      </c>
      <c r="U601">
        <v>0</v>
      </c>
      <c r="V601">
        <v>0</v>
      </c>
      <c r="W601" s="2">
        <v>13288.83</v>
      </c>
      <c r="X601" s="2">
        <v>13288.83</v>
      </c>
      <c r="Z601" t="str">
        <f>"Y"</f>
        <v>Y</v>
      </c>
      <c r="AA601">
        <v>0</v>
      </c>
      <c r="AC601">
        <v>0</v>
      </c>
      <c r="AE601">
        <v>0</v>
      </c>
      <c r="AF601">
        <v>0</v>
      </c>
      <c r="AG601" s="2">
        <v>45075.71</v>
      </c>
      <c r="AH601">
        <v>0</v>
      </c>
      <c r="AI601" s="2">
        <v>45075.71</v>
      </c>
      <c r="AJ601" s="2">
        <v>13288.83</v>
      </c>
      <c r="AK601" s="2">
        <v>13288.83</v>
      </c>
      <c r="AL601" t="str">
        <f>"$"</f>
        <v>$</v>
      </c>
    </row>
    <row r="602" spans="1:38" x14ac:dyDescent="0.3">
      <c r="A602" t="str">
        <f>"SO20000412"</f>
        <v>SO20000412</v>
      </c>
      <c r="B602" t="str">
        <f>"E000320917"</f>
        <v>E000320917</v>
      </c>
      <c r="C602" t="str">
        <f>"בוצעה"</f>
        <v>בוצעה</v>
      </c>
      <c r="E602" s="3">
        <v>44082</v>
      </c>
      <c r="F602" s="3">
        <v>44560</v>
      </c>
      <c r="G602" t="str">
        <f>"700065"</f>
        <v>700065</v>
      </c>
      <c r="H602" t="str">
        <f>"אלתא מערכות בע""מ"</f>
        <v>אלתא מערכות בע"מ</v>
      </c>
      <c r="I602" t="str">
        <f>"ערן שלו"</f>
        <v>ערן שלו</v>
      </c>
      <c r="J602" t="str">
        <f>"000"</f>
        <v>000</v>
      </c>
      <c r="K602" s="1" t="str">
        <f>"שדרוג מסדי תקשורת"</f>
        <v>שדרוג מסדי תקשורת</v>
      </c>
      <c r="L602">
        <v>1</v>
      </c>
      <c r="M602" t="str">
        <f>"PR21000494"</f>
        <v>PR21000494</v>
      </c>
      <c r="N602" t="str">
        <f>"שדרוג מסדי תקשורת"</f>
        <v>שדרוג מסדי תקשורת</v>
      </c>
      <c r="O602" s="2">
        <v>9644</v>
      </c>
      <c r="P602" t="str">
        <f>"$"</f>
        <v>$</v>
      </c>
      <c r="Q602" t="str">
        <f>"118"</f>
        <v>118</v>
      </c>
      <c r="R602" t="str">
        <f>"מערכות"</f>
        <v>מערכות</v>
      </c>
      <c r="S602" t="str">
        <f>"034"</f>
        <v>034</v>
      </c>
      <c r="T602" t="str">
        <f>"חן בזק"</f>
        <v>חן בזק</v>
      </c>
      <c r="U602">
        <v>0</v>
      </c>
      <c r="V602">
        <v>0</v>
      </c>
      <c r="W602" s="2">
        <v>9644</v>
      </c>
      <c r="X602" s="2">
        <v>9644</v>
      </c>
      <c r="Z602" t="str">
        <f>"Y"</f>
        <v>Y</v>
      </c>
      <c r="AA602">
        <v>0</v>
      </c>
      <c r="AC602">
        <v>0</v>
      </c>
      <c r="AE602">
        <v>0</v>
      </c>
      <c r="AF602">
        <v>0</v>
      </c>
      <c r="AG602" s="2">
        <v>32712.45</v>
      </c>
      <c r="AH602">
        <v>0</v>
      </c>
      <c r="AI602" s="2">
        <v>32712.45</v>
      </c>
      <c r="AJ602" s="2">
        <v>9644</v>
      </c>
      <c r="AK602" s="2">
        <v>9644</v>
      </c>
      <c r="AL602" t="str">
        <f>"$"</f>
        <v>$</v>
      </c>
    </row>
    <row r="603" spans="1:38" x14ac:dyDescent="0.3">
      <c r="A603" t="str">
        <f>"SO20000413"</f>
        <v>SO20000413</v>
      </c>
      <c r="B603" t="str">
        <f>"E000321133"</f>
        <v>E000321133</v>
      </c>
      <c r="C603" t="str">
        <f>"בוצעה"</f>
        <v>בוצעה</v>
      </c>
      <c r="E603" s="3">
        <v>44082</v>
      </c>
      <c r="F603" s="3">
        <v>44175</v>
      </c>
      <c r="G603" t="str">
        <f>"700065"</f>
        <v>700065</v>
      </c>
      <c r="H603" t="str">
        <f>"אלתא מערכות בע""מ"</f>
        <v>אלתא מערכות בע"מ</v>
      </c>
      <c r="I603" t="str">
        <f>"ערן שלו"</f>
        <v>ערן שלו</v>
      </c>
      <c r="J603" t="str">
        <f>"OP-AR02017"</f>
        <v>OP-AR02017</v>
      </c>
      <c r="K603" s="1" t="str">
        <f>"1013P130-003 CABLE ASSY 1W47 - FULL CUST"</f>
        <v>1013P130-003 CABLE ASSY 1W47 - FULL CUST</v>
      </c>
      <c r="L603">
        <v>10</v>
      </c>
      <c r="M603" t="str">
        <f>"PR20000623"</f>
        <v>PR20000623</v>
      </c>
      <c r="N603" t="str">
        <f>"CABLE ASSY 1W47"</f>
        <v>CABLE ASSY 1W47</v>
      </c>
      <c r="O603">
        <v>494.4</v>
      </c>
      <c r="P603" t="str">
        <f>"$"</f>
        <v>$</v>
      </c>
      <c r="Q603" t="str">
        <f>"000"</f>
        <v>000</v>
      </c>
      <c r="R603" t="str">
        <f>"כללית"</f>
        <v>כללית</v>
      </c>
      <c r="S603" t="str">
        <f>"034"</f>
        <v>034</v>
      </c>
      <c r="T603" t="str">
        <f>"חן בזק"</f>
        <v>חן בזק</v>
      </c>
      <c r="U603">
        <v>0</v>
      </c>
      <c r="V603">
        <v>0</v>
      </c>
      <c r="W603">
        <v>494.4</v>
      </c>
      <c r="X603" s="2">
        <v>4944</v>
      </c>
      <c r="Z603" t="str">
        <f>"Y"</f>
        <v>Y</v>
      </c>
      <c r="AA603">
        <v>0</v>
      </c>
      <c r="AC603">
        <v>0</v>
      </c>
      <c r="AE603">
        <v>0</v>
      </c>
      <c r="AF603">
        <v>0</v>
      </c>
      <c r="AG603" s="2">
        <v>1677</v>
      </c>
      <c r="AH603">
        <v>0</v>
      </c>
      <c r="AI603" s="2">
        <v>16770.05</v>
      </c>
      <c r="AJ603" s="2">
        <v>4944</v>
      </c>
      <c r="AK603" s="2">
        <v>4944</v>
      </c>
      <c r="AL603" t="str">
        <f>"$"</f>
        <v>$</v>
      </c>
    </row>
    <row r="604" spans="1:38" x14ac:dyDescent="0.3">
      <c r="A604" t="str">
        <f>"SO20000414"</f>
        <v>SO20000414</v>
      </c>
      <c r="B604" t="str">
        <f>"E000319937"</f>
        <v>E000319937</v>
      </c>
      <c r="C604" t="str">
        <f>"בוצעה"</f>
        <v>בוצעה</v>
      </c>
      <c r="E604" s="3">
        <v>44082</v>
      </c>
      <c r="F604" s="3">
        <v>44168</v>
      </c>
      <c r="G604" t="str">
        <f>"700065"</f>
        <v>700065</v>
      </c>
      <c r="H604" t="str">
        <f>"אלתא מערכות בע""מ"</f>
        <v>אלתא מערכות בע"מ</v>
      </c>
      <c r="I604" t="str">
        <f>"ערן שלו"</f>
        <v>ערן שלו</v>
      </c>
      <c r="J604" t="str">
        <f>"OP-AR02016"</f>
        <v>OP-AR02016</v>
      </c>
      <c r="K604" s="1" t="str">
        <f>"1096B462-001  DC HARNESS"</f>
        <v>1096B462-001  DC HARNESS</v>
      </c>
      <c r="L604">
        <v>4</v>
      </c>
      <c r="M604" t="str">
        <f>"PR20000622"</f>
        <v>PR20000622</v>
      </c>
      <c r="N604" t="str">
        <f>"DC HARNESS"</f>
        <v>DC HARNESS</v>
      </c>
      <c r="O604" s="2">
        <v>1175.45</v>
      </c>
      <c r="P604" t="str">
        <f>"$"</f>
        <v>$</v>
      </c>
      <c r="Q604" t="str">
        <f>"117"</f>
        <v>117</v>
      </c>
      <c r="R604" t="str">
        <f>"רתמות"</f>
        <v>רתמות</v>
      </c>
      <c r="S604" t="str">
        <f>"034"</f>
        <v>034</v>
      </c>
      <c r="T604" t="str">
        <f>"חן בזק"</f>
        <v>חן בזק</v>
      </c>
      <c r="U604">
        <v>0</v>
      </c>
      <c r="V604">
        <v>0</v>
      </c>
      <c r="W604" s="2">
        <v>1175.45</v>
      </c>
      <c r="X604" s="2">
        <v>4701.8</v>
      </c>
      <c r="Z604" t="str">
        <f>"Y"</f>
        <v>Y</v>
      </c>
      <c r="AA604">
        <v>0</v>
      </c>
      <c r="AC604">
        <v>0</v>
      </c>
      <c r="AE604">
        <v>0</v>
      </c>
      <c r="AF604">
        <v>0</v>
      </c>
      <c r="AG604" s="2">
        <v>3987.13</v>
      </c>
      <c r="AH604">
        <v>0</v>
      </c>
      <c r="AI604" s="2">
        <v>15948.51</v>
      </c>
      <c r="AJ604" s="2">
        <v>4701.8</v>
      </c>
      <c r="AK604" s="2">
        <v>4701.8</v>
      </c>
      <c r="AL604" t="str">
        <f>"$"</f>
        <v>$</v>
      </c>
    </row>
    <row r="605" spans="1:38" x14ac:dyDescent="0.3">
      <c r="A605" t="str">
        <f>"SO20000414"</f>
        <v>SO20000414</v>
      </c>
      <c r="B605" t="str">
        <f>"E000319937"</f>
        <v>E000319937</v>
      </c>
      <c r="C605" t="str">
        <f>"בוצעה"</f>
        <v>בוצעה</v>
      </c>
      <c r="E605" s="3">
        <v>44082</v>
      </c>
      <c r="F605" s="3">
        <v>44311</v>
      </c>
      <c r="G605" t="str">
        <f>"700065"</f>
        <v>700065</v>
      </c>
      <c r="H605" t="str">
        <f>"אלתא מערכות בע""מ"</f>
        <v>אלתא מערכות בע"מ</v>
      </c>
      <c r="I605" t="str">
        <f>"ערן שלו"</f>
        <v>ערן שלו</v>
      </c>
      <c r="J605" t="str">
        <f>"OP-AR02016"</f>
        <v>OP-AR02016</v>
      </c>
      <c r="K605" s="1" t="str">
        <f>"1096B462-001  DC HARNESS"</f>
        <v>1096B462-001  DC HARNESS</v>
      </c>
      <c r="L605">
        <v>11</v>
      </c>
      <c r="M605" t="str">
        <f>"PR20000622"</f>
        <v>PR20000622</v>
      </c>
      <c r="N605" t="str">
        <f>"DC HARNESS"</f>
        <v>DC HARNESS</v>
      </c>
      <c r="O605" s="2">
        <v>1175.45</v>
      </c>
      <c r="P605" t="str">
        <f>"$"</f>
        <v>$</v>
      </c>
      <c r="Q605" t="str">
        <f>"117"</f>
        <v>117</v>
      </c>
      <c r="R605" t="str">
        <f>"רתמות"</f>
        <v>רתמות</v>
      </c>
      <c r="S605" t="str">
        <f>"034"</f>
        <v>034</v>
      </c>
      <c r="T605" t="str">
        <f>"חן בזק"</f>
        <v>חן בזק</v>
      </c>
      <c r="U605">
        <v>0</v>
      </c>
      <c r="V605">
        <v>0</v>
      </c>
      <c r="W605" s="2">
        <v>1175.45</v>
      </c>
      <c r="X605" s="2">
        <v>12929.95</v>
      </c>
      <c r="Z605" t="str">
        <f>"Y"</f>
        <v>Y</v>
      </c>
      <c r="AA605">
        <v>0</v>
      </c>
      <c r="AC605">
        <v>0</v>
      </c>
      <c r="AE605">
        <v>0</v>
      </c>
      <c r="AF605">
        <v>0</v>
      </c>
      <c r="AG605" s="2">
        <v>3987.13</v>
      </c>
      <c r="AH605">
        <v>0</v>
      </c>
      <c r="AI605" s="2">
        <v>43858.39</v>
      </c>
      <c r="AJ605" s="2">
        <v>12929.95</v>
      </c>
      <c r="AK605" s="2">
        <v>12929.95</v>
      </c>
      <c r="AL605" t="str">
        <f>"$"</f>
        <v>$</v>
      </c>
    </row>
    <row r="606" spans="1:38" x14ac:dyDescent="0.3">
      <c r="A606" t="str">
        <f>"SO20000414"</f>
        <v>SO20000414</v>
      </c>
      <c r="B606" t="str">
        <f>"E000319937"</f>
        <v>E000319937</v>
      </c>
      <c r="C606" t="str">
        <f>"בוצעה"</f>
        <v>בוצעה</v>
      </c>
      <c r="E606" s="3">
        <v>44082</v>
      </c>
      <c r="F606" s="3">
        <v>44207</v>
      </c>
      <c r="G606" t="str">
        <f>"700065"</f>
        <v>700065</v>
      </c>
      <c r="H606" t="str">
        <f>"אלתא מערכות בע""מ"</f>
        <v>אלתא מערכות בע"מ</v>
      </c>
      <c r="I606" t="str">
        <f>"ערן שלו"</f>
        <v>ערן שלו</v>
      </c>
      <c r="J606" t="str">
        <f>"000"</f>
        <v>000</v>
      </c>
      <c r="K606" s="1" t="str">
        <f>"NRE"</f>
        <v>NRE</v>
      </c>
      <c r="L606">
        <v>1</v>
      </c>
      <c r="M606" t="str">
        <f>"PR20000622"</f>
        <v>PR20000622</v>
      </c>
      <c r="N606" t="str">
        <f>"DC HARNESS"</f>
        <v>DC HARNESS</v>
      </c>
      <c r="O606">
        <v>635</v>
      </c>
      <c r="P606" t="str">
        <f>"$"</f>
        <v>$</v>
      </c>
      <c r="Q606" t="str">
        <f>"117"</f>
        <v>117</v>
      </c>
      <c r="R606" t="str">
        <f>"רתמות"</f>
        <v>רתמות</v>
      </c>
      <c r="S606" t="str">
        <f>"034"</f>
        <v>034</v>
      </c>
      <c r="T606" t="str">
        <f>"חן בזק"</f>
        <v>חן בזק</v>
      </c>
      <c r="U606">
        <v>0</v>
      </c>
      <c r="V606">
        <v>0</v>
      </c>
      <c r="W606">
        <v>635</v>
      </c>
      <c r="X606">
        <v>635</v>
      </c>
      <c r="Z606" t="str">
        <f>"Y"</f>
        <v>Y</v>
      </c>
      <c r="AA606">
        <v>1</v>
      </c>
      <c r="AC606">
        <v>0</v>
      </c>
      <c r="AE606">
        <v>0</v>
      </c>
      <c r="AF606">
        <v>0</v>
      </c>
      <c r="AG606" s="2">
        <v>2153.92</v>
      </c>
      <c r="AH606">
        <v>0</v>
      </c>
      <c r="AI606" s="2">
        <v>2153.92</v>
      </c>
      <c r="AJ606">
        <v>635</v>
      </c>
      <c r="AK606">
        <v>635</v>
      </c>
      <c r="AL606" t="str">
        <f>"$"</f>
        <v>$</v>
      </c>
    </row>
    <row r="607" spans="1:38" x14ac:dyDescent="0.3">
      <c r="A607" t="str">
        <f>"SO20000418"</f>
        <v>SO20000418</v>
      </c>
      <c r="B607" t="str">
        <f>"E000320964"</f>
        <v>E000320964</v>
      </c>
      <c r="C607" t="str">
        <f>"בוצעה"</f>
        <v>בוצעה</v>
      </c>
      <c r="E607" s="3">
        <v>44083</v>
      </c>
      <c r="F607" s="3">
        <v>44591</v>
      </c>
      <c r="G607" t="str">
        <f>"700065"</f>
        <v>700065</v>
      </c>
      <c r="H607" t="str">
        <f>"אלתא מערכות בע""מ"</f>
        <v>אלתא מערכות בע"מ</v>
      </c>
      <c r="I607" t="str">
        <f>"ערן שלו"</f>
        <v>ערן שלו</v>
      </c>
      <c r="J607" t="str">
        <f>"000"</f>
        <v>000</v>
      </c>
      <c r="K607" s="1" t="str">
        <f>"NRE"</f>
        <v>NRE</v>
      </c>
      <c r="L607">
        <v>1</v>
      </c>
      <c r="M607" t="str">
        <f>"PR20000645"</f>
        <v>PR20000645</v>
      </c>
      <c r="N607" t="str">
        <f>"PDB 1+2"</f>
        <v>PDB 1+2</v>
      </c>
      <c r="O607" s="2">
        <v>70000</v>
      </c>
      <c r="P607" t="str">
        <f>"$"</f>
        <v>$</v>
      </c>
      <c r="Q607" t="str">
        <f>"118"</f>
        <v>118</v>
      </c>
      <c r="R607" t="str">
        <f>"מערכות"</f>
        <v>מערכות</v>
      </c>
      <c r="S607" t="str">
        <f>"034"</f>
        <v>034</v>
      </c>
      <c r="T607" t="str">
        <f>"מוסקוביץ אולגה"</f>
        <v>מוסקוביץ אולגה</v>
      </c>
      <c r="U607">
        <v>0</v>
      </c>
      <c r="V607">
        <v>0</v>
      </c>
      <c r="W607" s="2">
        <v>70000</v>
      </c>
      <c r="X607" s="2">
        <v>70000</v>
      </c>
      <c r="Z607" t="str">
        <f>"Y"</f>
        <v>Y</v>
      </c>
      <c r="AA607">
        <v>1</v>
      </c>
      <c r="AC607">
        <v>0</v>
      </c>
      <c r="AE607">
        <v>0</v>
      </c>
      <c r="AF607">
        <v>0</v>
      </c>
      <c r="AG607" s="2">
        <v>238490</v>
      </c>
      <c r="AH607">
        <v>0</v>
      </c>
      <c r="AI607" s="2">
        <v>238490</v>
      </c>
      <c r="AJ607" s="2">
        <v>70000</v>
      </c>
      <c r="AK607" s="2">
        <v>70000</v>
      </c>
      <c r="AL607" t="str">
        <f>"$"</f>
        <v>$</v>
      </c>
    </row>
    <row r="608" spans="1:38" x14ac:dyDescent="0.3">
      <c r="A608" t="str">
        <f>"SO20000418"</f>
        <v>SO20000418</v>
      </c>
      <c r="B608" t="str">
        <f>"E000320964"</f>
        <v>E000320964</v>
      </c>
      <c r="C608" t="str">
        <f>"בוצעה"</f>
        <v>בוצעה</v>
      </c>
      <c r="E608" s="3">
        <v>44083</v>
      </c>
      <c r="F608" s="3">
        <v>44620</v>
      </c>
      <c r="G608" t="str">
        <f>"700065"</f>
        <v>700065</v>
      </c>
      <c r="H608" t="str">
        <f>"אלתא מערכות בע""מ"</f>
        <v>אלתא מערכות בע"מ</v>
      </c>
      <c r="I608" t="str">
        <f>"ערן שלו"</f>
        <v>ערן שלו</v>
      </c>
      <c r="J608" t="str">
        <f>"999"</f>
        <v>999</v>
      </c>
      <c r="K608" s="1" t="str">
        <f>"בדיקות סביבה"</f>
        <v>בדיקות סביבה</v>
      </c>
      <c r="L608">
        <v>1</v>
      </c>
      <c r="M608" t="str">
        <f>"PR20000645"</f>
        <v>PR20000645</v>
      </c>
      <c r="N608" t="str">
        <f>"PDB 1+2"</f>
        <v>PDB 1+2</v>
      </c>
      <c r="O608" s="2">
        <v>70000</v>
      </c>
      <c r="P608" t="str">
        <f>"$"</f>
        <v>$</v>
      </c>
      <c r="Q608" t="str">
        <f>"118"</f>
        <v>118</v>
      </c>
      <c r="R608" t="str">
        <f>"מערכות"</f>
        <v>מערכות</v>
      </c>
      <c r="S608" t="str">
        <f>"034"</f>
        <v>034</v>
      </c>
      <c r="T608" t="str">
        <f>"מוסקוביץ אולגה"</f>
        <v>מוסקוביץ אולגה</v>
      </c>
      <c r="U608">
        <v>0</v>
      </c>
      <c r="V608">
        <v>0</v>
      </c>
      <c r="W608" s="2">
        <v>70000</v>
      </c>
      <c r="X608" s="2">
        <v>70000</v>
      </c>
      <c r="Z608" t="str">
        <f>"Y"</f>
        <v>Y</v>
      </c>
      <c r="AA608">
        <v>1</v>
      </c>
      <c r="AC608">
        <v>0</v>
      </c>
      <c r="AE608">
        <v>0</v>
      </c>
      <c r="AF608">
        <v>0</v>
      </c>
      <c r="AG608" s="2">
        <v>238490</v>
      </c>
      <c r="AH608">
        <v>0</v>
      </c>
      <c r="AI608" s="2">
        <v>238490</v>
      </c>
      <c r="AJ608" s="2">
        <v>70000</v>
      </c>
      <c r="AK608" s="2">
        <v>70000</v>
      </c>
      <c r="AL608" t="str">
        <f>"$"</f>
        <v>$</v>
      </c>
    </row>
    <row r="609" spans="1:38" x14ac:dyDescent="0.3">
      <c r="A609" t="str">
        <f>"SO20000418"</f>
        <v>SO20000418</v>
      </c>
      <c r="B609" t="str">
        <f>"E000320964"</f>
        <v>E000320964</v>
      </c>
      <c r="C609" t="str">
        <f>"בוצעה"</f>
        <v>בוצעה</v>
      </c>
      <c r="E609" s="3">
        <v>44083</v>
      </c>
      <c r="F609" s="3">
        <v>44438</v>
      </c>
      <c r="G609" t="str">
        <f>"700065"</f>
        <v>700065</v>
      </c>
      <c r="H609" t="str">
        <f>"אלתא מערכות בע""מ"</f>
        <v>אלתא מערכות בע"מ</v>
      </c>
      <c r="I609" t="str">
        <f>"ערן שלו"</f>
        <v>ערן שלו</v>
      </c>
      <c r="J609" t="str">
        <f>"000"</f>
        <v>000</v>
      </c>
      <c r="K609" s="1" t="str">
        <f>"Structural and modal analysis :10"</f>
        <v>Structural and modal analysis :10</v>
      </c>
      <c r="L609">
        <v>1</v>
      </c>
      <c r="M609" t="str">
        <f>"PR20000645"</f>
        <v>PR20000645</v>
      </c>
      <c r="N609" t="str">
        <f>"PDB 1+2"</f>
        <v>PDB 1+2</v>
      </c>
      <c r="O609">
        <v>0</v>
      </c>
      <c r="P609" t="str">
        <f>"$"</f>
        <v>$</v>
      </c>
      <c r="Q609" t="str">
        <f>"118"</f>
        <v>118</v>
      </c>
      <c r="R609" t="str">
        <f>"מערכות"</f>
        <v>מערכות</v>
      </c>
      <c r="S609" t="str">
        <f>"034"</f>
        <v>034</v>
      </c>
      <c r="T609" t="str">
        <f>"מוסקוביץ אולגה"</f>
        <v>מוסקוביץ אולגה</v>
      </c>
      <c r="U609">
        <v>0</v>
      </c>
      <c r="V609">
        <v>0</v>
      </c>
      <c r="W609">
        <v>0</v>
      </c>
      <c r="X609">
        <v>0</v>
      </c>
      <c r="Z609" t="str">
        <f>"Y"</f>
        <v>Y</v>
      </c>
      <c r="AA609">
        <v>1</v>
      </c>
      <c r="AC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 t="str">
        <f>"$"</f>
        <v>$</v>
      </c>
    </row>
    <row r="610" spans="1:38" x14ac:dyDescent="0.3">
      <c r="A610" t="str">
        <f>"SO20000418"</f>
        <v>SO20000418</v>
      </c>
      <c r="B610" t="str">
        <f>"E000320964"</f>
        <v>E000320964</v>
      </c>
      <c r="C610" t="str">
        <f>"בוצעה"</f>
        <v>בוצעה</v>
      </c>
      <c r="E610" s="3">
        <v>44083</v>
      </c>
      <c r="F610" s="3">
        <v>44438</v>
      </c>
      <c r="G610" t="str">
        <f>"700065"</f>
        <v>700065</v>
      </c>
      <c r="H610" t="str">
        <f>"אלתא מערכות בע""מ"</f>
        <v>אלתא מערכות בע"מ</v>
      </c>
      <c r="I610" t="str">
        <f>"ערן שלו"</f>
        <v>ערן שלו</v>
      </c>
      <c r="J610" t="str">
        <f>"000"</f>
        <v>000</v>
      </c>
      <c r="K610" s="1" t="str">
        <f>"Test Ambient Temperature (High :20"</f>
        <v>Test Ambient Temperature (High :20</v>
      </c>
      <c r="L610">
        <v>0</v>
      </c>
      <c r="M610" t="str">
        <f>"PR20000645"</f>
        <v>PR20000645</v>
      </c>
      <c r="N610" t="str">
        <f>"PDB 1+2"</f>
        <v>PDB 1+2</v>
      </c>
      <c r="O610">
        <v>0</v>
      </c>
      <c r="P610" t="str">
        <f>"$"</f>
        <v>$</v>
      </c>
      <c r="Q610" t="str">
        <f>"118"</f>
        <v>118</v>
      </c>
      <c r="R610" t="str">
        <f>"מערכות"</f>
        <v>מערכות</v>
      </c>
      <c r="S610" t="str">
        <f>"034"</f>
        <v>034</v>
      </c>
      <c r="T610" t="str">
        <f>"מוסקוביץ אולגה"</f>
        <v>מוסקוביץ אולגה</v>
      </c>
      <c r="U610">
        <v>0</v>
      </c>
      <c r="V610">
        <v>0</v>
      </c>
      <c r="W610">
        <v>0</v>
      </c>
      <c r="X610">
        <v>0</v>
      </c>
      <c r="Z610" t="str">
        <f>"Y"</f>
        <v>Y</v>
      </c>
      <c r="AA610">
        <v>0</v>
      </c>
      <c r="AC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 t="str">
        <f>"$"</f>
        <v>$</v>
      </c>
    </row>
    <row r="611" spans="1:38" x14ac:dyDescent="0.3">
      <c r="A611" t="str">
        <f>"SO20000418"</f>
        <v>SO20000418</v>
      </c>
      <c r="B611" t="str">
        <f>"E000320964"</f>
        <v>E000320964</v>
      </c>
      <c r="C611" t="str">
        <f>"בוצעה"</f>
        <v>בוצעה</v>
      </c>
      <c r="E611" s="3">
        <v>44083</v>
      </c>
      <c r="F611" s="3">
        <v>44438</v>
      </c>
      <c r="G611" t="str">
        <f>"700065"</f>
        <v>700065</v>
      </c>
      <c r="H611" t="str">
        <f>"אלתא מערכות בע""מ"</f>
        <v>אלתא מערכות בע"מ</v>
      </c>
      <c r="I611" t="str">
        <f>"ערן שלו"</f>
        <v>ערן שלו</v>
      </c>
      <c r="J611" t="str">
        <f>"000"</f>
        <v>000</v>
      </c>
      <c r="K611" s="1" t="str">
        <f>"Test Ambient Temperature (Low :30"</f>
        <v>Test Ambient Temperature (Low :30</v>
      </c>
      <c r="L611">
        <v>0</v>
      </c>
      <c r="M611" t="str">
        <f>"PR20000645"</f>
        <v>PR20000645</v>
      </c>
      <c r="N611" t="str">
        <f>"PDB 1+2"</f>
        <v>PDB 1+2</v>
      </c>
      <c r="O611">
        <v>0</v>
      </c>
      <c r="P611" t="str">
        <f>"$"</f>
        <v>$</v>
      </c>
      <c r="Q611" t="str">
        <f>"118"</f>
        <v>118</v>
      </c>
      <c r="R611" t="str">
        <f>"מערכות"</f>
        <v>מערכות</v>
      </c>
      <c r="S611" t="str">
        <f>"034"</f>
        <v>034</v>
      </c>
      <c r="T611" t="str">
        <f>"מוסקוביץ אולגה"</f>
        <v>מוסקוביץ אולגה</v>
      </c>
      <c r="U611">
        <v>0</v>
      </c>
      <c r="V611">
        <v>0</v>
      </c>
      <c r="W611">
        <v>0</v>
      </c>
      <c r="X611">
        <v>0</v>
      </c>
      <c r="Z611" t="str">
        <f>"Y"</f>
        <v>Y</v>
      </c>
      <c r="AA611">
        <v>0</v>
      </c>
      <c r="AC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 t="str">
        <f>"$"</f>
        <v>$</v>
      </c>
    </row>
    <row r="612" spans="1:38" x14ac:dyDescent="0.3">
      <c r="A612" t="str">
        <f>"SO20000418"</f>
        <v>SO20000418</v>
      </c>
      <c r="B612" t="str">
        <f>"E000320964"</f>
        <v>E000320964</v>
      </c>
      <c r="C612" t="str">
        <f>"בוצעה"</f>
        <v>בוצעה</v>
      </c>
      <c r="E612" s="3">
        <v>44083</v>
      </c>
      <c r="F612" s="3">
        <v>44438</v>
      </c>
      <c r="G612" t="str">
        <f>"700065"</f>
        <v>700065</v>
      </c>
      <c r="H612" t="str">
        <f>"אלתא מערכות בע""מ"</f>
        <v>אלתא מערכות בע"מ</v>
      </c>
      <c r="I612" t="str">
        <f>"ערן שלו"</f>
        <v>ערן שלו</v>
      </c>
      <c r="J612" t="str">
        <f>"000"</f>
        <v>000</v>
      </c>
      <c r="K612" s="1" t="str">
        <f>"Analysis Solar Radiation :40"</f>
        <v>Analysis Solar Radiation :40</v>
      </c>
      <c r="L612">
        <v>1</v>
      </c>
      <c r="M612" t="str">
        <f>"PR20000645"</f>
        <v>PR20000645</v>
      </c>
      <c r="N612" t="str">
        <f>"PDB 1+2"</f>
        <v>PDB 1+2</v>
      </c>
      <c r="O612">
        <v>0</v>
      </c>
      <c r="P612" t="str">
        <f>"$"</f>
        <v>$</v>
      </c>
      <c r="Q612" t="str">
        <f>"118"</f>
        <v>118</v>
      </c>
      <c r="R612" t="str">
        <f>"מערכות"</f>
        <v>מערכות</v>
      </c>
      <c r="S612" t="str">
        <f>"034"</f>
        <v>034</v>
      </c>
      <c r="T612" t="str">
        <f>"מוסקוביץ אולגה"</f>
        <v>מוסקוביץ אולגה</v>
      </c>
      <c r="U612">
        <v>0</v>
      </c>
      <c r="V612">
        <v>0</v>
      </c>
      <c r="W612">
        <v>0</v>
      </c>
      <c r="X612">
        <v>0</v>
      </c>
      <c r="Z612" t="str">
        <f>"Y"</f>
        <v>Y</v>
      </c>
      <c r="AA612">
        <v>1</v>
      </c>
      <c r="AC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 t="str">
        <f>"$"</f>
        <v>$</v>
      </c>
    </row>
    <row r="613" spans="1:38" x14ac:dyDescent="0.3">
      <c r="A613" t="str">
        <f>"SO20000418"</f>
        <v>SO20000418</v>
      </c>
      <c r="B613" t="str">
        <f>"E000320964"</f>
        <v>E000320964</v>
      </c>
      <c r="C613" t="str">
        <f>"בוצעה"</f>
        <v>בוצעה</v>
      </c>
      <c r="E613" s="3">
        <v>44083</v>
      </c>
      <c r="F613" s="3">
        <v>44438</v>
      </c>
      <c r="G613" t="str">
        <f>"700065"</f>
        <v>700065</v>
      </c>
      <c r="H613" t="str">
        <f>"אלתא מערכות בע""מ"</f>
        <v>אלתא מערכות בע"מ</v>
      </c>
      <c r="I613" t="str">
        <f>"ערן שלו"</f>
        <v>ערן שלו</v>
      </c>
      <c r="J613" t="str">
        <f>"000"</f>
        <v>000</v>
      </c>
      <c r="K613" s="1" t="str">
        <f>"Analysis Humidity :50"</f>
        <v>Analysis Humidity :50</v>
      </c>
      <c r="L613">
        <v>1</v>
      </c>
      <c r="M613" t="str">
        <f>"PR20000645"</f>
        <v>PR20000645</v>
      </c>
      <c r="N613" t="str">
        <f>"PDB 1+2"</f>
        <v>PDB 1+2</v>
      </c>
      <c r="O613">
        <v>0</v>
      </c>
      <c r="P613" t="str">
        <f>"$"</f>
        <v>$</v>
      </c>
      <c r="Q613" t="str">
        <f>"118"</f>
        <v>118</v>
      </c>
      <c r="R613" t="str">
        <f>"מערכות"</f>
        <v>מערכות</v>
      </c>
      <c r="S613" t="str">
        <f>"034"</f>
        <v>034</v>
      </c>
      <c r="T613" t="str">
        <f>"מוסקוביץ אולגה"</f>
        <v>מוסקוביץ אולגה</v>
      </c>
      <c r="U613">
        <v>0</v>
      </c>
      <c r="V613">
        <v>0</v>
      </c>
      <c r="W613">
        <v>0</v>
      </c>
      <c r="X613">
        <v>0</v>
      </c>
      <c r="Z613" t="str">
        <f>"Y"</f>
        <v>Y</v>
      </c>
      <c r="AA613">
        <v>1</v>
      </c>
      <c r="AC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 t="str">
        <f>"$"</f>
        <v>$</v>
      </c>
    </row>
    <row r="614" spans="1:38" x14ac:dyDescent="0.3">
      <c r="A614" t="str">
        <f>"SO20000418"</f>
        <v>SO20000418</v>
      </c>
      <c r="B614" t="str">
        <f>"E000320964"</f>
        <v>E000320964</v>
      </c>
      <c r="C614" t="str">
        <f>"בוצעה"</f>
        <v>בוצעה</v>
      </c>
      <c r="E614" s="3">
        <v>44083</v>
      </c>
      <c r="F614" s="3">
        <v>44438</v>
      </c>
      <c r="G614" t="str">
        <f>"700065"</f>
        <v>700065</v>
      </c>
      <c r="H614" t="str">
        <f>"אלתא מערכות בע""מ"</f>
        <v>אלתא מערכות בע"מ</v>
      </c>
      <c r="I614" t="str">
        <f>"ערן שלו"</f>
        <v>ערן שלו</v>
      </c>
      <c r="J614" t="str">
        <f>"000"</f>
        <v>000</v>
      </c>
      <c r="K614" s="1" t="str">
        <f>"Analysis Altitud :60"</f>
        <v>Analysis Altitud :60</v>
      </c>
      <c r="L614">
        <v>1</v>
      </c>
      <c r="M614" t="str">
        <f>"PR20000645"</f>
        <v>PR20000645</v>
      </c>
      <c r="N614" t="str">
        <f>"PDB 1+2"</f>
        <v>PDB 1+2</v>
      </c>
      <c r="O614">
        <v>0</v>
      </c>
      <c r="P614" t="str">
        <f>"$"</f>
        <v>$</v>
      </c>
      <c r="Q614" t="str">
        <f>"118"</f>
        <v>118</v>
      </c>
      <c r="R614" t="str">
        <f>"מערכות"</f>
        <v>מערכות</v>
      </c>
      <c r="S614" t="str">
        <f>"034"</f>
        <v>034</v>
      </c>
      <c r="T614" t="str">
        <f>"מוסקוביץ אולגה"</f>
        <v>מוסקוביץ אולגה</v>
      </c>
      <c r="U614">
        <v>0</v>
      </c>
      <c r="V614">
        <v>0</v>
      </c>
      <c r="W614">
        <v>0</v>
      </c>
      <c r="X614">
        <v>0</v>
      </c>
      <c r="Z614" t="str">
        <f>"Y"</f>
        <v>Y</v>
      </c>
      <c r="AA614">
        <v>1</v>
      </c>
      <c r="AC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 t="str">
        <f>"$"</f>
        <v>$</v>
      </c>
    </row>
    <row r="615" spans="1:38" x14ac:dyDescent="0.3">
      <c r="A615" t="str">
        <f>"SO20000418"</f>
        <v>SO20000418</v>
      </c>
      <c r="B615" t="str">
        <f>"E000320964"</f>
        <v>E000320964</v>
      </c>
      <c r="C615" t="str">
        <f>"בוצעה"</f>
        <v>בוצעה</v>
      </c>
      <c r="E615" s="3">
        <v>44083</v>
      </c>
      <c r="F615" s="3">
        <v>44438</v>
      </c>
      <c r="G615" t="str">
        <f>"700065"</f>
        <v>700065</v>
      </c>
      <c r="H615" t="str">
        <f>"אלתא מערכות בע""מ"</f>
        <v>אלתא מערכות בע"מ</v>
      </c>
      <c r="I615" t="str">
        <f>"ערן שלו"</f>
        <v>ערן שלו</v>
      </c>
      <c r="J615" t="str">
        <f>"000"</f>
        <v>000</v>
      </c>
      <c r="K615" s="1" t="str">
        <f>"Analysis Salt Fog :70"</f>
        <v>Analysis Salt Fog :70</v>
      </c>
      <c r="L615">
        <v>1</v>
      </c>
      <c r="M615" t="str">
        <f>"PR20000645"</f>
        <v>PR20000645</v>
      </c>
      <c r="N615" t="str">
        <f>"PDB 1+2"</f>
        <v>PDB 1+2</v>
      </c>
      <c r="O615">
        <v>0</v>
      </c>
      <c r="P615" t="str">
        <f>"$"</f>
        <v>$</v>
      </c>
      <c r="Q615" t="str">
        <f>"118"</f>
        <v>118</v>
      </c>
      <c r="R615" t="str">
        <f>"מערכות"</f>
        <v>מערכות</v>
      </c>
      <c r="S615" t="str">
        <f>"034"</f>
        <v>034</v>
      </c>
      <c r="T615" t="str">
        <f>"מוסקוביץ אולגה"</f>
        <v>מוסקוביץ אולגה</v>
      </c>
      <c r="U615">
        <v>0</v>
      </c>
      <c r="V615">
        <v>0</v>
      </c>
      <c r="W615">
        <v>0</v>
      </c>
      <c r="X615">
        <v>0</v>
      </c>
      <c r="Z615" t="str">
        <f>"Y"</f>
        <v>Y</v>
      </c>
      <c r="AA615">
        <v>1</v>
      </c>
      <c r="AC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 t="str">
        <f>"$"</f>
        <v>$</v>
      </c>
    </row>
    <row r="616" spans="1:38" x14ac:dyDescent="0.3">
      <c r="A616" t="str">
        <f>"SO20000418"</f>
        <v>SO20000418</v>
      </c>
      <c r="B616" t="str">
        <f>"E000320964"</f>
        <v>E000320964</v>
      </c>
      <c r="C616" t="str">
        <f>"בוצעה"</f>
        <v>בוצעה</v>
      </c>
      <c r="E616" s="3">
        <v>44083</v>
      </c>
      <c r="F616" s="3">
        <v>44438</v>
      </c>
      <c r="G616" t="str">
        <f>"700065"</f>
        <v>700065</v>
      </c>
      <c r="H616" t="str">
        <f>"אלתא מערכות בע""מ"</f>
        <v>אלתא מערכות בע"מ</v>
      </c>
      <c r="I616" t="str">
        <f>"ערן שלו"</f>
        <v>ערן שלו</v>
      </c>
      <c r="J616" t="str">
        <f>"000"</f>
        <v>000</v>
      </c>
      <c r="K616" s="1" t="str">
        <f>"Test Rain :80"</f>
        <v>Test Rain :80</v>
      </c>
      <c r="L616">
        <v>1</v>
      </c>
      <c r="M616" t="str">
        <f>"PR20000645"</f>
        <v>PR20000645</v>
      </c>
      <c r="N616" t="str">
        <f>"PDB 1+2"</f>
        <v>PDB 1+2</v>
      </c>
      <c r="O616">
        <v>0</v>
      </c>
      <c r="P616" t="str">
        <f>"$"</f>
        <v>$</v>
      </c>
      <c r="Q616" t="str">
        <f>"118"</f>
        <v>118</v>
      </c>
      <c r="R616" t="str">
        <f>"מערכות"</f>
        <v>מערכות</v>
      </c>
      <c r="S616" t="str">
        <f>"034"</f>
        <v>034</v>
      </c>
      <c r="T616" t="str">
        <f>"מוסקוביץ אולגה"</f>
        <v>מוסקוביץ אולגה</v>
      </c>
      <c r="U616">
        <v>0</v>
      </c>
      <c r="V616">
        <v>0</v>
      </c>
      <c r="W616">
        <v>0</v>
      </c>
      <c r="X616">
        <v>0</v>
      </c>
      <c r="Z616" t="str">
        <f>"Y"</f>
        <v>Y</v>
      </c>
      <c r="AA616">
        <v>1</v>
      </c>
      <c r="AC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 t="str">
        <f>"$"</f>
        <v>$</v>
      </c>
    </row>
    <row r="617" spans="1:38" x14ac:dyDescent="0.3">
      <c r="A617" t="str">
        <f>"SO20000418"</f>
        <v>SO20000418</v>
      </c>
      <c r="B617" t="str">
        <f>"E000320964"</f>
        <v>E000320964</v>
      </c>
      <c r="C617" t="str">
        <f>"בוצעה"</f>
        <v>בוצעה</v>
      </c>
      <c r="E617" s="3">
        <v>44083</v>
      </c>
      <c r="F617" s="3">
        <v>44438</v>
      </c>
      <c r="G617" t="str">
        <f>"700065"</f>
        <v>700065</v>
      </c>
      <c r="H617" t="str">
        <f>"אלתא מערכות בע""מ"</f>
        <v>אלתא מערכות בע"מ</v>
      </c>
      <c r="I617" t="str">
        <f>"ערן שלו"</f>
        <v>ערן שלו</v>
      </c>
      <c r="J617" t="str">
        <f>"000"</f>
        <v>000</v>
      </c>
      <c r="K617" s="1" t="str">
        <f>"Test Acoustical noise :90"</f>
        <v>Test Acoustical noise :90</v>
      </c>
      <c r="L617">
        <v>1</v>
      </c>
      <c r="M617" t="str">
        <f>"PR20000645"</f>
        <v>PR20000645</v>
      </c>
      <c r="N617" t="str">
        <f>"PDB 1+2"</f>
        <v>PDB 1+2</v>
      </c>
      <c r="O617">
        <v>0</v>
      </c>
      <c r="P617" t="str">
        <f>"$"</f>
        <v>$</v>
      </c>
      <c r="Q617" t="str">
        <f>"118"</f>
        <v>118</v>
      </c>
      <c r="R617" t="str">
        <f>"מערכות"</f>
        <v>מערכות</v>
      </c>
      <c r="S617" t="str">
        <f>"034"</f>
        <v>034</v>
      </c>
      <c r="T617" t="str">
        <f>"מוסקוביץ אולגה"</f>
        <v>מוסקוביץ אולגה</v>
      </c>
      <c r="U617">
        <v>0</v>
      </c>
      <c r="V617">
        <v>0</v>
      </c>
      <c r="W617">
        <v>0</v>
      </c>
      <c r="X617">
        <v>0</v>
      </c>
      <c r="Z617" t="str">
        <f>"Y"</f>
        <v>Y</v>
      </c>
      <c r="AA617">
        <v>1</v>
      </c>
      <c r="AC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 t="str">
        <f>"$"</f>
        <v>$</v>
      </c>
    </row>
    <row r="618" spans="1:38" x14ac:dyDescent="0.3">
      <c r="A618" t="str">
        <f>"SO20000418"</f>
        <v>SO20000418</v>
      </c>
      <c r="B618" t="str">
        <f>"E000320964"</f>
        <v>E000320964</v>
      </c>
      <c r="C618" t="str">
        <f>"בוצעה"</f>
        <v>בוצעה</v>
      </c>
      <c r="E618" s="3">
        <v>44083</v>
      </c>
      <c r="F618" s="3">
        <v>44438</v>
      </c>
      <c r="G618" t="str">
        <f>"700065"</f>
        <v>700065</v>
      </c>
      <c r="H618" t="str">
        <f>"אלתא מערכות בע""מ"</f>
        <v>אלתא מערכות בע"מ</v>
      </c>
      <c r="I618" t="str">
        <f>"ערן שלו"</f>
        <v>ערן שלו</v>
      </c>
      <c r="J618" t="str">
        <f>"000"</f>
        <v>000</v>
      </c>
      <c r="K618" s="1" t="str">
        <f>"Analysis Wind :100"</f>
        <v>Analysis Wind :100</v>
      </c>
      <c r="L618">
        <v>1</v>
      </c>
      <c r="M618" t="str">
        <f>"PR20000645"</f>
        <v>PR20000645</v>
      </c>
      <c r="N618" t="str">
        <f>"PDB 1+2"</f>
        <v>PDB 1+2</v>
      </c>
      <c r="O618">
        <v>0</v>
      </c>
      <c r="P618" t="str">
        <f>"$"</f>
        <v>$</v>
      </c>
      <c r="Q618" t="str">
        <f>"118"</f>
        <v>118</v>
      </c>
      <c r="R618" t="str">
        <f>"מערכות"</f>
        <v>מערכות</v>
      </c>
      <c r="S618" t="str">
        <f>"034"</f>
        <v>034</v>
      </c>
      <c r="T618" t="str">
        <f>"מוסקוביץ אולגה"</f>
        <v>מוסקוביץ אולגה</v>
      </c>
      <c r="U618">
        <v>0</v>
      </c>
      <c r="V618">
        <v>0</v>
      </c>
      <c r="W618">
        <v>0</v>
      </c>
      <c r="X618">
        <v>0</v>
      </c>
      <c r="Z618" t="str">
        <f>"Y"</f>
        <v>Y</v>
      </c>
      <c r="AA618">
        <v>1</v>
      </c>
      <c r="AC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 t="str">
        <f>"$"</f>
        <v>$</v>
      </c>
    </row>
    <row r="619" spans="1:38" x14ac:dyDescent="0.3">
      <c r="A619" t="str">
        <f>"SO20000418"</f>
        <v>SO20000418</v>
      </c>
      <c r="B619" t="str">
        <f>"E000320964"</f>
        <v>E000320964</v>
      </c>
      <c r="C619" t="str">
        <f>"בוצעה"</f>
        <v>בוצעה</v>
      </c>
      <c r="E619" s="3">
        <v>44083</v>
      </c>
      <c r="F619" s="3">
        <v>44438</v>
      </c>
      <c r="G619" t="str">
        <f>"700065"</f>
        <v>700065</v>
      </c>
      <c r="H619" t="str">
        <f>"אלתא מערכות בע""מ"</f>
        <v>אלתא מערכות בע"מ</v>
      </c>
      <c r="I619" t="str">
        <f>"ערן שלו"</f>
        <v>ערן שלו</v>
      </c>
      <c r="J619" t="str">
        <f>"000"</f>
        <v>000</v>
      </c>
      <c r="K619" s="1" t="str">
        <f>"Analysis Sand and Dus :110"</f>
        <v>Analysis Sand and Dus :110</v>
      </c>
      <c r="L619">
        <v>1</v>
      </c>
      <c r="M619" t="str">
        <f>"PR20000645"</f>
        <v>PR20000645</v>
      </c>
      <c r="N619" t="str">
        <f>"PDB 1+2"</f>
        <v>PDB 1+2</v>
      </c>
      <c r="O619">
        <v>0</v>
      </c>
      <c r="P619" t="str">
        <f>"$"</f>
        <v>$</v>
      </c>
      <c r="Q619" t="str">
        <f>"118"</f>
        <v>118</v>
      </c>
      <c r="R619" t="str">
        <f>"מערכות"</f>
        <v>מערכות</v>
      </c>
      <c r="S619" t="str">
        <f>"034"</f>
        <v>034</v>
      </c>
      <c r="T619" t="str">
        <f>"מוסקוביץ אולגה"</f>
        <v>מוסקוביץ אולגה</v>
      </c>
      <c r="U619">
        <v>0</v>
      </c>
      <c r="V619">
        <v>0</v>
      </c>
      <c r="W619">
        <v>0</v>
      </c>
      <c r="X619">
        <v>0</v>
      </c>
      <c r="Z619" t="str">
        <f>"Y"</f>
        <v>Y</v>
      </c>
      <c r="AA619">
        <v>1</v>
      </c>
      <c r="AC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 t="str">
        <f>"$"</f>
        <v>$</v>
      </c>
    </row>
    <row r="620" spans="1:38" x14ac:dyDescent="0.3">
      <c r="A620" t="str">
        <f>"SO20000418"</f>
        <v>SO20000418</v>
      </c>
      <c r="B620" t="str">
        <f>"E000320964"</f>
        <v>E000320964</v>
      </c>
      <c r="C620" t="str">
        <f>"בוצעה"</f>
        <v>בוצעה</v>
      </c>
      <c r="E620" s="3">
        <v>44083</v>
      </c>
      <c r="F620" s="3">
        <v>44438</v>
      </c>
      <c r="G620" t="str">
        <f>"700065"</f>
        <v>700065</v>
      </c>
      <c r="H620" t="str">
        <f>"אלתא מערכות בע""מ"</f>
        <v>אלתא מערכות בע"מ</v>
      </c>
      <c r="I620" t="str">
        <f>"ערן שלו"</f>
        <v>ערן שלו</v>
      </c>
      <c r="J620" t="str">
        <f>"000"</f>
        <v>000</v>
      </c>
      <c r="K620" s="1" t="str">
        <f>"Analysis Snow :120"</f>
        <v>Analysis Snow :120</v>
      </c>
      <c r="L620">
        <v>1</v>
      </c>
      <c r="M620" t="str">
        <f>"PR20000645"</f>
        <v>PR20000645</v>
      </c>
      <c r="N620" t="str">
        <f>"PDB 1+2"</f>
        <v>PDB 1+2</v>
      </c>
      <c r="O620">
        <v>0</v>
      </c>
      <c r="P620" t="str">
        <f>"$"</f>
        <v>$</v>
      </c>
      <c r="Q620" t="str">
        <f>"118"</f>
        <v>118</v>
      </c>
      <c r="R620" t="str">
        <f>"מערכות"</f>
        <v>מערכות</v>
      </c>
      <c r="S620" t="str">
        <f>"034"</f>
        <v>034</v>
      </c>
      <c r="T620" t="str">
        <f>"מוסקוביץ אולגה"</f>
        <v>מוסקוביץ אולגה</v>
      </c>
      <c r="U620">
        <v>0</v>
      </c>
      <c r="V620">
        <v>0</v>
      </c>
      <c r="W620">
        <v>0</v>
      </c>
      <c r="X620">
        <v>0</v>
      </c>
      <c r="Z620" t="str">
        <f>"Y"</f>
        <v>Y</v>
      </c>
      <c r="AA620">
        <v>1</v>
      </c>
      <c r="AC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 t="str">
        <f>"$"</f>
        <v>$</v>
      </c>
    </row>
    <row r="621" spans="1:38" x14ac:dyDescent="0.3">
      <c r="A621" t="str">
        <f>"SO20000418"</f>
        <v>SO20000418</v>
      </c>
      <c r="B621" t="str">
        <f>"E000320964"</f>
        <v>E000320964</v>
      </c>
      <c r="C621" t="str">
        <f>"בוצעה"</f>
        <v>בוצעה</v>
      </c>
      <c r="E621" s="3">
        <v>44083</v>
      </c>
      <c r="F621" s="3">
        <v>44438</v>
      </c>
      <c r="G621" t="str">
        <f>"700065"</f>
        <v>700065</v>
      </c>
      <c r="H621" t="str">
        <f>"אלתא מערכות בע""מ"</f>
        <v>אלתא מערכות בע"מ</v>
      </c>
      <c r="I621" t="str">
        <f>"ערן שלו"</f>
        <v>ערן שלו</v>
      </c>
      <c r="J621" t="str">
        <f>"000"</f>
        <v>000</v>
      </c>
      <c r="K621" s="1" t="str">
        <f>"Analysis Icing :130"</f>
        <v>Analysis Icing :130</v>
      </c>
      <c r="L621">
        <v>1</v>
      </c>
      <c r="M621" t="str">
        <f>"PR20000645"</f>
        <v>PR20000645</v>
      </c>
      <c r="N621" t="str">
        <f>"PDB 1+2"</f>
        <v>PDB 1+2</v>
      </c>
      <c r="O621">
        <v>0</v>
      </c>
      <c r="P621" t="str">
        <f>"$"</f>
        <v>$</v>
      </c>
      <c r="Q621" t="str">
        <f>"118"</f>
        <v>118</v>
      </c>
      <c r="R621" t="str">
        <f>"מערכות"</f>
        <v>מערכות</v>
      </c>
      <c r="S621" t="str">
        <f>"034"</f>
        <v>034</v>
      </c>
      <c r="T621" t="str">
        <f>"מוסקוביץ אולגה"</f>
        <v>מוסקוביץ אולגה</v>
      </c>
      <c r="U621">
        <v>0</v>
      </c>
      <c r="V621">
        <v>0</v>
      </c>
      <c r="W621">
        <v>0</v>
      </c>
      <c r="X621">
        <v>0</v>
      </c>
      <c r="Z621" t="str">
        <f>"Y"</f>
        <v>Y</v>
      </c>
      <c r="AA621">
        <v>1</v>
      </c>
      <c r="AC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 t="str">
        <f>"$"</f>
        <v>$</v>
      </c>
    </row>
    <row r="622" spans="1:38" x14ac:dyDescent="0.3">
      <c r="A622" t="str">
        <f>"SO20000418"</f>
        <v>SO20000418</v>
      </c>
      <c r="B622" t="str">
        <f>"E000320964"</f>
        <v>E000320964</v>
      </c>
      <c r="C622" t="str">
        <f>"בוצעה"</f>
        <v>בוצעה</v>
      </c>
      <c r="E622" s="3">
        <v>44083</v>
      </c>
      <c r="F622" s="3">
        <v>44438</v>
      </c>
      <c r="G622" t="str">
        <f>"700065"</f>
        <v>700065</v>
      </c>
      <c r="H622" t="str">
        <f>"אלתא מערכות בע""מ"</f>
        <v>אלתא מערכות בע"מ</v>
      </c>
      <c r="I622" t="str">
        <f>"ערן שלו"</f>
        <v>ערן שלו</v>
      </c>
      <c r="J622" t="str">
        <f>"000"</f>
        <v>000</v>
      </c>
      <c r="K622" s="1" t="str">
        <f>"Analysis Fungus :140"</f>
        <v>Analysis Fungus :140</v>
      </c>
      <c r="L622">
        <v>1</v>
      </c>
      <c r="M622" t="str">
        <f>"PR20000645"</f>
        <v>PR20000645</v>
      </c>
      <c r="N622" t="str">
        <f>"PDB 1+2"</f>
        <v>PDB 1+2</v>
      </c>
      <c r="O622">
        <v>0</v>
      </c>
      <c r="P622" t="str">
        <f>"$"</f>
        <v>$</v>
      </c>
      <c r="Q622" t="str">
        <f>"118"</f>
        <v>118</v>
      </c>
      <c r="R622" t="str">
        <f>"מערכות"</f>
        <v>מערכות</v>
      </c>
      <c r="S622" t="str">
        <f>"034"</f>
        <v>034</v>
      </c>
      <c r="T622" t="str">
        <f>"מוסקוביץ אולגה"</f>
        <v>מוסקוביץ אולגה</v>
      </c>
      <c r="U622">
        <v>0</v>
      </c>
      <c r="V622">
        <v>0</v>
      </c>
      <c r="W622">
        <v>0</v>
      </c>
      <c r="X622">
        <v>0</v>
      </c>
      <c r="Z622" t="str">
        <f>"Y"</f>
        <v>Y</v>
      </c>
      <c r="AA622">
        <v>1</v>
      </c>
      <c r="AC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 t="str">
        <f>"$"</f>
        <v>$</v>
      </c>
    </row>
    <row r="623" spans="1:38" x14ac:dyDescent="0.3">
      <c r="A623" t="str">
        <f>"SO20000418"</f>
        <v>SO20000418</v>
      </c>
      <c r="B623" t="str">
        <f>"E000320964"</f>
        <v>E000320964</v>
      </c>
      <c r="C623" t="str">
        <f>"בוצעה"</f>
        <v>בוצעה</v>
      </c>
      <c r="E623" s="3">
        <v>44083</v>
      </c>
      <c r="F623" s="3">
        <v>44438</v>
      </c>
      <c r="G623" t="str">
        <f>"700065"</f>
        <v>700065</v>
      </c>
      <c r="H623" t="str">
        <f>"אלתא מערכות בע""מ"</f>
        <v>אלתא מערכות בע"מ</v>
      </c>
      <c r="I623" t="str">
        <f>"ערן שלו"</f>
        <v>ערן שלו</v>
      </c>
      <c r="J623" t="str">
        <f>"000"</f>
        <v>000</v>
      </c>
      <c r="K623" s="1" t="str">
        <f>"150: כתיבת מפרטי בדיקות וניסויים ודוח מסכם"</f>
        <v>150: כתיבת מפרטי בדיקות וניסויים ודוח מסכם</v>
      </c>
      <c r="L623">
        <v>1</v>
      </c>
      <c r="M623" t="str">
        <f>"PR20000645"</f>
        <v>PR20000645</v>
      </c>
      <c r="N623" t="str">
        <f>"PDB 1+2"</f>
        <v>PDB 1+2</v>
      </c>
      <c r="O623">
        <v>0</v>
      </c>
      <c r="P623" t="str">
        <f>"$"</f>
        <v>$</v>
      </c>
      <c r="Q623" t="str">
        <f>"118"</f>
        <v>118</v>
      </c>
      <c r="R623" t="str">
        <f>"מערכות"</f>
        <v>מערכות</v>
      </c>
      <c r="S623" t="str">
        <f>"034"</f>
        <v>034</v>
      </c>
      <c r="T623" t="str">
        <f>"מוסקוביץ אולגה"</f>
        <v>מוסקוביץ אולגה</v>
      </c>
      <c r="U623">
        <v>0</v>
      </c>
      <c r="V623">
        <v>0</v>
      </c>
      <c r="W623">
        <v>0</v>
      </c>
      <c r="X623">
        <v>0</v>
      </c>
      <c r="Z623" t="str">
        <f>"Y"</f>
        <v>Y</v>
      </c>
      <c r="AA623">
        <v>1</v>
      </c>
      <c r="AC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 t="str">
        <f>"$"</f>
        <v>$</v>
      </c>
    </row>
    <row r="624" spans="1:38" x14ac:dyDescent="0.3">
      <c r="A624" t="str">
        <f>"SO20000418"</f>
        <v>SO20000418</v>
      </c>
      <c r="B624" t="str">
        <f>"E000320964"</f>
        <v>E000320964</v>
      </c>
      <c r="C624" t="str">
        <f>"בוצעה"</f>
        <v>בוצעה</v>
      </c>
      <c r="E624" s="3">
        <v>44083</v>
      </c>
      <c r="F624" s="3">
        <v>44226</v>
      </c>
      <c r="G624" t="str">
        <f>"700065"</f>
        <v>700065</v>
      </c>
      <c r="H624" t="str">
        <f>"אלתא מערכות בע""מ"</f>
        <v>אלתא מערכות בע"מ</v>
      </c>
      <c r="I624" t="str">
        <f>"ערן שלו"</f>
        <v>ערן שלו</v>
      </c>
      <c r="J624" t="str">
        <f>"OP-AR02041"</f>
        <v>OP-AR02041</v>
      </c>
      <c r="K624" s="1" t="str">
        <f>"PDB1 1038C860-001"</f>
        <v>PDB1 1038C860-001</v>
      </c>
      <c r="L624">
        <v>1</v>
      </c>
      <c r="M624" t="str">
        <f>"PR20000646"</f>
        <v>PR20000646</v>
      </c>
      <c r="N624" t="str">
        <f>"01/   PDB 1 1038C860-001"</f>
        <v>01/   PDB 1 1038C860-001</v>
      </c>
      <c r="O624" s="2">
        <v>38545</v>
      </c>
      <c r="P624" t="str">
        <f>"$"</f>
        <v>$</v>
      </c>
      <c r="Q624" t="str">
        <f>"118"</f>
        <v>118</v>
      </c>
      <c r="R624" t="str">
        <f>"מערכות"</f>
        <v>מערכות</v>
      </c>
      <c r="S624" t="str">
        <f>"034"</f>
        <v>034</v>
      </c>
      <c r="T624" t="str">
        <f>"מוסקוביץ אולגה"</f>
        <v>מוסקוביץ אולגה</v>
      </c>
      <c r="U624">
        <v>0</v>
      </c>
      <c r="V624">
        <v>0</v>
      </c>
      <c r="W624" s="2">
        <v>38545</v>
      </c>
      <c r="X624" s="2">
        <v>38545</v>
      </c>
      <c r="Z624" t="str">
        <f>"Y"</f>
        <v>Y</v>
      </c>
      <c r="AA624">
        <v>0</v>
      </c>
      <c r="AC624">
        <v>0</v>
      </c>
      <c r="AE624">
        <v>0</v>
      </c>
      <c r="AF624">
        <v>0</v>
      </c>
      <c r="AG624" s="2">
        <v>131322.82</v>
      </c>
      <c r="AH624">
        <v>0</v>
      </c>
      <c r="AI624" s="2">
        <v>131322.82</v>
      </c>
      <c r="AJ624" s="2">
        <v>38545</v>
      </c>
      <c r="AK624" s="2">
        <v>38545</v>
      </c>
      <c r="AL624" t="str">
        <f>"$"</f>
        <v>$</v>
      </c>
    </row>
    <row r="625" spans="1:38" x14ac:dyDescent="0.3">
      <c r="A625" t="str">
        <f>"SO20000418"</f>
        <v>SO20000418</v>
      </c>
      <c r="B625" t="str">
        <f>"E000320964"</f>
        <v>E000320964</v>
      </c>
      <c r="C625" t="str">
        <f>"בוצעה"</f>
        <v>בוצעה</v>
      </c>
      <c r="E625" s="3">
        <v>44083</v>
      </c>
      <c r="F625" s="3">
        <v>44407</v>
      </c>
      <c r="G625" t="str">
        <f>"700065"</f>
        <v>700065</v>
      </c>
      <c r="H625" t="str">
        <f>"אלתא מערכות בע""מ"</f>
        <v>אלתא מערכות בע"מ</v>
      </c>
      <c r="I625" t="str">
        <f>"ערן שלו"</f>
        <v>ערן שלו</v>
      </c>
      <c r="J625" t="str">
        <f>"OP-AR02041"</f>
        <v>OP-AR02041</v>
      </c>
      <c r="K625" s="1" t="str">
        <f>"PDB1 1038C860-001"</f>
        <v>PDB1 1038C860-001</v>
      </c>
      <c r="L625">
        <v>1</v>
      </c>
      <c r="M625" t="str">
        <f>"PR20000647"</f>
        <v>PR20000647</v>
      </c>
      <c r="N625" t="str">
        <f>"02/   PDB 1 1038C860-001"</f>
        <v>02/   PDB 1 1038C860-001</v>
      </c>
      <c r="O625" s="2">
        <v>38545</v>
      </c>
      <c r="P625" t="str">
        <f>"$"</f>
        <v>$</v>
      </c>
      <c r="Q625" t="str">
        <f>"118"</f>
        <v>118</v>
      </c>
      <c r="R625" t="str">
        <f>"מערכות"</f>
        <v>מערכות</v>
      </c>
      <c r="S625" t="str">
        <f>"034"</f>
        <v>034</v>
      </c>
      <c r="T625" t="str">
        <f>"מוסקוביץ אולגה"</f>
        <v>מוסקוביץ אולגה</v>
      </c>
      <c r="U625">
        <v>0</v>
      </c>
      <c r="V625">
        <v>0</v>
      </c>
      <c r="W625" s="2">
        <v>38545</v>
      </c>
      <c r="X625" s="2">
        <v>38545</v>
      </c>
      <c r="Z625" t="str">
        <f>"Y"</f>
        <v>Y</v>
      </c>
      <c r="AA625">
        <v>0</v>
      </c>
      <c r="AC625">
        <v>0</v>
      </c>
      <c r="AE625">
        <v>0</v>
      </c>
      <c r="AF625">
        <v>0</v>
      </c>
      <c r="AG625" s="2">
        <v>131322.82</v>
      </c>
      <c r="AH625">
        <v>0</v>
      </c>
      <c r="AI625" s="2">
        <v>131322.82</v>
      </c>
      <c r="AJ625" s="2">
        <v>38545</v>
      </c>
      <c r="AK625" s="2">
        <v>38545</v>
      </c>
      <c r="AL625" t="str">
        <f>"$"</f>
        <v>$</v>
      </c>
    </row>
    <row r="626" spans="1:38" x14ac:dyDescent="0.3">
      <c r="A626" t="str">
        <f>"SO20000418"</f>
        <v>SO20000418</v>
      </c>
      <c r="B626" t="str">
        <f>"E000320964"</f>
        <v>E000320964</v>
      </c>
      <c r="C626" t="str">
        <f>"בוצעה"</f>
        <v>בוצעה</v>
      </c>
      <c r="E626" s="3">
        <v>44083</v>
      </c>
      <c r="F626" s="3">
        <v>44530</v>
      </c>
      <c r="G626" t="str">
        <f>"700065"</f>
        <v>700065</v>
      </c>
      <c r="H626" t="str">
        <f>"אלתא מערכות בע""מ"</f>
        <v>אלתא מערכות בע"מ</v>
      </c>
      <c r="I626" t="str">
        <f>"ערן שלו"</f>
        <v>ערן שלו</v>
      </c>
      <c r="J626" t="str">
        <f>"OP-AR02041"</f>
        <v>OP-AR02041</v>
      </c>
      <c r="K626" s="1" t="str">
        <f>"PDB1 1038C860-001"</f>
        <v>PDB1 1038C860-001</v>
      </c>
      <c r="L626">
        <v>1</v>
      </c>
      <c r="M626" t="str">
        <f>"PR20000652"</f>
        <v>PR20000652</v>
      </c>
      <c r="N626" t="str">
        <f>"07/   PDB 1 1038C860-001"</f>
        <v>07/   PDB 1 1038C860-001</v>
      </c>
      <c r="O626" s="2">
        <v>38545</v>
      </c>
      <c r="P626" t="str">
        <f>"$"</f>
        <v>$</v>
      </c>
      <c r="Q626" t="str">
        <f>"118"</f>
        <v>118</v>
      </c>
      <c r="R626" t="str">
        <f>"מערכות"</f>
        <v>מערכות</v>
      </c>
      <c r="S626" t="str">
        <f>"034"</f>
        <v>034</v>
      </c>
      <c r="T626" t="str">
        <f>"מוסקוביץ אולגה"</f>
        <v>מוסקוביץ אולגה</v>
      </c>
      <c r="U626">
        <v>0</v>
      </c>
      <c r="V626">
        <v>0</v>
      </c>
      <c r="W626" s="2">
        <v>38545</v>
      </c>
      <c r="X626" s="2">
        <v>38545</v>
      </c>
      <c r="Z626" t="str">
        <f>"Y"</f>
        <v>Y</v>
      </c>
      <c r="AA626">
        <v>0</v>
      </c>
      <c r="AC626">
        <v>0</v>
      </c>
      <c r="AE626">
        <v>0</v>
      </c>
      <c r="AF626">
        <v>0</v>
      </c>
      <c r="AG626" s="2">
        <v>131322.82</v>
      </c>
      <c r="AH626">
        <v>0</v>
      </c>
      <c r="AI626" s="2">
        <v>131322.82</v>
      </c>
      <c r="AJ626" s="2">
        <v>38545</v>
      </c>
      <c r="AK626" s="2">
        <v>38545</v>
      </c>
      <c r="AL626" t="str">
        <f>"$"</f>
        <v>$</v>
      </c>
    </row>
    <row r="627" spans="1:38" x14ac:dyDescent="0.3">
      <c r="A627" t="str">
        <f>"SO20000418"</f>
        <v>SO20000418</v>
      </c>
      <c r="B627" t="str">
        <f>"E000320964"</f>
        <v>E000320964</v>
      </c>
      <c r="C627" t="str">
        <f>"בוצעה"</f>
        <v>בוצעה</v>
      </c>
      <c r="E627" s="3">
        <v>44083</v>
      </c>
      <c r="F627" s="3">
        <v>44530</v>
      </c>
      <c r="G627" t="str">
        <f>"700065"</f>
        <v>700065</v>
      </c>
      <c r="H627" t="str">
        <f>"אלתא מערכות בע""מ"</f>
        <v>אלתא מערכות בע"מ</v>
      </c>
      <c r="I627" t="str">
        <f>"ערן שלו"</f>
        <v>ערן שלו</v>
      </c>
      <c r="J627" t="str">
        <f>"OP-AR02041"</f>
        <v>OP-AR02041</v>
      </c>
      <c r="K627" s="1" t="str">
        <f>"PDB1 1038C860-001"</f>
        <v>PDB1 1038C860-001</v>
      </c>
      <c r="L627">
        <v>1</v>
      </c>
      <c r="M627" t="str">
        <f>"PR20000649"</f>
        <v>PR20000649</v>
      </c>
      <c r="N627" t="str">
        <f>"04/   PDB 1 1038C860-001"</f>
        <v>04/   PDB 1 1038C860-001</v>
      </c>
      <c r="O627" s="2">
        <v>38545</v>
      </c>
      <c r="P627" t="str">
        <f>"$"</f>
        <v>$</v>
      </c>
      <c r="Q627" t="str">
        <f>"118"</f>
        <v>118</v>
      </c>
      <c r="R627" t="str">
        <f>"מערכות"</f>
        <v>מערכות</v>
      </c>
      <c r="S627" t="str">
        <f>"034"</f>
        <v>034</v>
      </c>
      <c r="T627" t="str">
        <f>"מוסקוביץ אולגה"</f>
        <v>מוסקוביץ אולגה</v>
      </c>
      <c r="U627">
        <v>0</v>
      </c>
      <c r="V627">
        <v>0</v>
      </c>
      <c r="W627" s="2">
        <v>38545</v>
      </c>
      <c r="X627" s="2">
        <v>38545</v>
      </c>
      <c r="Z627" t="str">
        <f>"Y"</f>
        <v>Y</v>
      </c>
      <c r="AA627">
        <v>0</v>
      </c>
      <c r="AC627">
        <v>0</v>
      </c>
      <c r="AE627">
        <v>0</v>
      </c>
      <c r="AF627">
        <v>0</v>
      </c>
      <c r="AG627" s="2">
        <v>131322.82</v>
      </c>
      <c r="AH627">
        <v>0</v>
      </c>
      <c r="AI627" s="2">
        <v>131322.82</v>
      </c>
      <c r="AJ627" s="2">
        <v>38545</v>
      </c>
      <c r="AK627" s="2">
        <v>38545</v>
      </c>
      <c r="AL627" t="str">
        <f>"$"</f>
        <v>$</v>
      </c>
    </row>
    <row r="628" spans="1:38" x14ac:dyDescent="0.3">
      <c r="A628" t="str">
        <f>"SO20000418"</f>
        <v>SO20000418</v>
      </c>
      <c r="B628" t="str">
        <f>"E000320964"</f>
        <v>E000320964</v>
      </c>
      <c r="C628" t="str">
        <f>"בוצעה"</f>
        <v>בוצעה</v>
      </c>
      <c r="E628" s="3">
        <v>44083</v>
      </c>
      <c r="F628" s="3">
        <v>44620</v>
      </c>
      <c r="G628" t="str">
        <f>"700065"</f>
        <v>700065</v>
      </c>
      <c r="H628" t="str">
        <f>"אלתא מערכות בע""מ"</f>
        <v>אלתא מערכות בע"מ</v>
      </c>
      <c r="I628" t="str">
        <f>"ערן שלו"</f>
        <v>ערן שלו</v>
      </c>
      <c r="J628" t="str">
        <f>"OP-AR02041"</f>
        <v>OP-AR02041</v>
      </c>
      <c r="K628" s="1" t="str">
        <f>"PDB1 1038C860-001"</f>
        <v>PDB1 1038C860-001</v>
      </c>
      <c r="L628">
        <v>1</v>
      </c>
      <c r="M628" t="str">
        <f>"PR20000650"</f>
        <v>PR20000650</v>
      </c>
      <c r="N628" t="str">
        <f>"05/   PDB 1 1038C860-001"</f>
        <v>05/   PDB 1 1038C860-001</v>
      </c>
      <c r="O628" s="2">
        <v>38545</v>
      </c>
      <c r="P628" t="str">
        <f>"$"</f>
        <v>$</v>
      </c>
      <c r="Q628" t="str">
        <f>"118"</f>
        <v>118</v>
      </c>
      <c r="R628" t="str">
        <f>"מערכות"</f>
        <v>מערכות</v>
      </c>
      <c r="S628" t="str">
        <f>"034"</f>
        <v>034</v>
      </c>
      <c r="T628" t="str">
        <f>"מוסקוביץ אולגה"</f>
        <v>מוסקוביץ אולגה</v>
      </c>
      <c r="U628">
        <v>0</v>
      </c>
      <c r="V628">
        <v>0</v>
      </c>
      <c r="W628" s="2">
        <v>38545</v>
      </c>
      <c r="X628" s="2">
        <v>38545</v>
      </c>
      <c r="Z628" t="str">
        <f>"Y"</f>
        <v>Y</v>
      </c>
      <c r="AA628">
        <v>0</v>
      </c>
      <c r="AC628">
        <v>0</v>
      </c>
      <c r="AE628">
        <v>0</v>
      </c>
      <c r="AF628">
        <v>0</v>
      </c>
      <c r="AG628" s="2">
        <v>131322.82</v>
      </c>
      <c r="AH628">
        <v>0</v>
      </c>
      <c r="AI628" s="2">
        <v>131322.82</v>
      </c>
      <c r="AJ628" s="2">
        <v>38545</v>
      </c>
      <c r="AK628" s="2">
        <v>38545</v>
      </c>
      <c r="AL628" t="str">
        <f>"$"</f>
        <v>$</v>
      </c>
    </row>
    <row r="629" spans="1:38" x14ac:dyDescent="0.3">
      <c r="A629" t="str">
        <f>"SO20000418"</f>
        <v>SO20000418</v>
      </c>
      <c r="B629" t="str">
        <f>"E000320964"</f>
        <v>E000320964</v>
      </c>
      <c r="C629" t="str">
        <f>"בוצעה"</f>
        <v>בוצעה</v>
      </c>
      <c r="E629" s="3">
        <v>44083</v>
      </c>
      <c r="F629" s="3">
        <v>44742</v>
      </c>
      <c r="G629" t="str">
        <f>"700065"</f>
        <v>700065</v>
      </c>
      <c r="H629" t="str">
        <f>"אלתא מערכות בע""מ"</f>
        <v>אלתא מערכות בע"מ</v>
      </c>
      <c r="I629" t="str">
        <f>"ערן שלו"</f>
        <v>ערן שלו</v>
      </c>
      <c r="J629" t="str">
        <f>"OP-AR02041"</f>
        <v>OP-AR02041</v>
      </c>
      <c r="K629" s="1" t="str">
        <f>"PDB1 1038C860-001"</f>
        <v>PDB1 1038C860-001</v>
      </c>
      <c r="L629">
        <v>1</v>
      </c>
      <c r="M629" t="str">
        <f>"PR20000651"</f>
        <v>PR20000651</v>
      </c>
      <c r="N629" t="str">
        <f>"06/   PDB 1 1038C860-001"</f>
        <v>06/   PDB 1 1038C860-001</v>
      </c>
      <c r="O629" s="2">
        <v>38545</v>
      </c>
      <c r="P629" t="str">
        <f>"$"</f>
        <v>$</v>
      </c>
      <c r="Q629" t="str">
        <f>"118"</f>
        <v>118</v>
      </c>
      <c r="R629" t="str">
        <f>"מערכות"</f>
        <v>מערכות</v>
      </c>
      <c r="S629" t="str">
        <f>"034"</f>
        <v>034</v>
      </c>
      <c r="T629" t="str">
        <f>"מוסקוביץ אולגה"</f>
        <v>מוסקוביץ אולגה</v>
      </c>
      <c r="U629">
        <v>0</v>
      </c>
      <c r="V629">
        <v>0</v>
      </c>
      <c r="W629" s="2">
        <v>38545</v>
      </c>
      <c r="X629" s="2">
        <v>38545</v>
      </c>
      <c r="Z629" t="str">
        <f>"Y"</f>
        <v>Y</v>
      </c>
      <c r="AA629">
        <v>0</v>
      </c>
      <c r="AC629">
        <v>0</v>
      </c>
      <c r="AE629">
        <v>0</v>
      </c>
      <c r="AF629">
        <v>0</v>
      </c>
      <c r="AG629" s="2">
        <v>131322.82</v>
      </c>
      <c r="AH629">
        <v>0</v>
      </c>
      <c r="AI629" s="2">
        <v>131322.82</v>
      </c>
      <c r="AJ629" s="2">
        <v>38545</v>
      </c>
      <c r="AK629" s="2">
        <v>38545</v>
      </c>
      <c r="AL629" t="str">
        <f>"$"</f>
        <v>$</v>
      </c>
    </row>
    <row r="630" spans="1:38" x14ac:dyDescent="0.3">
      <c r="A630" t="str">
        <f>"SO20000418"</f>
        <v>SO20000418</v>
      </c>
      <c r="B630" t="str">
        <f>"E000320964"</f>
        <v>E000320964</v>
      </c>
      <c r="C630" t="str">
        <f>"בוצעה"</f>
        <v>בוצעה</v>
      </c>
      <c r="E630" s="3">
        <v>44083</v>
      </c>
      <c r="F630" s="3">
        <v>44742</v>
      </c>
      <c r="G630" t="str">
        <f>"700065"</f>
        <v>700065</v>
      </c>
      <c r="H630" t="str">
        <f>"אלתא מערכות בע""מ"</f>
        <v>אלתא מערכות בע"מ</v>
      </c>
      <c r="I630" t="str">
        <f>"ערן שלו"</f>
        <v>ערן שלו</v>
      </c>
      <c r="J630" t="str">
        <f>"OP-AR02041"</f>
        <v>OP-AR02041</v>
      </c>
      <c r="K630" s="1" t="str">
        <f>"PDB1 1038C860-001"</f>
        <v>PDB1 1038C860-001</v>
      </c>
      <c r="L630">
        <v>1</v>
      </c>
      <c r="M630" t="str">
        <f>"PR20000648"</f>
        <v>PR20000648</v>
      </c>
      <c r="N630" t="str">
        <f>"03/   PDB 1 1038C860-001"</f>
        <v>03/   PDB 1 1038C860-001</v>
      </c>
      <c r="O630" s="2">
        <v>38545</v>
      </c>
      <c r="P630" t="str">
        <f>"$"</f>
        <v>$</v>
      </c>
      <c r="Q630" t="str">
        <f>"118"</f>
        <v>118</v>
      </c>
      <c r="R630" t="str">
        <f>"מערכות"</f>
        <v>מערכות</v>
      </c>
      <c r="S630" t="str">
        <f>"034"</f>
        <v>034</v>
      </c>
      <c r="T630" t="str">
        <f>"מוסקוביץ אולגה"</f>
        <v>מוסקוביץ אולגה</v>
      </c>
      <c r="U630">
        <v>0</v>
      </c>
      <c r="V630">
        <v>0</v>
      </c>
      <c r="W630" s="2">
        <v>38545</v>
      </c>
      <c r="X630" s="2">
        <v>38545</v>
      </c>
      <c r="Z630" t="str">
        <f>"Y"</f>
        <v>Y</v>
      </c>
      <c r="AA630">
        <v>0</v>
      </c>
      <c r="AC630">
        <v>0</v>
      </c>
      <c r="AE630">
        <v>0</v>
      </c>
      <c r="AF630">
        <v>0</v>
      </c>
      <c r="AG630" s="2">
        <v>131322.82</v>
      </c>
      <c r="AH630">
        <v>0</v>
      </c>
      <c r="AI630" s="2">
        <v>131322.82</v>
      </c>
      <c r="AJ630" s="2">
        <v>38545</v>
      </c>
      <c r="AK630" s="2">
        <v>38545</v>
      </c>
      <c r="AL630" t="str">
        <f>"$"</f>
        <v>$</v>
      </c>
    </row>
    <row r="631" spans="1:38" x14ac:dyDescent="0.3">
      <c r="A631" t="str">
        <f>"SO20000418"</f>
        <v>SO20000418</v>
      </c>
      <c r="B631" t="str">
        <f>"E000320964"</f>
        <v>E000320964</v>
      </c>
      <c r="C631" t="str">
        <f>"בוצעה"</f>
        <v>בוצעה</v>
      </c>
      <c r="E631" s="3">
        <v>44083</v>
      </c>
      <c r="F631" s="3">
        <v>44772</v>
      </c>
      <c r="G631" t="str">
        <f>"700065"</f>
        <v>700065</v>
      </c>
      <c r="H631" t="str">
        <f>"אלתא מערכות בע""מ"</f>
        <v>אלתא מערכות בע"מ</v>
      </c>
      <c r="I631" t="str">
        <f>"ערן שלו"</f>
        <v>ערן שלו</v>
      </c>
      <c r="J631" t="str">
        <f>"OP-AR02041"</f>
        <v>OP-AR02041</v>
      </c>
      <c r="K631" s="1" t="str">
        <f>"PDB1 1038C860-001"</f>
        <v>PDB1 1038C860-001</v>
      </c>
      <c r="L631">
        <v>1</v>
      </c>
      <c r="M631" t="str">
        <f>"PR20000653"</f>
        <v>PR20000653</v>
      </c>
      <c r="N631" t="str">
        <f>"08/  PDB 1 1038C860-001"</f>
        <v>08/  PDB 1 1038C860-001</v>
      </c>
      <c r="O631" s="2">
        <v>38545</v>
      </c>
      <c r="P631" t="str">
        <f>"$"</f>
        <v>$</v>
      </c>
      <c r="Q631" t="str">
        <f>"118"</f>
        <v>118</v>
      </c>
      <c r="R631" t="str">
        <f>"מערכות"</f>
        <v>מערכות</v>
      </c>
      <c r="S631" t="str">
        <f>"034"</f>
        <v>034</v>
      </c>
      <c r="T631" t="str">
        <f>"מוסקוביץ אולגה"</f>
        <v>מוסקוביץ אולגה</v>
      </c>
      <c r="U631">
        <v>0</v>
      </c>
      <c r="V631">
        <v>0</v>
      </c>
      <c r="W631" s="2">
        <v>38545</v>
      </c>
      <c r="X631" s="2">
        <v>38545</v>
      </c>
      <c r="Z631" t="str">
        <f>"Y"</f>
        <v>Y</v>
      </c>
      <c r="AA631">
        <v>0</v>
      </c>
      <c r="AC631">
        <v>0</v>
      </c>
      <c r="AE631">
        <v>0</v>
      </c>
      <c r="AF631">
        <v>0</v>
      </c>
      <c r="AG631" s="2">
        <v>131322.82</v>
      </c>
      <c r="AH631">
        <v>0</v>
      </c>
      <c r="AI631" s="2">
        <v>131322.82</v>
      </c>
      <c r="AJ631" s="2">
        <v>38545</v>
      </c>
      <c r="AK631" s="2">
        <v>38545</v>
      </c>
      <c r="AL631" t="str">
        <f>"$"</f>
        <v>$</v>
      </c>
    </row>
    <row r="632" spans="1:38" x14ac:dyDescent="0.3">
      <c r="A632" t="str">
        <f>"SO20000418"</f>
        <v>SO20000418</v>
      </c>
      <c r="B632" t="str">
        <f>"E000320964"</f>
        <v>E000320964</v>
      </c>
      <c r="C632" t="str">
        <f>"בוצעה"</f>
        <v>בוצעה</v>
      </c>
      <c r="E632" s="3">
        <v>44083</v>
      </c>
      <c r="F632" s="3">
        <v>44741</v>
      </c>
      <c r="G632" t="str">
        <f>"700065"</f>
        <v>700065</v>
      </c>
      <c r="H632" t="str">
        <f>"אלתא מערכות בע""מ"</f>
        <v>אלתא מערכות בע"מ</v>
      </c>
      <c r="I632" t="str">
        <f>"ערן שלו"</f>
        <v>ערן שלו</v>
      </c>
      <c r="J632" t="str">
        <f>"cust000974"</f>
        <v>cust000974</v>
      </c>
      <c r="K632" s="1" t="str">
        <f>"PDB  1 1038C860-001 אלתא"</f>
        <v>PDB  1 1038C860-001 אלתא</v>
      </c>
      <c r="L632">
        <v>1</v>
      </c>
      <c r="O632">
        <v>0</v>
      </c>
      <c r="P632" t="str">
        <f>"$"</f>
        <v>$</v>
      </c>
      <c r="Q632" t="str">
        <f>"118"</f>
        <v>118</v>
      </c>
      <c r="R632" t="str">
        <f>"מערכות"</f>
        <v>מערכות</v>
      </c>
      <c r="S632" t="str">
        <f>"034"</f>
        <v>034</v>
      </c>
      <c r="T632" t="str">
        <f>"מוסקוביץ אולגה"</f>
        <v>מוסקוביץ אולגה</v>
      </c>
      <c r="U632">
        <v>0</v>
      </c>
      <c r="V632">
        <v>0</v>
      </c>
      <c r="W632">
        <v>0</v>
      </c>
      <c r="X632">
        <v>0</v>
      </c>
      <c r="Z632" t="str">
        <f>"Y"</f>
        <v>Y</v>
      </c>
      <c r="AA632">
        <v>0</v>
      </c>
      <c r="AC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 t="str">
        <f>"$"</f>
        <v>$</v>
      </c>
    </row>
    <row r="633" spans="1:38" x14ac:dyDescent="0.3">
      <c r="A633" t="str">
        <f>"SO20000418"</f>
        <v>SO20000418</v>
      </c>
      <c r="B633" t="str">
        <f>"E000320964"</f>
        <v>E000320964</v>
      </c>
      <c r="C633" t="str">
        <f>"בוצעה"</f>
        <v>בוצעה</v>
      </c>
      <c r="E633" s="3">
        <v>44083</v>
      </c>
      <c r="F633" s="3">
        <v>44226</v>
      </c>
      <c r="G633" t="str">
        <f>"700065"</f>
        <v>700065</v>
      </c>
      <c r="H633" t="str">
        <f>"אלתא מערכות בע""מ"</f>
        <v>אלתא מערכות בע"מ</v>
      </c>
      <c r="I633" t="str">
        <f>"ערן שלו"</f>
        <v>ערן שלו</v>
      </c>
      <c r="J633" t="str">
        <f>"OP-AR02042"</f>
        <v>OP-AR02042</v>
      </c>
      <c r="K633" s="1" t="str">
        <f>"PDB2  1038C870-001"</f>
        <v>PDB2  1038C870-001</v>
      </c>
      <c r="L633">
        <v>1</v>
      </c>
      <c r="M633" t="str">
        <f>"PR20000654"</f>
        <v>PR20000654</v>
      </c>
      <c r="N633" t="str">
        <f>"01/   PDB 2 1038C870-001"</f>
        <v>01/   PDB 2 1038C870-001</v>
      </c>
      <c r="O633" s="2">
        <v>26985</v>
      </c>
      <c r="P633" t="str">
        <f>"$"</f>
        <v>$</v>
      </c>
      <c r="Q633" t="str">
        <f>"118"</f>
        <v>118</v>
      </c>
      <c r="R633" t="str">
        <f>"מערכות"</f>
        <v>מערכות</v>
      </c>
      <c r="S633" t="str">
        <f>"034"</f>
        <v>034</v>
      </c>
      <c r="T633" t="str">
        <f>"מוסקוביץ אולגה"</f>
        <v>מוסקוביץ אולגה</v>
      </c>
      <c r="U633">
        <v>0</v>
      </c>
      <c r="V633">
        <v>0</v>
      </c>
      <c r="W633" s="2">
        <v>26985</v>
      </c>
      <c r="X633" s="2">
        <v>26985</v>
      </c>
      <c r="Z633" t="str">
        <f>"Y"</f>
        <v>Y</v>
      </c>
      <c r="AA633">
        <v>0</v>
      </c>
      <c r="AC633">
        <v>0</v>
      </c>
      <c r="AE633">
        <v>0</v>
      </c>
      <c r="AF633">
        <v>0</v>
      </c>
      <c r="AG633" s="2">
        <v>91937.9</v>
      </c>
      <c r="AH633">
        <v>0</v>
      </c>
      <c r="AI633" s="2">
        <v>91937.9</v>
      </c>
      <c r="AJ633" s="2">
        <v>26985</v>
      </c>
      <c r="AK633" s="2">
        <v>26985</v>
      </c>
      <c r="AL633" t="str">
        <f>"$"</f>
        <v>$</v>
      </c>
    </row>
    <row r="634" spans="1:38" x14ac:dyDescent="0.3">
      <c r="A634" t="str">
        <f>"SO20000418"</f>
        <v>SO20000418</v>
      </c>
      <c r="B634" t="str">
        <f>"E000320964"</f>
        <v>E000320964</v>
      </c>
      <c r="C634" t="str">
        <f>"בוצעה"</f>
        <v>בוצעה</v>
      </c>
      <c r="E634" s="3">
        <v>44083</v>
      </c>
      <c r="F634" s="3">
        <v>44407</v>
      </c>
      <c r="G634" t="str">
        <f>"700065"</f>
        <v>700065</v>
      </c>
      <c r="H634" t="str">
        <f>"אלתא מערכות בע""מ"</f>
        <v>אלתא מערכות בע"מ</v>
      </c>
      <c r="I634" t="str">
        <f>"ערן שלו"</f>
        <v>ערן שלו</v>
      </c>
      <c r="J634" t="str">
        <f>"OP-AR02042"</f>
        <v>OP-AR02042</v>
      </c>
      <c r="K634" s="1" t="str">
        <f>"PDB2  1038C870-001"</f>
        <v>PDB2  1038C870-001</v>
      </c>
      <c r="L634">
        <v>1</v>
      </c>
      <c r="M634" t="str">
        <f>"PR20000655"</f>
        <v>PR20000655</v>
      </c>
      <c r="N634" t="str">
        <f>"02/   PDB 2 1038C870-001"</f>
        <v>02/   PDB 2 1038C870-001</v>
      </c>
      <c r="O634" s="2">
        <v>26985</v>
      </c>
      <c r="P634" t="str">
        <f>"$"</f>
        <v>$</v>
      </c>
      <c r="Q634" t="str">
        <f>"118"</f>
        <v>118</v>
      </c>
      <c r="R634" t="str">
        <f>"מערכות"</f>
        <v>מערכות</v>
      </c>
      <c r="S634" t="str">
        <f>"034"</f>
        <v>034</v>
      </c>
      <c r="T634" t="str">
        <f>"מוסקוביץ אולגה"</f>
        <v>מוסקוביץ אולגה</v>
      </c>
      <c r="U634">
        <v>0</v>
      </c>
      <c r="V634">
        <v>0</v>
      </c>
      <c r="W634" s="2">
        <v>26985</v>
      </c>
      <c r="X634" s="2">
        <v>26985</v>
      </c>
      <c r="Z634" t="str">
        <f>"Y"</f>
        <v>Y</v>
      </c>
      <c r="AA634">
        <v>0</v>
      </c>
      <c r="AC634">
        <v>0</v>
      </c>
      <c r="AE634">
        <v>0</v>
      </c>
      <c r="AF634">
        <v>0</v>
      </c>
      <c r="AG634" s="2">
        <v>91937.9</v>
      </c>
      <c r="AH634">
        <v>0</v>
      </c>
      <c r="AI634" s="2">
        <v>91937.9</v>
      </c>
      <c r="AJ634" s="2">
        <v>26985</v>
      </c>
      <c r="AK634" s="2">
        <v>26985</v>
      </c>
      <c r="AL634" t="str">
        <f>"$"</f>
        <v>$</v>
      </c>
    </row>
    <row r="635" spans="1:38" x14ac:dyDescent="0.3">
      <c r="A635" t="str">
        <f>"SO20000418"</f>
        <v>SO20000418</v>
      </c>
      <c r="B635" t="str">
        <f>"E000320964"</f>
        <v>E000320964</v>
      </c>
      <c r="C635" t="str">
        <f>"בוצעה"</f>
        <v>בוצעה</v>
      </c>
      <c r="E635" s="3">
        <v>44083</v>
      </c>
      <c r="F635" s="3">
        <v>44620</v>
      </c>
      <c r="G635" t="str">
        <f>"700065"</f>
        <v>700065</v>
      </c>
      <c r="H635" t="str">
        <f>"אלתא מערכות בע""מ"</f>
        <v>אלתא מערכות בע"מ</v>
      </c>
      <c r="I635" t="str">
        <f>"ערן שלו"</f>
        <v>ערן שלו</v>
      </c>
      <c r="J635" t="str">
        <f>"OP-AR02042"</f>
        <v>OP-AR02042</v>
      </c>
      <c r="K635" s="1" t="str">
        <f>"PDB2  1038C870-001"</f>
        <v>PDB2  1038C870-001</v>
      </c>
      <c r="L635">
        <v>1</v>
      </c>
      <c r="M635" t="str">
        <f>"PR20000656"</f>
        <v>PR20000656</v>
      </c>
      <c r="N635" t="str">
        <f>"03/   PDB 2 1038C870-001"</f>
        <v>03/   PDB 2 1038C870-001</v>
      </c>
      <c r="O635" s="2">
        <v>26985</v>
      </c>
      <c r="P635" t="str">
        <f>"$"</f>
        <v>$</v>
      </c>
      <c r="Q635" t="str">
        <f>"118"</f>
        <v>118</v>
      </c>
      <c r="R635" t="str">
        <f>"מערכות"</f>
        <v>מערכות</v>
      </c>
      <c r="S635" t="str">
        <f>"034"</f>
        <v>034</v>
      </c>
      <c r="T635" t="str">
        <f>"מוסקוביץ אולגה"</f>
        <v>מוסקוביץ אולגה</v>
      </c>
      <c r="U635">
        <v>0</v>
      </c>
      <c r="V635">
        <v>0</v>
      </c>
      <c r="W635" s="2">
        <v>26985</v>
      </c>
      <c r="X635" s="2">
        <v>26985</v>
      </c>
      <c r="Z635" t="str">
        <f>"Y"</f>
        <v>Y</v>
      </c>
      <c r="AA635">
        <v>0</v>
      </c>
      <c r="AC635">
        <v>0</v>
      </c>
      <c r="AE635">
        <v>0</v>
      </c>
      <c r="AF635">
        <v>0</v>
      </c>
      <c r="AG635" s="2">
        <v>91937.9</v>
      </c>
      <c r="AH635">
        <v>0</v>
      </c>
      <c r="AI635" s="2">
        <v>91937.9</v>
      </c>
      <c r="AJ635" s="2">
        <v>26985</v>
      </c>
      <c r="AK635" s="2">
        <v>26985</v>
      </c>
      <c r="AL635" t="str">
        <f>"$"</f>
        <v>$</v>
      </c>
    </row>
    <row r="636" spans="1:38" x14ac:dyDescent="0.3">
      <c r="A636" t="str">
        <f>"SO20000418"</f>
        <v>SO20000418</v>
      </c>
      <c r="B636" t="str">
        <f>"E000320964"</f>
        <v>E000320964</v>
      </c>
      <c r="C636" t="str">
        <f>"בוצעה"</f>
        <v>בוצעה</v>
      </c>
      <c r="E636" s="3">
        <v>44083</v>
      </c>
      <c r="F636" s="3">
        <v>44620</v>
      </c>
      <c r="G636" t="str">
        <f>"700065"</f>
        <v>700065</v>
      </c>
      <c r="H636" t="str">
        <f>"אלתא מערכות בע""מ"</f>
        <v>אלתא מערכות בע"מ</v>
      </c>
      <c r="I636" t="str">
        <f>"ערן שלו"</f>
        <v>ערן שלו</v>
      </c>
      <c r="J636" t="str">
        <f>"OP-AR02042"</f>
        <v>OP-AR02042</v>
      </c>
      <c r="K636" s="1" t="str">
        <f>"PDB2  1038C870-001"</f>
        <v>PDB2  1038C870-001</v>
      </c>
      <c r="L636">
        <v>1</v>
      </c>
      <c r="M636" t="str">
        <f>"PR20000657"</f>
        <v>PR20000657</v>
      </c>
      <c r="N636" t="str">
        <f>"04/   PDB 2 1038C870-001"</f>
        <v>04/   PDB 2 1038C870-001</v>
      </c>
      <c r="O636" s="2">
        <v>26985</v>
      </c>
      <c r="P636" t="str">
        <f>"$"</f>
        <v>$</v>
      </c>
      <c r="Q636" t="str">
        <f>"118"</f>
        <v>118</v>
      </c>
      <c r="R636" t="str">
        <f>"מערכות"</f>
        <v>מערכות</v>
      </c>
      <c r="S636" t="str">
        <f>"034"</f>
        <v>034</v>
      </c>
      <c r="T636" t="str">
        <f>"מוסקוביץ אולגה"</f>
        <v>מוסקוביץ אולגה</v>
      </c>
      <c r="U636">
        <v>0</v>
      </c>
      <c r="V636">
        <v>0</v>
      </c>
      <c r="W636" s="2">
        <v>26985</v>
      </c>
      <c r="X636" s="2">
        <v>26985</v>
      </c>
      <c r="Z636" t="str">
        <f>"Y"</f>
        <v>Y</v>
      </c>
      <c r="AA636">
        <v>0</v>
      </c>
      <c r="AC636">
        <v>0</v>
      </c>
      <c r="AE636">
        <v>0</v>
      </c>
      <c r="AF636">
        <v>0</v>
      </c>
      <c r="AG636" s="2">
        <v>91937.9</v>
      </c>
      <c r="AH636">
        <v>0</v>
      </c>
      <c r="AI636" s="2">
        <v>91937.9</v>
      </c>
      <c r="AJ636" s="2">
        <v>26985</v>
      </c>
      <c r="AK636" s="2">
        <v>26985</v>
      </c>
      <c r="AL636" t="str">
        <f>"$"</f>
        <v>$</v>
      </c>
    </row>
    <row r="637" spans="1:38" x14ac:dyDescent="0.3">
      <c r="A637" t="str">
        <f>"SO20000418"</f>
        <v>SO20000418</v>
      </c>
      <c r="B637" t="str">
        <f>"E000320964"</f>
        <v>E000320964</v>
      </c>
      <c r="C637" t="str">
        <f>"בוצעה"</f>
        <v>בוצעה</v>
      </c>
      <c r="E637" s="3">
        <v>44083</v>
      </c>
      <c r="F637" s="3">
        <v>44742</v>
      </c>
      <c r="G637" t="str">
        <f>"700065"</f>
        <v>700065</v>
      </c>
      <c r="H637" t="str">
        <f>"אלתא מערכות בע""מ"</f>
        <v>אלתא מערכות בע"מ</v>
      </c>
      <c r="I637" t="str">
        <f>"ערן שלו"</f>
        <v>ערן שלו</v>
      </c>
      <c r="J637" t="str">
        <f>"OP-AR02042"</f>
        <v>OP-AR02042</v>
      </c>
      <c r="K637" s="1" t="str">
        <f>"PDB2  1038C870-001"</f>
        <v>PDB2  1038C870-001</v>
      </c>
      <c r="L637">
        <v>2</v>
      </c>
      <c r="M637" t="str">
        <f>"PR20000658"</f>
        <v>PR20000658</v>
      </c>
      <c r="N637" t="str">
        <f>"05/   PDB 2 1038C870-001"</f>
        <v>05/   PDB 2 1038C870-001</v>
      </c>
      <c r="O637" s="2">
        <v>26985</v>
      </c>
      <c r="P637" t="str">
        <f>"$"</f>
        <v>$</v>
      </c>
      <c r="Q637" t="str">
        <f>"118"</f>
        <v>118</v>
      </c>
      <c r="R637" t="str">
        <f>"מערכות"</f>
        <v>מערכות</v>
      </c>
      <c r="S637" t="str">
        <f>"034"</f>
        <v>034</v>
      </c>
      <c r="T637" t="str">
        <f>"מוסקוביץ אולגה"</f>
        <v>מוסקוביץ אולגה</v>
      </c>
      <c r="U637">
        <v>0</v>
      </c>
      <c r="V637">
        <v>0</v>
      </c>
      <c r="W637" s="2">
        <v>26985</v>
      </c>
      <c r="X637" s="2">
        <v>53970</v>
      </c>
      <c r="Z637" t="str">
        <f>"Y"</f>
        <v>Y</v>
      </c>
      <c r="AA637">
        <v>0</v>
      </c>
      <c r="AC637">
        <v>0</v>
      </c>
      <c r="AE637">
        <v>0</v>
      </c>
      <c r="AF637">
        <v>0</v>
      </c>
      <c r="AG637" s="2">
        <v>91937.9</v>
      </c>
      <c r="AH637">
        <v>0</v>
      </c>
      <c r="AI637" s="2">
        <v>183875.79</v>
      </c>
      <c r="AJ637" s="2">
        <v>53970</v>
      </c>
      <c r="AK637" s="2">
        <v>53970</v>
      </c>
      <c r="AL637" t="str">
        <f>"$"</f>
        <v>$</v>
      </c>
    </row>
    <row r="638" spans="1:38" x14ac:dyDescent="0.3">
      <c r="A638" t="str">
        <f>"SO20000418"</f>
        <v>SO20000418</v>
      </c>
      <c r="B638" t="str">
        <f>"E000320964"</f>
        <v>E000320964</v>
      </c>
      <c r="C638" t="str">
        <f>"בוצעה"</f>
        <v>בוצעה</v>
      </c>
      <c r="E638" s="3">
        <v>44083</v>
      </c>
      <c r="F638" s="3">
        <v>44929</v>
      </c>
      <c r="G638" t="str">
        <f>"700065"</f>
        <v>700065</v>
      </c>
      <c r="H638" t="str">
        <f>"אלתא מערכות בע""מ"</f>
        <v>אלתא מערכות בע"מ</v>
      </c>
      <c r="I638" t="str">
        <f>"ערן שלו"</f>
        <v>ערן שלו</v>
      </c>
      <c r="J638" t="str">
        <f>"000"</f>
        <v>000</v>
      </c>
      <c r="K638" s="1" t="str">
        <f>"PDB 2    1038C870-001"</f>
        <v>PDB 2    1038C870-001</v>
      </c>
      <c r="L638">
        <v>1</v>
      </c>
      <c r="O638">
        <v>0</v>
      </c>
      <c r="P638" t="str">
        <f>"$"</f>
        <v>$</v>
      </c>
      <c r="Q638" t="str">
        <f>"118"</f>
        <v>118</v>
      </c>
      <c r="R638" t="str">
        <f>"מערכות"</f>
        <v>מערכות</v>
      </c>
      <c r="S638" t="str">
        <f>"034"</f>
        <v>034</v>
      </c>
      <c r="T638" t="str">
        <f>"מוסקוביץ אולגה"</f>
        <v>מוסקוביץ אולגה</v>
      </c>
      <c r="U638">
        <v>0</v>
      </c>
      <c r="V638">
        <v>0</v>
      </c>
      <c r="W638">
        <v>0</v>
      </c>
      <c r="X638">
        <v>0</v>
      </c>
      <c r="Z638" t="str">
        <f>"Y"</f>
        <v>Y</v>
      </c>
      <c r="AA638">
        <v>0</v>
      </c>
      <c r="AC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 t="str">
        <f>"$"</f>
        <v>$</v>
      </c>
    </row>
    <row r="639" spans="1:38" x14ac:dyDescent="0.3">
      <c r="A639" t="str">
        <f>"SO20000418"</f>
        <v>SO20000418</v>
      </c>
      <c r="B639" t="str">
        <f>"E000320964"</f>
        <v>E000320964</v>
      </c>
      <c r="C639" t="str">
        <f>"בוצעה"</f>
        <v>בוצעה</v>
      </c>
      <c r="E639" s="3">
        <v>44083</v>
      </c>
      <c r="F639" s="3">
        <v>44665</v>
      </c>
      <c r="G639" t="str">
        <f>"700065"</f>
        <v>700065</v>
      </c>
      <c r="H639" t="str">
        <f>"אלתא מערכות בע""מ"</f>
        <v>אלתא מערכות בע"מ</v>
      </c>
      <c r="I639" t="str">
        <f>"ערן שלו"</f>
        <v>ערן שלו</v>
      </c>
      <c r="J639" t="str">
        <f>"OP-AR02042"</f>
        <v>OP-AR02042</v>
      </c>
      <c r="K639" s="1" t="str">
        <f>"PDB2  1038C870-001"</f>
        <v>PDB2  1038C870-001</v>
      </c>
      <c r="L639">
        <v>0</v>
      </c>
      <c r="M639" t="str">
        <f>"PR20000659"</f>
        <v>PR20000659</v>
      </c>
      <c r="N639" t="str">
        <f>"06/   PDB 2 1038C870-001"</f>
        <v>06/   PDB 2 1038C870-001</v>
      </c>
      <c r="O639">
        <v>0</v>
      </c>
      <c r="P639" t="str">
        <f>"$"</f>
        <v>$</v>
      </c>
      <c r="Q639" t="str">
        <f>"118"</f>
        <v>118</v>
      </c>
      <c r="R639" t="str">
        <f>"מערכות"</f>
        <v>מערכות</v>
      </c>
      <c r="S639" t="str">
        <f>"034"</f>
        <v>034</v>
      </c>
      <c r="T639" t="str">
        <f>"מוסקוביץ אולגה"</f>
        <v>מוסקוביץ אולגה</v>
      </c>
      <c r="U639">
        <v>0</v>
      </c>
      <c r="V639">
        <v>0</v>
      </c>
      <c r="W639">
        <v>0</v>
      </c>
      <c r="X639">
        <v>0</v>
      </c>
      <c r="Z639" t="str">
        <f>"Y"</f>
        <v>Y</v>
      </c>
      <c r="AA639">
        <v>0</v>
      </c>
      <c r="AC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 t="str">
        <f>"$"</f>
        <v>$</v>
      </c>
    </row>
    <row r="640" spans="1:38" x14ac:dyDescent="0.3">
      <c r="A640" t="str">
        <f>"SO20000418"</f>
        <v>SO20000418</v>
      </c>
      <c r="B640" t="str">
        <f>"E000320964"</f>
        <v>E000320964</v>
      </c>
      <c r="C640" t="str">
        <f>"בוצעה"</f>
        <v>בוצעה</v>
      </c>
      <c r="E640" s="3">
        <v>44083</v>
      </c>
      <c r="F640" s="3">
        <v>44803</v>
      </c>
      <c r="G640" t="str">
        <f>"700065"</f>
        <v>700065</v>
      </c>
      <c r="H640" t="str">
        <f>"אלתא מערכות בע""מ"</f>
        <v>אלתא מערכות בע"מ</v>
      </c>
      <c r="I640" t="str">
        <f>"ערן שלו"</f>
        <v>ערן שלו</v>
      </c>
      <c r="J640" t="str">
        <f>"OP-AR02042"</f>
        <v>OP-AR02042</v>
      </c>
      <c r="K640" s="1" t="str">
        <f>"PDB2  1038C870-001"</f>
        <v>PDB2  1038C870-001</v>
      </c>
      <c r="L640">
        <v>1</v>
      </c>
      <c r="M640" t="str">
        <f>"PR20000660"</f>
        <v>PR20000660</v>
      </c>
      <c r="N640" t="str">
        <f>"07/   PDB 2 1038C870-001"</f>
        <v>07/   PDB 2 1038C870-001</v>
      </c>
      <c r="O640" s="2">
        <v>26985</v>
      </c>
      <c r="P640" t="str">
        <f>"$"</f>
        <v>$</v>
      </c>
      <c r="Q640" t="str">
        <f>"118"</f>
        <v>118</v>
      </c>
      <c r="R640" t="str">
        <f>"מערכות"</f>
        <v>מערכות</v>
      </c>
      <c r="S640" t="str">
        <f>"034"</f>
        <v>034</v>
      </c>
      <c r="T640" t="str">
        <f>"מוסקוביץ אולגה"</f>
        <v>מוסקוביץ אולגה</v>
      </c>
      <c r="U640">
        <v>0</v>
      </c>
      <c r="V640">
        <v>0</v>
      </c>
      <c r="W640" s="2">
        <v>26985</v>
      </c>
      <c r="X640" s="2">
        <v>26985</v>
      </c>
      <c r="Z640" t="str">
        <f>"Y"</f>
        <v>Y</v>
      </c>
      <c r="AA640">
        <v>1</v>
      </c>
      <c r="AC640">
        <v>0</v>
      </c>
      <c r="AE640">
        <v>0</v>
      </c>
      <c r="AF640">
        <v>0</v>
      </c>
      <c r="AG640" s="2">
        <v>91937.9</v>
      </c>
      <c r="AH640">
        <v>0</v>
      </c>
      <c r="AI640" s="2">
        <v>91937.9</v>
      </c>
      <c r="AJ640" s="2">
        <v>26985</v>
      </c>
      <c r="AK640" s="2">
        <v>26985</v>
      </c>
      <c r="AL640" t="str">
        <f>"$"</f>
        <v>$</v>
      </c>
    </row>
    <row r="641" spans="1:38" x14ac:dyDescent="0.3">
      <c r="A641" t="str">
        <f>"SO20000418"</f>
        <v>SO20000418</v>
      </c>
      <c r="B641" t="str">
        <f>"E000320964"</f>
        <v>E000320964</v>
      </c>
      <c r="C641" t="str">
        <f>"בוצעה"</f>
        <v>בוצעה</v>
      </c>
      <c r="E641" s="3">
        <v>44083</v>
      </c>
      <c r="F641" s="3">
        <v>44711</v>
      </c>
      <c r="G641" t="str">
        <f>"700065"</f>
        <v>700065</v>
      </c>
      <c r="H641" t="str">
        <f>"אלתא מערכות בע""מ"</f>
        <v>אלתא מערכות בע"מ</v>
      </c>
      <c r="I641" t="str">
        <f>"ערן שלו"</f>
        <v>ערן שלו</v>
      </c>
      <c r="J641" t="str">
        <f>"OP-AR02042"</f>
        <v>OP-AR02042</v>
      </c>
      <c r="K641" s="1" t="str">
        <f>"PDB2  1038C870-001"</f>
        <v>PDB2  1038C870-001</v>
      </c>
      <c r="L641">
        <v>1</v>
      </c>
      <c r="M641" t="str">
        <f>"PR20000661"</f>
        <v>PR20000661</v>
      </c>
      <c r="N641" t="str">
        <f>"08/ PDB 2 1038C870-001"</f>
        <v>08/ PDB 2 1038C870-001</v>
      </c>
      <c r="O641" s="2">
        <v>26985</v>
      </c>
      <c r="P641" t="str">
        <f>"$"</f>
        <v>$</v>
      </c>
      <c r="Q641" t="str">
        <f>"118"</f>
        <v>118</v>
      </c>
      <c r="R641" t="str">
        <f>"מערכות"</f>
        <v>מערכות</v>
      </c>
      <c r="S641" t="str">
        <f>"034"</f>
        <v>034</v>
      </c>
      <c r="T641" t="str">
        <f>"מוסקוביץ אולגה"</f>
        <v>מוסקוביץ אולגה</v>
      </c>
      <c r="U641">
        <v>0</v>
      </c>
      <c r="V641">
        <v>0</v>
      </c>
      <c r="W641" s="2">
        <v>26985</v>
      </c>
      <c r="X641" s="2">
        <v>26985</v>
      </c>
      <c r="Z641" t="str">
        <f>"Y"</f>
        <v>Y</v>
      </c>
      <c r="AA641">
        <v>0</v>
      </c>
      <c r="AC641">
        <v>0</v>
      </c>
      <c r="AE641">
        <v>0</v>
      </c>
      <c r="AF641">
        <v>0</v>
      </c>
      <c r="AG641" s="2">
        <v>91937.9</v>
      </c>
      <c r="AH641">
        <v>0</v>
      </c>
      <c r="AI641" s="2">
        <v>91937.9</v>
      </c>
      <c r="AJ641" s="2">
        <v>26985</v>
      </c>
      <c r="AK641" s="2">
        <v>26985</v>
      </c>
      <c r="AL641" t="str">
        <f>"$"</f>
        <v>$</v>
      </c>
    </row>
    <row r="642" spans="1:38" x14ac:dyDescent="0.3">
      <c r="A642" t="str">
        <f>"SO20000418"</f>
        <v>SO20000418</v>
      </c>
      <c r="B642" t="str">
        <f>"E000320964"</f>
        <v>E000320964</v>
      </c>
      <c r="C642" t="str">
        <f>"בוצעה"</f>
        <v>בוצעה</v>
      </c>
      <c r="E642" s="3">
        <v>44083</v>
      </c>
      <c r="F642" s="3">
        <v>44928</v>
      </c>
      <c r="G642" t="str">
        <f>"700065"</f>
        <v>700065</v>
      </c>
      <c r="H642" t="str">
        <f>"אלתא מערכות בע""מ"</f>
        <v>אלתא מערכות בע"מ</v>
      </c>
      <c r="I642" t="str">
        <f>"ערן שלו"</f>
        <v>ערן שלו</v>
      </c>
      <c r="J642" t="str">
        <f>"000"</f>
        <v>000</v>
      </c>
      <c r="K642" s="1" t="str">
        <f>"PDB  1 1038C860-001"</f>
        <v>PDB  1 1038C860-001</v>
      </c>
      <c r="L642">
        <v>1</v>
      </c>
      <c r="O642">
        <v>0</v>
      </c>
      <c r="P642" t="str">
        <f>"$"</f>
        <v>$</v>
      </c>
      <c r="Q642" t="str">
        <f>"118"</f>
        <v>118</v>
      </c>
      <c r="R642" t="str">
        <f>"מערכות"</f>
        <v>מערכות</v>
      </c>
      <c r="S642" t="str">
        <f>"034"</f>
        <v>034</v>
      </c>
      <c r="T642" t="str">
        <f>"מוסקוביץ אולגה"</f>
        <v>מוסקוביץ אולגה</v>
      </c>
      <c r="U642">
        <v>0</v>
      </c>
      <c r="V642">
        <v>0</v>
      </c>
      <c r="W642">
        <v>0</v>
      </c>
      <c r="X642">
        <v>0</v>
      </c>
      <c r="Z642" t="str">
        <f>"Y"</f>
        <v>Y</v>
      </c>
      <c r="AA642">
        <v>0</v>
      </c>
      <c r="AC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 t="str">
        <f>"$"</f>
        <v>$</v>
      </c>
    </row>
    <row r="643" spans="1:38" x14ac:dyDescent="0.3">
      <c r="A643" t="str">
        <f>"SO20000418"</f>
        <v>SO20000418</v>
      </c>
      <c r="B643" t="str">
        <f>"E000320964"</f>
        <v>E000320964</v>
      </c>
      <c r="C643" t="str">
        <f>"בוצעה"</f>
        <v>בוצעה</v>
      </c>
      <c r="E643" s="3">
        <v>44083</v>
      </c>
      <c r="F643" s="3">
        <v>44929</v>
      </c>
      <c r="G643" t="str">
        <f>"700065"</f>
        <v>700065</v>
      </c>
      <c r="H643" t="str">
        <f>"אלתא מערכות בע""מ"</f>
        <v>אלתא מערכות בע"מ</v>
      </c>
      <c r="I643" t="str">
        <f>"ערן שלו"</f>
        <v>ערן שלו</v>
      </c>
      <c r="J643" t="str">
        <f>"000"</f>
        <v>000</v>
      </c>
      <c r="K643" s="1" t="str">
        <f>"PDB 2    1038C870-001"</f>
        <v>PDB 2    1038C870-001</v>
      </c>
      <c r="L643">
        <v>1</v>
      </c>
      <c r="O643">
        <v>0</v>
      </c>
      <c r="P643" t="str">
        <f>"$"</f>
        <v>$</v>
      </c>
      <c r="Q643" t="str">
        <f>"118"</f>
        <v>118</v>
      </c>
      <c r="R643" t="str">
        <f>"מערכות"</f>
        <v>מערכות</v>
      </c>
      <c r="S643" t="str">
        <f>"034"</f>
        <v>034</v>
      </c>
      <c r="T643" t="str">
        <f>"מוסקוביץ אולגה"</f>
        <v>מוסקוביץ אולגה</v>
      </c>
      <c r="U643">
        <v>0</v>
      </c>
      <c r="V643">
        <v>0</v>
      </c>
      <c r="W643">
        <v>0</v>
      </c>
      <c r="X643">
        <v>0</v>
      </c>
      <c r="Z643" t="str">
        <f>"Y"</f>
        <v>Y</v>
      </c>
      <c r="AA643">
        <v>1</v>
      </c>
      <c r="AC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 t="str">
        <f>"$"</f>
        <v>$</v>
      </c>
    </row>
    <row r="644" spans="1:38" x14ac:dyDescent="0.3">
      <c r="A644" t="str">
        <f>"SO20000423"</f>
        <v>SO20000423</v>
      </c>
      <c r="B644" t="str">
        <f>"E000321674"</f>
        <v>E000321674</v>
      </c>
      <c r="C644" t="str">
        <f>"בוצעה"</f>
        <v>בוצעה</v>
      </c>
      <c r="E644" s="3">
        <v>44096</v>
      </c>
      <c r="F644" s="3">
        <v>44742</v>
      </c>
      <c r="G644" t="str">
        <f>"700065"</f>
        <v>700065</v>
      </c>
      <c r="H644" t="str">
        <f>"אלתא מערכות בע""מ"</f>
        <v>אלתא מערכות בע"מ</v>
      </c>
      <c r="I644" t="str">
        <f>"ערן שלו"</f>
        <v>ערן שלו</v>
      </c>
      <c r="J644" t="str">
        <f>"OP-AR02029"</f>
        <v>OP-AR02029</v>
      </c>
      <c r="K644" s="1" t="str">
        <f>"1031W180-001 PDB ADDITIONAL PARTS"</f>
        <v>1031W180-001 PDB ADDITIONAL PARTS</v>
      </c>
      <c r="L644">
        <v>1</v>
      </c>
      <c r="M644" t="str">
        <f>"PR20000516"</f>
        <v>PR20000516</v>
      </c>
      <c r="N644" t="str">
        <f>"ייצור ספקים לגלקטיקה"</f>
        <v>ייצור ספקים לגלקטיקה</v>
      </c>
      <c r="O644" s="2">
        <v>16500</v>
      </c>
      <c r="P644" t="str">
        <f>"$"</f>
        <v>$</v>
      </c>
      <c r="Q644" t="str">
        <f>"118"</f>
        <v>118</v>
      </c>
      <c r="R644" t="str">
        <f>"מערכות"</f>
        <v>מערכות</v>
      </c>
      <c r="S644" t="str">
        <f>"034"</f>
        <v>034</v>
      </c>
      <c r="T644" t="str">
        <f>"חן בזק"</f>
        <v>חן בזק</v>
      </c>
      <c r="U644">
        <v>0</v>
      </c>
      <c r="V644">
        <v>0</v>
      </c>
      <c r="W644" s="2">
        <v>16500</v>
      </c>
      <c r="X644" s="2">
        <v>16500</v>
      </c>
      <c r="Z644" t="str">
        <f>"Y"</f>
        <v>Y</v>
      </c>
      <c r="AA644">
        <v>0</v>
      </c>
      <c r="AC644">
        <v>0</v>
      </c>
      <c r="AE644">
        <v>0</v>
      </c>
      <c r="AF644">
        <v>0</v>
      </c>
      <c r="AG644" s="2">
        <v>56776.5</v>
      </c>
      <c r="AH644">
        <v>0</v>
      </c>
      <c r="AI644" s="2">
        <v>56776.5</v>
      </c>
      <c r="AJ644" s="2">
        <v>16500</v>
      </c>
      <c r="AK644" s="2">
        <v>16500</v>
      </c>
      <c r="AL644" t="str">
        <f>"$"</f>
        <v>$</v>
      </c>
    </row>
    <row r="645" spans="1:38" x14ac:dyDescent="0.3">
      <c r="A645" t="str">
        <f>"SO20000424"</f>
        <v>SO20000424</v>
      </c>
      <c r="B645" t="str">
        <f>"E000321151"</f>
        <v>E000321151</v>
      </c>
      <c r="C645" t="str">
        <f>"בוצעה"</f>
        <v>בוצעה</v>
      </c>
      <c r="E645" s="3">
        <v>44096</v>
      </c>
      <c r="F645" s="3">
        <v>44175</v>
      </c>
      <c r="G645" t="str">
        <f>"700065"</f>
        <v>700065</v>
      </c>
      <c r="H645" t="str">
        <f>"אלתא מערכות בע""מ"</f>
        <v>אלתא מערכות בע"מ</v>
      </c>
      <c r="I645" t="str">
        <f>"ערן שלו"</f>
        <v>ערן שלו</v>
      </c>
      <c r="J645" t="str">
        <f>"PS0300006"</f>
        <v>PS0300006</v>
      </c>
      <c r="K645" s="1" t="str">
        <f>"TSI-EPC - 380Vac-Module BRAVO"</f>
        <v>TSI-EPC - 380Vac-Module BRAVO</v>
      </c>
      <c r="L645">
        <v>1</v>
      </c>
      <c r="M645" t="str">
        <f>"PR20000644"</f>
        <v>PR20000644</v>
      </c>
      <c r="N645" t="str">
        <f>"PS0300006 תיקון"</f>
        <v>PS0300006 תיקון</v>
      </c>
      <c r="O645">
        <v>0</v>
      </c>
      <c r="P645" t="str">
        <f>"$"</f>
        <v>$</v>
      </c>
      <c r="Q645" t="str">
        <f>"000"</f>
        <v>000</v>
      </c>
      <c r="R645" t="str">
        <f>"כללית"</f>
        <v>כללית</v>
      </c>
      <c r="S645" t="str">
        <f>"034"</f>
        <v>034</v>
      </c>
      <c r="T645" t="str">
        <f>"חן בזק"</f>
        <v>חן בזק</v>
      </c>
      <c r="U645">
        <v>0</v>
      </c>
      <c r="V645">
        <v>0</v>
      </c>
      <c r="W645">
        <v>0</v>
      </c>
      <c r="X645">
        <v>0</v>
      </c>
      <c r="Z645" t="str">
        <f>"Y"</f>
        <v>Y</v>
      </c>
      <c r="AA645">
        <v>0</v>
      </c>
      <c r="AC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 t="str">
        <f>"$"</f>
        <v>$</v>
      </c>
    </row>
    <row r="646" spans="1:38" x14ac:dyDescent="0.3">
      <c r="A646" t="str">
        <f>"SO20000425"</f>
        <v>SO20000425</v>
      </c>
      <c r="B646" t="str">
        <f>"E000322211"</f>
        <v>E000322211</v>
      </c>
      <c r="C646" t="str">
        <f>"בוצעה"</f>
        <v>בוצעה</v>
      </c>
      <c r="E646" s="3">
        <v>44096</v>
      </c>
      <c r="F646" s="3">
        <v>44134</v>
      </c>
      <c r="G646" t="str">
        <f>"700065"</f>
        <v>700065</v>
      </c>
      <c r="H646" t="str">
        <f>"אלתא מערכות בע""מ"</f>
        <v>אלתא מערכות בע"מ</v>
      </c>
      <c r="I646" t="str">
        <f>"ערן שלו"</f>
        <v>ערן שלו</v>
      </c>
      <c r="J646" t="str">
        <f>"000"</f>
        <v>000</v>
      </c>
      <c r="K646" s="1" t="str">
        <f>"אריזות עץ"</f>
        <v>אריזות עץ</v>
      </c>
      <c r="L646">
        <v>1</v>
      </c>
      <c r="M646" t="str">
        <f>"PR19000454"</f>
        <v>PR19000454</v>
      </c>
      <c r="N646" t="str">
        <f>"שדרוג יחידות LB PDB"</f>
        <v>שדרוג יחידות LB PDB</v>
      </c>
      <c r="O646">
        <v>700</v>
      </c>
      <c r="P646" t="str">
        <f>"$"</f>
        <v>$</v>
      </c>
      <c r="Q646" t="str">
        <f>"000"</f>
        <v>000</v>
      </c>
      <c r="R646" t="str">
        <f>"כללית"</f>
        <v>כללית</v>
      </c>
      <c r="S646" t="str">
        <f>"034"</f>
        <v>034</v>
      </c>
      <c r="T646" t="str">
        <f>"חן בזק"</f>
        <v>חן בזק</v>
      </c>
      <c r="U646">
        <v>0</v>
      </c>
      <c r="V646">
        <v>0</v>
      </c>
      <c r="W646">
        <v>700</v>
      </c>
      <c r="X646">
        <v>700</v>
      </c>
      <c r="Z646" t="str">
        <f>"Y"</f>
        <v>Y</v>
      </c>
      <c r="AA646">
        <v>1</v>
      </c>
      <c r="AC646">
        <v>0</v>
      </c>
      <c r="AE646">
        <v>0</v>
      </c>
      <c r="AF646">
        <v>0</v>
      </c>
      <c r="AG646" s="2">
        <v>2408.6999999999998</v>
      </c>
      <c r="AH646">
        <v>0</v>
      </c>
      <c r="AI646" s="2">
        <v>2408.6999999999998</v>
      </c>
      <c r="AJ646">
        <v>700</v>
      </c>
      <c r="AK646">
        <v>700</v>
      </c>
      <c r="AL646" t="str">
        <f>"$"</f>
        <v>$</v>
      </c>
    </row>
    <row r="647" spans="1:38" x14ac:dyDescent="0.3">
      <c r="A647" t="str">
        <f>"SO20000427"</f>
        <v>SO20000427</v>
      </c>
      <c r="B647" t="str">
        <f>"E000320816"</f>
        <v>E000320816</v>
      </c>
      <c r="C647" t="str">
        <f>"בוצעה"</f>
        <v>בוצעה</v>
      </c>
      <c r="E647" s="3">
        <v>44097</v>
      </c>
      <c r="F647" s="3">
        <v>44200</v>
      </c>
      <c r="G647" t="str">
        <f>"700065"</f>
        <v>700065</v>
      </c>
      <c r="H647" t="str">
        <f>"אלתא מערכות בע""מ"</f>
        <v>אלתא מערכות בע"מ</v>
      </c>
      <c r="I647" t="str">
        <f>"ערן שלו"</f>
        <v>ערן שלו</v>
      </c>
      <c r="J647" t="str">
        <f>"cust00767"</f>
        <v>cust00767</v>
      </c>
      <c r="K647" s="1" t="str">
        <f>"PDU 380V/50HZ/3 PH AC POWER BOX אלתא"</f>
        <v>PDU 380V/50HZ/3 PH AC POWER BOX אלתא</v>
      </c>
      <c r="L647">
        <v>1</v>
      </c>
      <c r="M647" t="str">
        <f>"PR20000787"</f>
        <v>PR20000787</v>
      </c>
      <c r="N647" t="str">
        <f>"תיקון 2 מגירות מעבדה 454"</f>
        <v>תיקון 2 מגירות מעבדה 454</v>
      </c>
      <c r="O647">
        <v>0</v>
      </c>
      <c r="P647" t="str">
        <f>"$"</f>
        <v>$</v>
      </c>
      <c r="Q647" t="str">
        <f>"000"</f>
        <v>000</v>
      </c>
      <c r="R647" t="str">
        <f>"כללית"</f>
        <v>כללית</v>
      </c>
      <c r="S647" t="str">
        <f>"034"</f>
        <v>034</v>
      </c>
      <c r="T647" t="str">
        <f>"חן בזק"</f>
        <v>חן בזק</v>
      </c>
      <c r="U647">
        <v>0</v>
      </c>
      <c r="V647">
        <v>0</v>
      </c>
      <c r="W647">
        <v>0</v>
      </c>
      <c r="X647">
        <v>0</v>
      </c>
      <c r="Z647" t="str">
        <f>"Y"</f>
        <v>Y</v>
      </c>
      <c r="AA647">
        <v>0</v>
      </c>
      <c r="AC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 t="str">
        <f>"$"</f>
        <v>$</v>
      </c>
    </row>
    <row r="648" spans="1:38" x14ac:dyDescent="0.3">
      <c r="A648" t="str">
        <f>"SO20000427"</f>
        <v>SO20000427</v>
      </c>
      <c r="B648" t="str">
        <f>"E000320816"</f>
        <v>E000320816</v>
      </c>
      <c r="C648" t="str">
        <f>"בוצעה"</f>
        <v>בוצעה</v>
      </c>
      <c r="E648" s="3">
        <v>44097</v>
      </c>
      <c r="F648" s="3">
        <v>44200</v>
      </c>
      <c r="G648" t="str">
        <f>"700065"</f>
        <v>700065</v>
      </c>
      <c r="H648" t="str">
        <f>"אלתא מערכות בע""מ"</f>
        <v>אלתא מערכות בע"מ</v>
      </c>
      <c r="I648" t="str">
        <f>"ערן שלו"</f>
        <v>ערן שלו</v>
      </c>
      <c r="J648" t="str">
        <f>"cust00767"</f>
        <v>cust00767</v>
      </c>
      <c r="K648" s="1" t="str">
        <f>"PDU 380V/50HZ/3 PH AC POWER BOX אלתא"</f>
        <v>PDU 380V/50HZ/3 PH AC POWER BOX אלתא</v>
      </c>
      <c r="L648">
        <v>1</v>
      </c>
      <c r="M648" t="str">
        <f>"PR20000787"</f>
        <v>PR20000787</v>
      </c>
      <c r="N648" t="str">
        <f>"תיקון 2 מגירות מעבדה 454"</f>
        <v>תיקון 2 מגירות מעבדה 454</v>
      </c>
      <c r="O648">
        <v>0</v>
      </c>
      <c r="P648" t="str">
        <f>"$"</f>
        <v>$</v>
      </c>
      <c r="Q648" t="str">
        <f>"000"</f>
        <v>000</v>
      </c>
      <c r="R648" t="str">
        <f>"כללית"</f>
        <v>כללית</v>
      </c>
      <c r="S648" t="str">
        <f>"034"</f>
        <v>034</v>
      </c>
      <c r="T648" t="str">
        <f>"חן בזק"</f>
        <v>חן בזק</v>
      </c>
      <c r="U648">
        <v>0</v>
      </c>
      <c r="V648">
        <v>0</v>
      </c>
      <c r="W648">
        <v>0</v>
      </c>
      <c r="X648">
        <v>0</v>
      </c>
      <c r="Z648" t="str">
        <f>"Y"</f>
        <v>Y</v>
      </c>
      <c r="AA648">
        <v>0</v>
      </c>
      <c r="AC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 t="str">
        <f>"$"</f>
        <v>$</v>
      </c>
    </row>
    <row r="649" spans="1:38" x14ac:dyDescent="0.3">
      <c r="A649" t="str">
        <f>"SO20000428"</f>
        <v>SO20000428</v>
      </c>
      <c r="B649" t="str">
        <f>"E000321767"</f>
        <v>E000321767</v>
      </c>
      <c r="C649" t="str">
        <f>"בוצעה"</f>
        <v>בוצעה</v>
      </c>
      <c r="E649" s="3">
        <v>44097</v>
      </c>
      <c r="F649" s="3">
        <v>44170</v>
      </c>
      <c r="G649" t="str">
        <f>"700065"</f>
        <v>700065</v>
      </c>
      <c r="H649" t="str">
        <f>"אלתא מערכות בע""מ"</f>
        <v>אלתא מערכות בע"מ</v>
      </c>
      <c r="I649" t="str">
        <f>"ערן שלו"</f>
        <v>ערן שלו</v>
      </c>
      <c r="J649" t="str">
        <f>"OP-AR02035"</f>
        <v>OP-AR02035</v>
      </c>
      <c r="K649" s="1" t="str">
        <f>"2201E738-001/-  JIG MCC POWER CABLE"</f>
        <v>2201E738-001/-  JIG MCC POWER CABLE</v>
      </c>
      <c r="L649">
        <v>6</v>
      </c>
      <c r="M649" t="str">
        <f>"PR20000668"</f>
        <v>PR20000668</v>
      </c>
      <c r="N649" t="str">
        <f>"JIG MCC POWER CABLE"</f>
        <v>JIG MCC POWER CABLE</v>
      </c>
      <c r="O649">
        <v>219.34</v>
      </c>
      <c r="P649" t="str">
        <f>"$"</f>
        <v>$</v>
      </c>
      <c r="Q649" t="str">
        <f>"000"</f>
        <v>000</v>
      </c>
      <c r="R649" t="str">
        <f>"כללית"</f>
        <v>כללית</v>
      </c>
      <c r="S649" t="str">
        <f>"034"</f>
        <v>034</v>
      </c>
      <c r="T649" t="str">
        <f>"מוסקוביץ אולגה"</f>
        <v>מוסקוביץ אולגה</v>
      </c>
      <c r="U649">
        <v>0</v>
      </c>
      <c r="V649">
        <v>0</v>
      </c>
      <c r="W649">
        <v>219.34</v>
      </c>
      <c r="X649" s="2">
        <v>1316.04</v>
      </c>
      <c r="Z649" t="str">
        <f>"Y"</f>
        <v>Y</v>
      </c>
      <c r="AA649">
        <v>0</v>
      </c>
      <c r="AC649">
        <v>0</v>
      </c>
      <c r="AE649">
        <v>0</v>
      </c>
      <c r="AF649">
        <v>0</v>
      </c>
      <c r="AG649">
        <v>755.63</v>
      </c>
      <c r="AH649">
        <v>0</v>
      </c>
      <c r="AI649" s="2">
        <v>4533.76</v>
      </c>
      <c r="AJ649" s="2">
        <v>1316.04</v>
      </c>
      <c r="AK649" s="2">
        <v>1316.04</v>
      </c>
      <c r="AL649" t="str">
        <f>"$"</f>
        <v>$</v>
      </c>
    </row>
    <row r="650" spans="1:38" x14ac:dyDescent="0.3">
      <c r="A650" t="str">
        <f>"SO20000430"</f>
        <v>SO20000430</v>
      </c>
      <c r="B650" t="str">
        <f>"E000321365"</f>
        <v>E000321365</v>
      </c>
      <c r="C650" t="str">
        <f>"בוצעה"</f>
        <v>בוצעה</v>
      </c>
      <c r="E650" s="3">
        <v>44097</v>
      </c>
      <c r="F650" s="3">
        <v>44206</v>
      </c>
      <c r="G650" t="str">
        <f>"700065"</f>
        <v>700065</v>
      </c>
      <c r="H650" t="str">
        <f>"אלתא מערכות בע""מ"</f>
        <v>אלתא מערכות בע"מ</v>
      </c>
      <c r="I650" t="str">
        <f>"ערן שלו"</f>
        <v>ערן שלו</v>
      </c>
      <c r="J650" t="str">
        <f>"OP-AR02027"</f>
        <v>OP-AR02027</v>
      </c>
      <c r="K650" s="1" t="str">
        <f>"1032G447-001 W7 ENCODER CALIBRATION ADAPTER"</f>
        <v>1032G447-001 W7 ENCODER CALIBRATION ADAPTER</v>
      </c>
      <c r="L650">
        <v>1</v>
      </c>
      <c r="M650" t="str">
        <f>"PR20000641"</f>
        <v>PR20000641</v>
      </c>
      <c r="N650" t="str">
        <f>"NCODER CALIBRATION ADAPTER CABLE"</f>
        <v>NCODER CALIBRATION ADAPTER CABLE</v>
      </c>
      <c r="O650">
        <v>536.38</v>
      </c>
      <c r="P650" t="str">
        <f>"$"</f>
        <v>$</v>
      </c>
      <c r="Q650" t="str">
        <f>"000"</f>
        <v>000</v>
      </c>
      <c r="R650" t="str">
        <f>"כללית"</f>
        <v>כללית</v>
      </c>
      <c r="S650" t="str">
        <f>"034"</f>
        <v>034</v>
      </c>
      <c r="T650" t="str">
        <f>"חן בזק"</f>
        <v>חן בזק</v>
      </c>
      <c r="U650">
        <v>0</v>
      </c>
      <c r="V650">
        <v>0</v>
      </c>
      <c r="W650">
        <v>536.38</v>
      </c>
      <c r="X650">
        <v>536.38</v>
      </c>
      <c r="Z650" t="str">
        <f>"Y"</f>
        <v>Y</v>
      </c>
      <c r="AA650">
        <v>0</v>
      </c>
      <c r="AC650">
        <v>0</v>
      </c>
      <c r="AE650">
        <v>0</v>
      </c>
      <c r="AF650">
        <v>0</v>
      </c>
      <c r="AG650" s="2">
        <v>1847.83</v>
      </c>
      <c r="AH650">
        <v>0</v>
      </c>
      <c r="AI650" s="2">
        <v>1847.83</v>
      </c>
      <c r="AJ650">
        <v>536.38</v>
      </c>
      <c r="AK650">
        <v>536.38</v>
      </c>
      <c r="AL650" t="str">
        <f>"$"</f>
        <v>$</v>
      </c>
    </row>
    <row r="651" spans="1:38" x14ac:dyDescent="0.3">
      <c r="A651" t="str">
        <f>"SO20000431"</f>
        <v>SO20000431</v>
      </c>
      <c r="B651" t="str">
        <f>"E000321546"</f>
        <v>E000321546</v>
      </c>
      <c r="C651" t="str">
        <f>"בוצעה"</f>
        <v>בוצעה</v>
      </c>
      <c r="E651" s="3">
        <v>44097</v>
      </c>
      <c r="F651" s="3">
        <v>44231</v>
      </c>
      <c r="G651" t="str">
        <f>"700065"</f>
        <v>700065</v>
      </c>
      <c r="H651" t="str">
        <f>"אלתא מערכות בע""מ"</f>
        <v>אלתא מערכות בע"מ</v>
      </c>
      <c r="I651" t="str">
        <f>"ערן שלו"</f>
        <v>ערן שלו</v>
      </c>
      <c r="J651" t="str">
        <f>"OP-AR02036"</f>
        <v>OP-AR02036</v>
      </c>
      <c r="K651" s="1" t="str">
        <f>"9003F003-001/A  HARNESS W9603 - ANT PRESS PNL AD"</f>
        <v>9003F003-001/A  HARNESS W9603 - ANT PRESS PNL AD</v>
      </c>
      <c r="L651">
        <v>1</v>
      </c>
      <c r="M651" t="str">
        <f>"PR20000667"</f>
        <v>PR20000667</v>
      </c>
      <c r="N651" t="str">
        <f>"HARNESS - ANT PRESS PNL ADAPTER"</f>
        <v>HARNESS - ANT PRESS PNL ADAPTER</v>
      </c>
      <c r="O651">
        <v>830.78</v>
      </c>
      <c r="P651" t="str">
        <f>"$"</f>
        <v>$</v>
      </c>
      <c r="Q651" t="str">
        <f>"117"</f>
        <v>117</v>
      </c>
      <c r="R651" t="str">
        <f>"רתמות"</f>
        <v>רתמות</v>
      </c>
      <c r="S651" t="str">
        <f>"034"</f>
        <v>034</v>
      </c>
      <c r="T651" t="str">
        <f>"מוסקוביץ אולגה"</f>
        <v>מוסקוביץ אולגה</v>
      </c>
      <c r="U651">
        <v>0</v>
      </c>
      <c r="V651">
        <v>0</v>
      </c>
      <c r="W651">
        <v>830.78</v>
      </c>
      <c r="X651">
        <v>830.78</v>
      </c>
      <c r="Z651" t="str">
        <f>"Y"</f>
        <v>Y</v>
      </c>
      <c r="AA651">
        <v>0</v>
      </c>
      <c r="AC651">
        <v>0</v>
      </c>
      <c r="AE651">
        <v>0</v>
      </c>
      <c r="AF651">
        <v>0</v>
      </c>
      <c r="AG651" s="2">
        <v>2862.04</v>
      </c>
      <c r="AH651">
        <v>0</v>
      </c>
      <c r="AI651" s="2">
        <v>2862.04</v>
      </c>
      <c r="AJ651">
        <v>830.78</v>
      </c>
      <c r="AK651">
        <v>830.78</v>
      </c>
      <c r="AL651" t="str">
        <f>"$"</f>
        <v>$</v>
      </c>
    </row>
    <row r="652" spans="1:38" x14ac:dyDescent="0.3">
      <c r="A652" t="str">
        <f>"SO20000431"</f>
        <v>SO20000431</v>
      </c>
      <c r="B652" t="str">
        <f>"E000321546"</f>
        <v>E000321546</v>
      </c>
      <c r="C652" t="str">
        <f>"בוצעה"</f>
        <v>בוצעה</v>
      </c>
      <c r="E652" s="3">
        <v>44097</v>
      </c>
      <c r="F652" s="3">
        <v>44231</v>
      </c>
      <c r="G652" t="str">
        <f>"700065"</f>
        <v>700065</v>
      </c>
      <c r="H652" t="str">
        <f>"אלתא מערכות בע""מ"</f>
        <v>אלתא מערכות בע"מ</v>
      </c>
      <c r="I652" t="str">
        <f>"ערן שלו"</f>
        <v>ערן שלו</v>
      </c>
      <c r="J652" t="str">
        <f>"OP-AR02037"</f>
        <v>OP-AR02037</v>
      </c>
      <c r="K652" s="1" t="str">
        <f>"9003F004-001/A  HARNESS W9604 - ANT PRESS PNL AD"</f>
        <v>9003F004-001/A  HARNESS W9604 - ANT PRESS PNL AD</v>
      </c>
      <c r="L652">
        <v>1</v>
      </c>
      <c r="M652" t="str">
        <f>"PR20000667"</f>
        <v>PR20000667</v>
      </c>
      <c r="N652" t="str">
        <f>"HARNESS - ANT PRESS PNL ADAPTER"</f>
        <v>HARNESS - ANT PRESS PNL ADAPTER</v>
      </c>
      <c r="O652">
        <v>853.53</v>
      </c>
      <c r="P652" t="str">
        <f>"$"</f>
        <v>$</v>
      </c>
      <c r="Q652" t="str">
        <f>"117"</f>
        <v>117</v>
      </c>
      <c r="R652" t="str">
        <f>"רתמות"</f>
        <v>רתמות</v>
      </c>
      <c r="S652" t="str">
        <f>"034"</f>
        <v>034</v>
      </c>
      <c r="T652" t="str">
        <f>"מוסקוביץ אולגה"</f>
        <v>מוסקוביץ אולגה</v>
      </c>
      <c r="U652">
        <v>0</v>
      </c>
      <c r="V652">
        <v>0</v>
      </c>
      <c r="W652">
        <v>853.53</v>
      </c>
      <c r="X652">
        <v>853.53</v>
      </c>
      <c r="Z652" t="str">
        <f>"Y"</f>
        <v>Y</v>
      </c>
      <c r="AA652">
        <v>0</v>
      </c>
      <c r="AC652">
        <v>0</v>
      </c>
      <c r="AE652">
        <v>0</v>
      </c>
      <c r="AF652">
        <v>0</v>
      </c>
      <c r="AG652" s="2">
        <v>2940.41</v>
      </c>
      <c r="AH652">
        <v>0</v>
      </c>
      <c r="AI652" s="2">
        <v>2940.41</v>
      </c>
      <c r="AJ652">
        <v>853.53</v>
      </c>
      <c r="AK652">
        <v>853.53</v>
      </c>
      <c r="AL652" t="str">
        <f>"$"</f>
        <v>$</v>
      </c>
    </row>
    <row r="653" spans="1:38" x14ac:dyDescent="0.3">
      <c r="A653" t="str">
        <f>"SO20000431"</f>
        <v>SO20000431</v>
      </c>
      <c r="B653" t="str">
        <f>"E000321546"</f>
        <v>E000321546</v>
      </c>
      <c r="C653" t="str">
        <f>"בוצעה"</f>
        <v>בוצעה</v>
      </c>
      <c r="E653" s="3">
        <v>44097</v>
      </c>
      <c r="F653" s="3">
        <v>44231</v>
      </c>
      <c r="G653" t="str">
        <f>"700065"</f>
        <v>700065</v>
      </c>
      <c r="H653" t="str">
        <f>"אלתא מערכות בע""מ"</f>
        <v>אלתא מערכות בע"מ</v>
      </c>
      <c r="I653" t="str">
        <f>"ערן שלו"</f>
        <v>ערן שלו</v>
      </c>
      <c r="J653" t="str">
        <f>"OP-AR02038"</f>
        <v>OP-AR02038</v>
      </c>
      <c r="K653" s="1" t="str">
        <f>"9003T403-001/B  HARNESS WC103 - CTRL - PNL 101 T"</f>
        <v>9003T403-001/B  HARNESS WC103 - CTRL - PNL 101 T</v>
      </c>
      <c r="L653">
        <v>1</v>
      </c>
      <c r="M653" t="str">
        <f>"PR20000667"</f>
        <v>PR20000667</v>
      </c>
      <c r="N653" t="str">
        <f>"HARNESS - ANT PRESS PNL ADAPTER"</f>
        <v>HARNESS - ANT PRESS PNL ADAPTER</v>
      </c>
      <c r="O653" s="2">
        <v>1875.16</v>
      </c>
      <c r="P653" t="str">
        <f>"$"</f>
        <v>$</v>
      </c>
      <c r="Q653" t="str">
        <f>"117"</f>
        <v>117</v>
      </c>
      <c r="R653" t="str">
        <f>"רתמות"</f>
        <v>רתמות</v>
      </c>
      <c r="S653" t="str">
        <f>"034"</f>
        <v>034</v>
      </c>
      <c r="T653" t="str">
        <f>"מוסקוביץ אולגה"</f>
        <v>מוסקוביץ אולגה</v>
      </c>
      <c r="U653">
        <v>0</v>
      </c>
      <c r="V653">
        <v>0</v>
      </c>
      <c r="W653" s="2">
        <v>1875.16</v>
      </c>
      <c r="X653" s="2">
        <v>1875.16</v>
      </c>
      <c r="Z653" t="str">
        <f>"Y"</f>
        <v>Y</v>
      </c>
      <c r="AA653">
        <v>0</v>
      </c>
      <c r="AC653">
        <v>0</v>
      </c>
      <c r="AE653">
        <v>0</v>
      </c>
      <c r="AF653">
        <v>0</v>
      </c>
      <c r="AG653" s="2">
        <v>6459.93</v>
      </c>
      <c r="AH653">
        <v>0</v>
      </c>
      <c r="AI653" s="2">
        <v>6459.93</v>
      </c>
      <c r="AJ653" s="2">
        <v>1875.16</v>
      </c>
      <c r="AK653" s="2">
        <v>1875.16</v>
      </c>
      <c r="AL653" t="str">
        <f>"$"</f>
        <v>$</v>
      </c>
    </row>
    <row r="654" spans="1:38" x14ac:dyDescent="0.3">
      <c r="A654" t="str">
        <f>"SO20000431"</f>
        <v>SO20000431</v>
      </c>
      <c r="B654" t="str">
        <f>"E000321546"</f>
        <v>E000321546</v>
      </c>
      <c r="C654" t="str">
        <f>"בוצעה"</f>
        <v>בוצעה</v>
      </c>
      <c r="E654" s="3">
        <v>44097</v>
      </c>
      <c r="F654" s="3">
        <v>44231</v>
      </c>
      <c r="G654" t="str">
        <f>"700065"</f>
        <v>700065</v>
      </c>
      <c r="H654" t="str">
        <f>"אלתא מערכות בע""מ"</f>
        <v>אלתא מערכות בע"מ</v>
      </c>
      <c r="I654" t="str">
        <f>"ערן שלו"</f>
        <v>ערן שלו</v>
      </c>
      <c r="J654" t="str">
        <f>"OP-AR02039"</f>
        <v>OP-AR02039</v>
      </c>
      <c r="K654" s="1" t="str">
        <f>"9003T407-001/B  HARNESS WC207 - CTRL - PNL 103 I"</f>
        <v>9003T407-001/B  HARNESS WC207 - CTRL - PNL 103 I</v>
      </c>
      <c r="L654">
        <v>1</v>
      </c>
      <c r="M654" t="str">
        <f>"PR20000667"</f>
        <v>PR20000667</v>
      </c>
      <c r="N654" t="str">
        <f>"HARNESS - ANT PRESS PNL ADAPTER"</f>
        <v>HARNESS - ANT PRESS PNL ADAPTER</v>
      </c>
      <c r="O654" s="2">
        <v>1257.7</v>
      </c>
      <c r="P654" t="str">
        <f>"$"</f>
        <v>$</v>
      </c>
      <c r="Q654" t="str">
        <f>"117"</f>
        <v>117</v>
      </c>
      <c r="R654" t="str">
        <f>"רתמות"</f>
        <v>רתמות</v>
      </c>
      <c r="S654" t="str">
        <f>"034"</f>
        <v>034</v>
      </c>
      <c r="T654" t="str">
        <f>"מוסקוביץ אולגה"</f>
        <v>מוסקוביץ אולגה</v>
      </c>
      <c r="U654">
        <v>0</v>
      </c>
      <c r="V654">
        <v>0</v>
      </c>
      <c r="W654" s="2">
        <v>1257.7</v>
      </c>
      <c r="X654" s="2">
        <v>1257.7</v>
      </c>
      <c r="Z654" t="str">
        <f>"Y"</f>
        <v>Y</v>
      </c>
      <c r="AA654">
        <v>0</v>
      </c>
      <c r="AC654">
        <v>0</v>
      </c>
      <c r="AE654">
        <v>0</v>
      </c>
      <c r="AF654">
        <v>0</v>
      </c>
      <c r="AG654" s="2">
        <v>4332.78</v>
      </c>
      <c r="AH654">
        <v>0</v>
      </c>
      <c r="AI654" s="2">
        <v>4332.78</v>
      </c>
      <c r="AJ654" s="2">
        <v>1257.7</v>
      </c>
      <c r="AK654" s="2">
        <v>1257.7</v>
      </c>
      <c r="AL654" t="str">
        <f>"$"</f>
        <v>$</v>
      </c>
    </row>
    <row r="655" spans="1:38" x14ac:dyDescent="0.3">
      <c r="A655" t="str">
        <f>"SO20000432"</f>
        <v>SO20000432</v>
      </c>
      <c r="B655" t="str">
        <f>"E000321534"</f>
        <v>E000321534</v>
      </c>
      <c r="C655" t="str">
        <f>"בוצעה"</f>
        <v>בוצעה</v>
      </c>
      <c r="E655" s="3">
        <v>44097</v>
      </c>
      <c r="F655" s="3">
        <v>44216</v>
      </c>
      <c r="G655" t="str">
        <f>"700065"</f>
        <v>700065</v>
      </c>
      <c r="H655" t="str">
        <f>"אלתא מערכות בע""מ"</f>
        <v>אלתא מערכות בע"מ</v>
      </c>
      <c r="I655" t="str">
        <f>"ערן שלו"</f>
        <v>ערן שלו</v>
      </c>
      <c r="J655" t="str">
        <f>"OP-AR02030"</f>
        <v>OP-AR02030</v>
      </c>
      <c r="K655" s="1" t="str">
        <f>"4030H111-001/- HARNESS W111 - MAIN"</f>
        <v>4030H111-001/- HARNESS W111 - MAIN</v>
      </c>
      <c r="L655">
        <v>2</v>
      </c>
      <c r="M655" t="str">
        <f>"PR20000669"</f>
        <v>PR20000669</v>
      </c>
      <c r="N655" t="str">
        <f>"HARNESS W111 - MAIN"</f>
        <v>HARNESS W111 - MAIN</v>
      </c>
      <c r="O655" s="2">
        <v>1840.43</v>
      </c>
      <c r="P655" t="str">
        <f>"$"</f>
        <v>$</v>
      </c>
      <c r="Q655" t="str">
        <f>"117"</f>
        <v>117</v>
      </c>
      <c r="R655" t="str">
        <f>"רתמות"</f>
        <v>רתמות</v>
      </c>
      <c r="S655" t="str">
        <f>"034"</f>
        <v>034</v>
      </c>
      <c r="T655" t="str">
        <f>"מוסקוביץ אולגה"</f>
        <v>מוסקוביץ אולגה</v>
      </c>
      <c r="U655">
        <v>0</v>
      </c>
      <c r="V655">
        <v>0</v>
      </c>
      <c r="W655" s="2">
        <v>1840.43</v>
      </c>
      <c r="X655" s="2">
        <v>3680.86</v>
      </c>
      <c r="Z655" t="str">
        <f>"Y"</f>
        <v>Y</v>
      </c>
      <c r="AA655">
        <v>0</v>
      </c>
      <c r="AC655">
        <v>0</v>
      </c>
      <c r="AE655">
        <v>0</v>
      </c>
      <c r="AF655">
        <v>0</v>
      </c>
      <c r="AG655" s="2">
        <v>6340.28</v>
      </c>
      <c r="AH655">
        <v>0</v>
      </c>
      <c r="AI655" s="2">
        <v>12680.56</v>
      </c>
      <c r="AJ655" s="2">
        <v>3680.86</v>
      </c>
      <c r="AK655" s="2">
        <v>3680.86</v>
      </c>
      <c r="AL655" t="str">
        <f>"$"</f>
        <v>$</v>
      </c>
    </row>
    <row r="656" spans="1:38" x14ac:dyDescent="0.3">
      <c r="A656" t="str">
        <f>"SO20000432"</f>
        <v>SO20000432</v>
      </c>
      <c r="B656" t="str">
        <f>"E000321534"</f>
        <v>E000321534</v>
      </c>
      <c r="C656" t="str">
        <f>"בוצעה"</f>
        <v>בוצעה</v>
      </c>
      <c r="E656" s="3">
        <v>44097</v>
      </c>
      <c r="F656" s="3">
        <v>44216</v>
      </c>
      <c r="G656" t="str">
        <f>"700065"</f>
        <v>700065</v>
      </c>
      <c r="H656" t="str">
        <f>"אלתא מערכות בע""מ"</f>
        <v>אלתא מערכות בע"מ</v>
      </c>
      <c r="I656" t="str">
        <f>"ערן שלו"</f>
        <v>ערן שלו</v>
      </c>
      <c r="J656" t="str">
        <f>"OP-AR02031"</f>
        <v>OP-AR02031</v>
      </c>
      <c r="K656" s="1" t="str">
        <f>"4030H112-001/- HARNESS W112"</f>
        <v>4030H112-001/- HARNESS W112</v>
      </c>
      <c r="L656">
        <v>2</v>
      </c>
      <c r="M656" t="str">
        <f>"PR20000669"</f>
        <v>PR20000669</v>
      </c>
      <c r="N656" t="str">
        <f>"HARNESS W111 - MAIN"</f>
        <v>HARNESS W111 - MAIN</v>
      </c>
      <c r="O656">
        <v>645.66</v>
      </c>
      <c r="P656" t="str">
        <f>"$"</f>
        <v>$</v>
      </c>
      <c r="Q656" t="str">
        <f>"117"</f>
        <v>117</v>
      </c>
      <c r="R656" t="str">
        <f>"רתמות"</f>
        <v>רתמות</v>
      </c>
      <c r="S656" t="str">
        <f>"034"</f>
        <v>034</v>
      </c>
      <c r="T656" t="str">
        <f>"מוסקוביץ אולגה"</f>
        <v>מוסקוביץ אולגה</v>
      </c>
      <c r="U656">
        <v>0</v>
      </c>
      <c r="V656">
        <v>0</v>
      </c>
      <c r="W656">
        <v>645.66</v>
      </c>
      <c r="X656" s="2">
        <v>1291.32</v>
      </c>
      <c r="Z656" t="str">
        <f>"Y"</f>
        <v>Y</v>
      </c>
      <c r="AA656">
        <v>0</v>
      </c>
      <c r="AC656">
        <v>0</v>
      </c>
      <c r="AE656">
        <v>0</v>
      </c>
      <c r="AF656">
        <v>0</v>
      </c>
      <c r="AG656" s="2">
        <v>2224.3000000000002</v>
      </c>
      <c r="AH656">
        <v>0</v>
      </c>
      <c r="AI656" s="2">
        <v>4448.6000000000004</v>
      </c>
      <c r="AJ656" s="2">
        <v>1291.32</v>
      </c>
      <c r="AK656" s="2">
        <v>1291.32</v>
      </c>
      <c r="AL656" t="str">
        <f>"$"</f>
        <v>$</v>
      </c>
    </row>
    <row r="657" spans="1:38" x14ac:dyDescent="0.3">
      <c r="A657" t="str">
        <f>"SO20000444"</f>
        <v>SO20000444</v>
      </c>
      <c r="B657" t="str">
        <f>"E000321380"</f>
        <v>E000321380</v>
      </c>
      <c r="C657" t="str">
        <f>"בוצעה"</f>
        <v>בוצעה</v>
      </c>
      <c r="E657" s="3">
        <v>44084</v>
      </c>
      <c r="F657" s="3">
        <v>44150</v>
      </c>
      <c r="G657" t="str">
        <f>"700065"</f>
        <v>700065</v>
      </c>
      <c r="H657" t="str">
        <f>"אלתא מערכות בע""מ"</f>
        <v>אלתא מערכות בע"מ</v>
      </c>
      <c r="I657" t="str">
        <f>"ערן שלו"</f>
        <v>ערן שלו</v>
      </c>
      <c r="J657" t="str">
        <f>"OP-AR02028"</f>
        <v>OP-AR02028</v>
      </c>
      <c r="K657" s="1" t="str">
        <f>"9005A542-001/- CABLE ASSY. P6 FOR SAR DTS INT.RA"</f>
        <v>9005A542-001/- CABLE ASSY. P6 FOR SAR DTS INT.RA</v>
      </c>
      <c r="L657">
        <v>3</v>
      </c>
      <c r="M657" t="str">
        <f>"PR20000640"</f>
        <v>PR20000640</v>
      </c>
      <c r="N657" t="str">
        <f>"E ASSY. P6 FOR SAR DTS INT. RACK"</f>
        <v>E ASSY. P6 FOR SAR DTS INT. RACK</v>
      </c>
      <c r="O657">
        <v>239.79</v>
      </c>
      <c r="P657" t="str">
        <f>"$"</f>
        <v>$</v>
      </c>
      <c r="Q657" t="str">
        <f>"000"</f>
        <v>000</v>
      </c>
      <c r="R657" t="str">
        <f>"כללית"</f>
        <v>כללית</v>
      </c>
      <c r="S657" t="str">
        <f>"034"</f>
        <v>034</v>
      </c>
      <c r="T657" t="str">
        <f>"מוסקוביץ אולגה"</f>
        <v>מוסקוביץ אולגה</v>
      </c>
      <c r="U657">
        <v>0</v>
      </c>
      <c r="V657">
        <v>0</v>
      </c>
      <c r="W657">
        <v>239.79</v>
      </c>
      <c r="X657">
        <v>719.37</v>
      </c>
      <c r="Z657" t="str">
        <f>"Y"</f>
        <v>Y</v>
      </c>
      <c r="AA657">
        <v>0</v>
      </c>
      <c r="AC657">
        <v>0</v>
      </c>
      <c r="AE657">
        <v>0</v>
      </c>
      <c r="AF657">
        <v>0</v>
      </c>
      <c r="AG657">
        <v>818.64</v>
      </c>
      <c r="AH657">
        <v>0</v>
      </c>
      <c r="AI657" s="2">
        <v>2455.9299999999998</v>
      </c>
      <c r="AJ657">
        <v>719.37</v>
      </c>
      <c r="AK657">
        <v>719.37</v>
      </c>
      <c r="AL657" t="str">
        <f>"$"</f>
        <v>$</v>
      </c>
    </row>
    <row r="658" spans="1:38" x14ac:dyDescent="0.3">
      <c r="A658" t="str">
        <f>"SO20000445"</f>
        <v>SO20000445</v>
      </c>
      <c r="B658" t="str">
        <f>"E000321480"</f>
        <v>E000321480</v>
      </c>
      <c r="C658" t="str">
        <f>"בוצעה"</f>
        <v>בוצעה</v>
      </c>
      <c r="E658" s="3">
        <v>44105</v>
      </c>
      <c r="F658" s="3">
        <v>44112</v>
      </c>
      <c r="G658" t="str">
        <f>"700065"</f>
        <v>700065</v>
      </c>
      <c r="H658" t="str">
        <f>"אלתא מערכות בע""מ"</f>
        <v>אלתא מערכות בע"מ</v>
      </c>
      <c r="I658" t="str">
        <f>"ערן שלו"</f>
        <v>ערן שלו</v>
      </c>
      <c r="J658" t="str">
        <f>"BT0232326"</f>
        <v>BT0232326</v>
      </c>
      <c r="K658" s="1" t="str">
        <f>"מצבר 12V/52AH - GPL CSB"</f>
        <v>מצבר 12V/52AH - GPL CSB</v>
      </c>
      <c r="L658">
        <v>3</v>
      </c>
      <c r="M658" t="str">
        <f>"PR20000642"</f>
        <v>PR20000642</v>
      </c>
      <c r="N658" t="str">
        <f>"BT0232326"</f>
        <v>BT0232326</v>
      </c>
      <c r="O658">
        <v>160</v>
      </c>
      <c r="P658" t="str">
        <f>"$"</f>
        <v>$</v>
      </c>
      <c r="Q658" t="str">
        <f>"000"</f>
        <v>000</v>
      </c>
      <c r="R658" t="str">
        <f>"כללית"</f>
        <v>כללית</v>
      </c>
      <c r="S658" t="str">
        <f>"034"</f>
        <v>034</v>
      </c>
      <c r="T658" t="str">
        <f>"מוסקוביץ אולגה"</f>
        <v>מוסקוביץ אולגה</v>
      </c>
      <c r="U658">
        <v>0</v>
      </c>
      <c r="V658">
        <v>0</v>
      </c>
      <c r="W658">
        <v>160</v>
      </c>
      <c r="X658">
        <v>480</v>
      </c>
      <c r="Z658" t="str">
        <f>"Y"</f>
        <v>Y</v>
      </c>
      <c r="AA658">
        <v>0</v>
      </c>
      <c r="AC658">
        <v>0</v>
      </c>
      <c r="AE658">
        <v>0</v>
      </c>
      <c r="AF658">
        <v>0</v>
      </c>
      <c r="AG658">
        <v>548.32000000000005</v>
      </c>
      <c r="AH658">
        <v>0</v>
      </c>
      <c r="AI658" s="2">
        <v>1644.96</v>
      </c>
      <c r="AJ658">
        <v>480</v>
      </c>
      <c r="AK658">
        <v>480</v>
      </c>
      <c r="AL658" t="str">
        <f>"$"</f>
        <v>$</v>
      </c>
    </row>
    <row r="659" spans="1:38" x14ac:dyDescent="0.3">
      <c r="A659" t="str">
        <f>"SO20000457"</f>
        <v>SO20000457</v>
      </c>
      <c r="B659" t="str">
        <f>"E000322171"</f>
        <v>E000322171</v>
      </c>
      <c r="C659" t="str">
        <f>"בוצעה"</f>
        <v>בוצעה</v>
      </c>
      <c r="E659" s="3">
        <v>44105</v>
      </c>
      <c r="F659" s="3">
        <v>44165</v>
      </c>
      <c r="G659" t="str">
        <f>"700065"</f>
        <v>700065</v>
      </c>
      <c r="H659" t="str">
        <f>"אלתא מערכות בע""מ"</f>
        <v>אלתא מערכות בע"מ</v>
      </c>
      <c r="I659" t="str">
        <f>"ערן שלו"</f>
        <v>ערן שלו</v>
      </c>
      <c r="J659" t="str">
        <f>"cust000448"</f>
        <v>cust000448</v>
      </c>
      <c r="K659" s="1" t="str">
        <f>"1035E001-001 אלתא"</f>
        <v>1035E001-001 אלתא</v>
      </c>
      <c r="L659">
        <v>2</v>
      </c>
      <c r="M659" t="str">
        <f>"PR20000670"</f>
        <v>PR20000670</v>
      </c>
      <c r="N659" t="str">
        <f>"תיקון רתמות טל שמיים"</f>
        <v>תיקון רתמות טל שמיים</v>
      </c>
      <c r="O659">
        <v>0.01</v>
      </c>
      <c r="P659" t="str">
        <f>"$"</f>
        <v>$</v>
      </c>
      <c r="Q659" t="str">
        <f>"000"</f>
        <v>000</v>
      </c>
      <c r="R659" t="str">
        <f>"כללית"</f>
        <v>כללית</v>
      </c>
      <c r="S659" t="str">
        <f>"034"</f>
        <v>034</v>
      </c>
      <c r="T659" t="str">
        <f>"מוסקוביץ אולגה"</f>
        <v>מוסקוביץ אולגה</v>
      </c>
      <c r="U659">
        <v>0</v>
      </c>
      <c r="V659">
        <v>0</v>
      </c>
      <c r="W659">
        <v>0.01</v>
      </c>
      <c r="X659">
        <v>0.02</v>
      </c>
      <c r="Z659" t="str">
        <f>"Y"</f>
        <v>Y</v>
      </c>
      <c r="AA659">
        <v>0</v>
      </c>
      <c r="AC659">
        <v>0</v>
      </c>
      <c r="AE659">
        <v>0</v>
      </c>
      <c r="AF659">
        <v>0</v>
      </c>
      <c r="AG659">
        <v>0.03</v>
      </c>
      <c r="AH659">
        <v>0</v>
      </c>
      <c r="AI659">
        <v>7.0000000000000007E-2</v>
      </c>
      <c r="AJ659">
        <v>0.02</v>
      </c>
      <c r="AK659">
        <v>0.02</v>
      </c>
      <c r="AL659" t="str">
        <f>"$"</f>
        <v>$</v>
      </c>
    </row>
    <row r="660" spans="1:38" x14ac:dyDescent="0.3">
      <c r="A660" t="str">
        <f>"SO20000457"</f>
        <v>SO20000457</v>
      </c>
      <c r="B660" t="str">
        <f>"E000322171"</f>
        <v>E000322171</v>
      </c>
      <c r="C660" t="str">
        <f>"בוצעה"</f>
        <v>בוצעה</v>
      </c>
      <c r="E660" s="3">
        <v>44105</v>
      </c>
      <c r="F660" s="3">
        <v>44165</v>
      </c>
      <c r="G660" t="str">
        <f>"700065"</f>
        <v>700065</v>
      </c>
      <c r="H660" t="str">
        <f>"אלתא מערכות בע""מ"</f>
        <v>אלתא מערכות בע"מ</v>
      </c>
      <c r="I660" t="str">
        <f>"ערן שלו"</f>
        <v>ערן שלו</v>
      </c>
      <c r="J660" t="str">
        <f>"cust000447"</f>
        <v>cust000447</v>
      </c>
      <c r="K660" s="1" t="str">
        <f>"1035E002-001 אלתא"</f>
        <v>1035E002-001 אלתא</v>
      </c>
      <c r="L660">
        <v>2</v>
      </c>
      <c r="M660" t="str">
        <f>"PR20000670"</f>
        <v>PR20000670</v>
      </c>
      <c r="N660" t="str">
        <f>"תיקון רתמות טל שמיים"</f>
        <v>תיקון רתמות טל שמיים</v>
      </c>
      <c r="O660">
        <v>529.27</v>
      </c>
      <c r="P660" t="str">
        <f>"$"</f>
        <v>$</v>
      </c>
      <c r="Q660" t="str">
        <f>"000"</f>
        <v>000</v>
      </c>
      <c r="R660" t="str">
        <f>"כללית"</f>
        <v>כללית</v>
      </c>
      <c r="S660" t="str">
        <f>"034"</f>
        <v>034</v>
      </c>
      <c r="T660" t="str">
        <f>"מוסקוביץ אולגה"</f>
        <v>מוסקוביץ אולגה</v>
      </c>
      <c r="U660">
        <v>0</v>
      </c>
      <c r="V660">
        <v>0</v>
      </c>
      <c r="W660">
        <v>529.27</v>
      </c>
      <c r="X660" s="2">
        <v>1058.54</v>
      </c>
      <c r="Z660" t="str">
        <f>"Y"</f>
        <v>Y</v>
      </c>
      <c r="AA660">
        <v>0</v>
      </c>
      <c r="AC660">
        <v>0</v>
      </c>
      <c r="AE660">
        <v>0</v>
      </c>
      <c r="AF660">
        <v>0</v>
      </c>
      <c r="AG660" s="2">
        <v>1813.81</v>
      </c>
      <c r="AH660">
        <v>0</v>
      </c>
      <c r="AI660" s="2">
        <v>3627.62</v>
      </c>
      <c r="AJ660" s="2">
        <v>1058.54</v>
      </c>
      <c r="AK660" s="2">
        <v>1058.54</v>
      </c>
      <c r="AL660" t="str">
        <f>"$"</f>
        <v>$</v>
      </c>
    </row>
    <row r="661" spans="1:38" x14ac:dyDescent="0.3">
      <c r="A661" t="str">
        <f>"SO20000457"</f>
        <v>SO20000457</v>
      </c>
      <c r="B661" t="str">
        <f>"E000322171"</f>
        <v>E000322171</v>
      </c>
      <c r="C661" t="str">
        <f>"בוצעה"</f>
        <v>בוצעה</v>
      </c>
      <c r="E661" s="3">
        <v>44105</v>
      </c>
      <c r="F661" s="3">
        <v>44165</v>
      </c>
      <c r="G661" t="str">
        <f>"700065"</f>
        <v>700065</v>
      </c>
      <c r="H661" t="str">
        <f>"אלתא מערכות בע""מ"</f>
        <v>אלתא מערכות בע"מ</v>
      </c>
      <c r="I661" t="str">
        <f>"ערן שלו"</f>
        <v>ערן שלו</v>
      </c>
      <c r="J661" t="str">
        <f>"cust000449"</f>
        <v>cust000449</v>
      </c>
      <c r="K661" s="1" t="str">
        <f>"1035E003-001 אלתא"</f>
        <v>1035E003-001 אלתא</v>
      </c>
      <c r="L661">
        <v>1</v>
      </c>
      <c r="M661" t="str">
        <f>"PR20000670"</f>
        <v>PR20000670</v>
      </c>
      <c r="N661" t="str">
        <f>"תיקון רתמות טל שמיים"</f>
        <v>תיקון רתמות טל שמיים</v>
      </c>
      <c r="O661">
        <v>358.82</v>
      </c>
      <c r="P661" t="str">
        <f>"$"</f>
        <v>$</v>
      </c>
      <c r="Q661" t="str">
        <f>"000"</f>
        <v>000</v>
      </c>
      <c r="R661" t="str">
        <f>"כללית"</f>
        <v>כללית</v>
      </c>
      <c r="S661" t="str">
        <f>"034"</f>
        <v>034</v>
      </c>
      <c r="T661" t="str">
        <f>"מוסקוביץ אולגה"</f>
        <v>מוסקוביץ אולגה</v>
      </c>
      <c r="U661">
        <v>0</v>
      </c>
      <c r="V661">
        <v>0</v>
      </c>
      <c r="W661">
        <v>358.82</v>
      </c>
      <c r="X661">
        <v>358.82</v>
      </c>
      <c r="Z661" t="str">
        <f>"Y"</f>
        <v>Y</v>
      </c>
      <c r="AA661">
        <v>0</v>
      </c>
      <c r="AC661">
        <v>0</v>
      </c>
      <c r="AE661">
        <v>0</v>
      </c>
      <c r="AF661">
        <v>0</v>
      </c>
      <c r="AG661" s="2">
        <v>1229.68</v>
      </c>
      <c r="AH661">
        <v>0</v>
      </c>
      <c r="AI661" s="2">
        <v>1229.68</v>
      </c>
      <c r="AJ661">
        <v>358.82</v>
      </c>
      <c r="AK661">
        <v>358.82</v>
      </c>
      <c r="AL661" t="str">
        <f>"$"</f>
        <v>$</v>
      </c>
    </row>
    <row r="662" spans="1:38" x14ac:dyDescent="0.3">
      <c r="A662" t="str">
        <f>"SO20000457"</f>
        <v>SO20000457</v>
      </c>
      <c r="B662" t="str">
        <f>"E000322171"</f>
        <v>E000322171</v>
      </c>
      <c r="C662" t="str">
        <f>"בוצעה"</f>
        <v>בוצעה</v>
      </c>
      <c r="E662" s="3">
        <v>44105</v>
      </c>
      <c r="F662" s="3">
        <v>44165</v>
      </c>
      <c r="G662" t="str">
        <f>"700065"</f>
        <v>700065</v>
      </c>
      <c r="H662" t="str">
        <f>"אלתא מערכות בע""מ"</f>
        <v>אלתא מערכות בע"מ</v>
      </c>
      <c r="I662" t="str">
        <f>"ערן שלו"</f>
        <v>ערן שלו</v>
      </c>
      <c r="J662" t="str">
        <f>"cust000446"</f>
        <v>cust000446</v>
      </c>
      <c r="K662" s="1" t="str">
        <f>"1035E004-001 אלתא"</f>
        <v>1035E004-001 אלתא</v>
      </c>
      <c r="L662">
        <v>2</v>
      </c>
      <c r="M662" t="str">
        <f>"PR20000670"</f>
        <v>PR20000670</v>
      </c>
      <c r="N662" t="str">
        <f>"תיקון רתמות טל שמיים"</f>
        <v>תיקון רתמות טל שמיים</v>
      </c>
      <c r="O662">
        <v>529.27</v>
      </c>
      <c r="P662" t="str">
        <f>"$"</f>
        <v>$</v>
      </c>
      <c r="Q662" t="str">
        <f>"000"</f>
        <v>000</v>
      </c>
      <c r="R662" t="str">
        <f>"כללית"</f>
        <v>כללית</v>
      </c>
      <c r="S662" t="str">
        <f>"034"</f>
        <v>034</v>
      </c>
      <c r="T662" t="str">
        <f>"מוסקוביץ אולגה"</f>
        <v>מוסקוביץ אולגה</v>
      </c>
      <c r="U662">
        <v>0</v>
      </c>
      <c r="V662">
        <v>0</v>
      </c>
      <c r="W662">
        <v>529.27</v>
      </c>
      <c r="X662" s="2">
        <v>1058.54</v>
      </c>
      <c r="Z662" t="str">
        <f>"Y"</f>
        <v>Y</v>
      </c>
      <c r="AA662">
        <v>0</v>
      </c>
      <c r="AC662">
        <v>0</v>
      </c>
      <c r="AE662">
        <v>0</v>
      </c>
      <c r="AF662">
        <v>0</v>
      </c>
      <c r="AG662" s="2">
        <v>1813.81</v>
      </c>
      <c r="AH662">
        <v>0</v>
      </c>
      <c r="AI662" s="2">
        <v>3627.62</v>
      </c>
      <c r="AJ662" s="2">
        <v>1058.54</v>
      </c>
      <c r="AK662" s="2">
        <v>1058.54</v>
      </c>
      <c r="AL662" t="str">
        <f>"$"</f>
        <v>$</v>
      </c>
    </row>
    <row r="663" spans="1:38" x14ac:dyDescent="0.3">
      <c r="A663" t="str">
        <f>"SO20000457"</f>
        <v>SO20000457</v>
      </c>
      <c r="B663" t="str">
        <f>"E000322171"</f>
        <v>E000322171</v>
      </c>
      <c r="C663" t="str">
        <f>"בוצעה"</f>
        <v>בוצעה</v>
      </c>
      <c r="E663" s="3">
        <v>44105</v>
      </c>
      <c r="F663" s="3">
        <v>44165</v>
      </c>
      <c r="G663" t="str">
        <f>"700065"</f>
        <v>700065</v>
      </c>
      <c r="H663" t="str">
        <f>"אלתא מערכות בע""מ"</f>
        <v>אלתא מערכות בע"מ</v>
      </c>
      <c r="I663" t="str">
        <f>"ערן שלו"</f>
        <v>ערן שלו</v>
      </c>
      <c r="J663" t="str">
        <f>"cust000445"</f>
        <v>cust000445</v>
      </c>
      <c r="K663" s="1" t="str">
        <f>"1035E005-001 אלתא"</f>
        <v>1035E005-001 אלתא</v>
      </c>
      <c r="L663">
        <v>1</v>
      </c>
      <c r="M663" t="str">
        <f>"PR20000670"</f>
        <v>PR20000670</v>
      </c>
      <c r="N663" t="str">
        <f>"תיקון רתמות טל שמיים"</f>
        <v>תיקון רתמות טל שמיים</v>
      </c>
      <c r="O663">
        <v>771.4</v>
      </c>
      <c r="P663" t="str">
        <f>"$"</f>
        <v>$</v>
      </c>
      <c r="Q663" t="str">
        <f>"000"</f>
        <v>000</v>
      </c>
      <c r="R663" t="str">
        <f>"כללית"</f>
        <v>כללית</v>
      </c>
      <c r="S663" t="str">
        <f>"034"</f>
        <v>034</v>
      </c>
      <c r="T663" t="str">
        <f>"מוסקוביץ אולגה"</f>
        <v>מוסקוביץ אולגה</v>
      </c>
      <c r="U663">
        <v>0</v>
      </c>
      <c r="V663">
        <v>0</v>
      </c>
      <c r="W663">
        <v>771.4</v>
      </c>
      <c r="X663">
        <v>771.4</v>
      </c>
      <c r="Z663" t="str">
        <f>"Y"</f>
        <v>Y</v>
      </c>
      <c r="AA663">
        <v>0</v>
      </c>
      <c r="AC663">
        <v>0</v>
      </c>
      <c r="AE663">
        <v>0</v>
      </c>
      <c r="AF663">
        <v>0</v>
      </c>
      <c r="AG663" s="2">
        <v>2643.59</v>
      </c>
      <c r="AH663">
        <v>0</v>
      </c>
      <c r="AI663" s="2">
        <v>2643.59</v>
      </c>
      <c r="AJ663">
        <v>771.4</v>
      </c>
      <c r="AK663">
        <v>771.4</v>
      </c>
      <c r="AL663" t="str">
        <f>"$"</f>
        <v>$</v>
      </c>
    </row>
    <row r="664" spans="1:38" x14ac:dyDescent="0.3">
      <c r="A664" t="str">
        <f>"SO20000457"</f>
        <v>SO20000457</v>
      </c>
      <c r="B664" t="str">
        <f>"E000322171"</f>
        <v>E000322171</v>
      </c>
      <c r="C664" t="str">
        <f>"בוצעה"</f>
        <v>בוצעה</v>
      </c>
      <c r="E664" s="3">
        <v>44105</v>
      </c>
      <c r="F664" s="3">
        <v>44165</v>
      </c>
      <c r="G664" t="str">
        <f>"700065"</f>
        <v>700065</v>
      </c>
      <c r="H664" t="str">
        <f>"אלתא מערכות בע""מ"</f>
        <v>אלתא מערכות בע"מ</v>
      </c>
      <c r="I664" t="str">
        <f>"ערן שלו"</f>
        <v>ערן שלו</v>
      </c>
      <c r="J664" t="str">
        <f>"cust000440"</f>
        <v>cust000440</v>
      </c>
      <c r="K664" s="1" t="str">
        <f>"1035E006-001 אלתא"</f>
        <v>1035E006-001 אלתא</v>
      </c>
      <c r="L664">
        <v>1</v>
      </c>
      <c r="M664" t="str">
        <f>"PR20000670"</f>
        <v>PR20000670</v>
      </c>
      <c r="N664" t="str">
        <f>"תיקון רתמות טל שמיים"</f>
        <v>תיקון רתמות טל שמיים</v>
      </c>
      <c r="O664">
        <v>0.01</v>
      </c>
      <c r="P664" t="str">
        <f>"$"</f>
        <v>$</v>
      </c>
      <c r="Q664" t="str">
        <f>"000"</f>
        <v>000</v>
      </c>
      <c r="R664" t="str">
        <f>"כללית"</f>
        <v>כללית</v>
      </c>
      <c r="S664" t="str">
        <f>"034"</f>
        <v>034</v>
      </c>
      <c r="T664" t="str">
        <f>"מוסקוביץ אולגה"</f>
        <v>מוסקוביץ אולגה</v>
      </c>
      <c r="U664">
        <v>0</v>
      </c>
      <c r="V664">
        <v>0</v>
      </c>
      <c r="W664">
        <v>0.01</v>
      </c>
      <c r="X664">
        <v>0.01</v>
      </c>
      <c r="Z664" t="str">
        <f>"Y"</f>
        <v>Y</v>
      </c>
      <c r="AA664">
        <v>0</v>
      </c>
      <c r="AC664">
        <v>0</v>
      </c>
      <c r="AE664">
        <v>0</v>
      </c>
      <c r="AF664">
        <v>0</v>
      </c>
      <c r="AG664">
        <v>0.03</v>
      </c>
      <c r="AH664">
        <v>0</v>
      </c>
      <c r="AI664">
        <v>0.03</v>
      </c>
      <c r="AJ664">
        <v>0.01</v>
      </c>
      <c r="AK664">
        <v>0.01</v>
      </c>
      <c r="AL664" t="str">
        <f>"$"</f>
        <v>$</v>
      </c>
    </row>
    <row r="665" spans="1:38" x14ac:dyDescent="0.3">
      <c r="A665" t="str">
        <f>"SO20000457"</f>
        <v>SO20000457</v>
      </c>
      <c r="B665" t="str">
        <f>"E000322171"</f>
        <v>E000322171</v>
      </c>
      <c r="C665" t="str">
        <f>"בוצעה"</f>
        <v>בוצעה</v>
      </c>
      <c r="E665" s="3">
        <v>44105</v>
      </c>
      <c r="F665" s="3">
        <v>44165</v>
      </c>
      <c r="G665" t="str">
        <f>"700065"</f>
        <v>700065</v>
      </c>
      <c r="H665" t="str">
        <f>"אלתא מערכות בע""מ"</f>
        <v>אלתא מערכות בע"מ</v>
      </c>
      <c r="I665" t="str">
        <f>"ערן שלו"</f>
        <v>ערן שלו</v>
      </c>
      <c r="J665" t="str">
        <f>"cust000444"</f>
        <v>cust000444</v>
      </c>
      <c r="K665" s="1" t="str">
        <f>"1035E007-001 אלתא"</f>
        <v>1035E007-001 אלתא</v>
      </c>
      <c r="L665">
        <v>1</v>
      </c>
      <c r="M665" t="str">
        <f>"PR20000670"</f>
        <v>PR20000670</v>
      </c>
      <c r="N665" t="str">
        <f>"תיקון רתמות טל שמיים"</f>
        <v>תיקון רתמות טל שמיים</v>
      </c>
      <c r="O665">
        <v>0.01</v>
      </c>
      <c r="P665" t="str">
        <f>"$"</f>
        <v>$</v>
      </c>
      <c r="Q665" t="str">
        <f>"000"</f>
        <v>000</v>
      </c>
      <c r="R665" t="str">
        <f>"כללית"</f>
        <v>כללית</v>
      </c>
      <c r="S665" t="str">
        <f>"034"</f>
        <v>034</v>
      </c>
      <c r="T665" t="str">
        <f>"מוסקוביץ אולגה"</f>
        <v>מוסקוביץ אולגה</v>
      </c>
      <c r="U665">
        <v>0</v>
      </c>
      <c r="V665">
        <v>0</v>
      </c>
      <c r="W665">
        <v>0.01</v>
      </c>
      <c r="X665">
        <v>0.01</v>
      </c>
      <c r="Z665" t="str">
        <f>"Y"</f>
        <v>Y</v>
      </c>
      <c r="AA665">
        <v>0</v>
      </c>
      <c r="AC665">
        <v>0</v>
      </c>
      <c r="AE665">
        <v>0</v>
      </c>
      <c r="AF665">
        <v>0</v>
      </c>
      <c r="AG665">
        <v>0.03</v>
      </c>
      <c r="AH665">
        <v>0</v>
      </c>
      <c r="AI665">
        <v>0.03</v>
      </c>
      <c r="AJ665">
        <v>0.01</v>
      </c>
      <c r="AK665">
        <v>0.01</v>
      </c>
      <c r="AL665" t="str">
        <f>"$"</f>
        <v>$</v>
      </c>
    </row>
    <row r="666" spans="1:38" x14ac:dyDescent="0.3">
      <c r="A666" t="str">
        <f>"SO20000457"</f>
        <v>SO20000457</v>
      </c>
      <c r="B666" t="str">
        <f>"E000322171"</f>
        <v>E000322171</v>
      </c>
      <c r="C666" t="str">
        <f>"בוצעה"</f>
        <v>בוצעה</v>
      </c>
      <c r="E666" s="3">
        <v>44105</v>
      </c>
      <c r="F666" s="3">
        <v>44165</v>
      </c>
      <c r="G666" t="str">
        <f>"700065"</f>
        <v>700065</v>
      </c>
      <c r="H666" t="str">
        <f>"אלתא מערכות בע""מ"</f>
        <v>אלתא מערכות בע"מ</v>
      </c>
      <c r="I666" t="str">
        <f>"ערן שלו"</f>
        <v>ערן שלו</v>
      </c>
      <c r="J666" t="str">
        <f>"cust000443"</f>
        <v>cust000443</v>
      </c>
      <c r="K666" s="1" t="str">
        <f>"1035E008-001 אלתא"</f>
        <v>1035E008-001 אלתא</v>
      </c>
      <c r="L666">
        <v>1</v>
      </c>
      <c r="M666" t="str">
        <f>"PR20000670"</f>
        <v>PR20000670</v>
      </c>
      <c r="N666" t="str">
        <f>"תיקון רתמות טל שמיים"</f>
        <v>תיקון רתמות טל שמיים</v>
      </c>
      <c r="O666">
        <v>0.01</v>
      </c>
      <c r="P666" t="str">
        <f>"$"</f>
        <v>$</v>
      </c>
      <c r="Q666" t="str">
        <f>"000"</f>
        <v>000</v>
      </c>
      <c r="R666" t="str">
        <f>"כללית"</f>
        <v>כללית</v>
      </c>
      <c r="S666" t="str">
        <f>"034"</f>
        <v>034</v>
      </c>
      <c r="T666" t="str">
        <f>"מוסקוביץ אולגה"</f>
        <v>מוסקוביץ אולגה</v>
      </c>
      <c r="U666">
        <v>0</v>
      </c>
      <c r="V666">
        <v>0</v>
      </c>
      <c r="W666">
        <v>0.01</v>
      </c>
      <c r="X666">
        <v>0.01</v>
      </c>
      <c r="Z666" t="str">
        <f>"Y"</f>
        <v>Y</v>
      </c>
      <c r="AA666">
        <v>0</v>
      </c>
      <c r="AC666">
        <v>0</v>
      </c>
      <c r="AE666">
        <v>0</v>
      </c>
      <c r="AF666">
        <v>0</v>
      </c>
      <c r="AG666">
        <v>0.03</v>
      </c>
      <c r="AH666">
        <v>0</v>
      </c>
      <c r="AI666">
        <v>0.03</v>
      </c>
      <c r="AJ666">
        <v>0.01</v>
      </c>
      <c r="AK666">
        <v>0.01</v>
      </c>
      <c r="AL666" t="str">
        <f>"$"</f>
        <v>$</v>
      </c>
    </row>
    <row r="667" spans="1:38" x14ac:dyDescent="0.3">
      <c r="A667" t="str">
        <f>"SO20000457"</f>
        <v>SO20000457</v>
      </c>
      <c r="B667" t="str">
        <f>"E000322171"</f>
        <v>E000322171</v>
      </c>
      <c r="C667" t="str">
        <f>"בוצעה"</f>
        <v>בוצעה</v>
      </c>
      <c r="E667" s="3">
        <v>44105</v>
      </c>
      <c r="F667" s="3">
        <v>44165</v>
      </c>
      <c r="G667" t="str">
        <f>"700065"</f>
        <v>700065</v>
      </c>
      <c r="H667" t="str">
        <f>"אלתא מערכות בע""מ"</f>
        <v>אלתא מערכות בע"מ</v>
      </c>
      <c r="I667" t="str">
        <f>"ערן שלו"</f>
        <v>ערן שלו</v>
      </c>
      <c r="J667" t="str">
        <f>"cust000442"</f>
        <v>cust000442</v>
      </c>
      <c r="K667" s="1" t="str">
        <f>"1035E009-001 אלתא"</f>
        <v>1035E009-001 אלתא</v>
      </c>
      <c r="L667">
        <v>1</v>
      </c>
      <c r="M667" t="str">
        <f>"PR20000670"</f>
        <v>PR20000670</v>
      </c>
      <c r="N667" t="str">
        <f>"תיקון רתמות טל שמיים"</f>
        <v>תיקון רתמות טל שמיים</v>
      </c>
      <c r="O667">
        <v>492.99</v>
      </c>
      <c r="P667" t="str">
        <f>"$"</f>
        <v>$</v>
      </c>
      <c r="Q667" t="str">
        <f>"000"</f>
        <v>000</v>
      </c>
      <c r="R667" t="str">
        <f>"כללית"</f>
        <v>כללית</v>
      </c>
      <c r="S667" t="str">
        <f>"034"</f>
        <v>034</v>
      </c>
      <c r="T667" t="str">
        <f>"מוסקוביץ אולגה"</f>
        <v>מוסקוביץ אולגה</v>
      </c>
      <c r="U667">
        <v>0</v>
      </c>
      <c r="V667">
        <v>0</v>
      </c>
      <c r="W667">
        <v>492.99</v>
      </c>
      <c r="X667">
        <v>492.99</v>
      </c>
      <c r="Z667" t="str">
        <f>"Y"</f>
        <v>Y</v>
      </c>
      <c r="AA667">
        <v>0</v>
      </c>
      <c r="AC667">
        <v>0</v>
      </c>
      <c r="AE667">
        <v>0</v>
      </c>
      <c r="AF667">
        <v>0</v>
      </c>
      <c r="AG667" s="2">
        <v>1689.48</v>
      </c>
      <c r="AH667">
        <v>0</v>
      </c>
      <c r="AI667" s="2">
        <v>1689.48</v>
      </c>
      <c r="AJ667">
        <v>492.99</v>
      </c>
      <c r="AK667">
        <v>492.99</v>
      </c>
      <c r="AL667" t="str">
        <f>"$"</f>
        <v>$</v>
      </c>
    </row>
    <row r="668" spans="1:38" x14ac:dyDescent="0.3">
      <c r="A668" t="str">
        <f>"SO20000457"</f>
        <v>SO20000457</v>
      </c>
      <c r="B668" t="str">
        <f>"E000322171"</f>
        <v>E000322171</v>
      </c>
      <c r="C668" t="str">
        <f>"בוצעה"</f>
        <v>בוצעה</v>
      </c>
      <c r="E668" s="3">
        <v>44105</v>
      </c>
      <c r="F668" s="3">
        <v>44165</v>
      </c>
      <c r="G668" t="str">
        <f>"700065"</f>
        <v>700065</v>
      </c>
      <c r="H668" t="str">
        <f>"אלתא מערכות בע""מ"</f>
        <v>אלתא מערכות בע"מ</v>
      </c>
      <c r="I668" t="str">
        <f>"ערן שלו"</f>
        <v>ערן שלו</v>
      </c>
      <c r="J668" t="str">
        <f>"cust000441"</f>
        <v>cust000441</v>
      </c>
      <c r="K668" s="1" t="str">
        <f>"1035E010-001 אלתא"</f>
        <v>1035E010-001 אלתא</v>
      </c>
      <c r="L668">
        <v>1</v>
      </c>
      <c r="M668" t="str">
        <f>"PR20000670"</f>
        <v>PR20000670</v>
      </c>
      <c r="N668" t="str">
        <f>"תיקון רתמות טל שמיים"</f>
        <v>תיקון רתמות טל שמיים</v>
      </c>
      <c r="O668">
        <v>946.47</v>
      </c>
      <c r="P668" t="str">
        <f>"$"</f>
        <v>$</v>
      </c>
      <c r="Q668" t="str">
        <f>"000"</f>
        <v>000</v>
      </c>
      <c r="R668" t="str">
        <f>"כללית"</f>
        <v>כללית</v>
      </c>
      <c r="S668" t="str">
        <f>"034"</f>
        <v>034</v>
      </c>
      <c r="T668" t="str">
        <f>"מוסקוביץ אולגה"</f>
        <v>מוסקוביץ אולגה</v>
      </c>
      <c r="U668">
        <v>0</v>
      </c>
      <c r="V668">
        <v>0</v>
      </c>
      <c r="W668">
        <v>946.47</v>
      </c>
      <c r="X668">
        <v>946.47</v>
      </c>
      <c r="Z668" t="str">
        <f>"Y"</f>
        <v>Y</v>
      </c>
      <c r="AA668">
        <v>0</v>
      </c>
      <c r="AC668">
        <v>0</v>
      </c>
      <c r="AE668">
        <v>0</v>
      </c>
      <c r="AF668">
        <v>0</v>
      </c>
      <c r="AG668" s="2">
        <v>3243.55</v>
      </c>
      <c r="AH668">
        <v>0</v>
      </c>
      <c r="AI668" s="2">
        <v>3243.55</v>
      </c>
      <c r="AJ668">
        <v>946.47</v>
      </c>
      <c r="AK668">
        <v>946.47</v>
      </c>
      <c r="AL668" t="str">
        <f>"$"</f>
        <v>$</v>
      </c>
    </row>
    <row r="669" spans="1:38" x14ac:dyDescent="0.3">
      <c r="A669" t="str">
        <f>"SO20000459"</f>
        <v>SO20000459</v>
      </c>
      <c r="B669" t="str">
        <f>"E000322051"</f>
        <v>E000322051</v>
      </c>
      <c r="C669" t="str">
        <f>"בוצעה"</f>
        <v>בוצעה</v>
      </c>
      <c r="E669" s="3">
        <v>44115</v>
      </c>
      <c r="F669" s="3">
        <v>44166</v>
      </c>
      <c r="G669" t="str">
        <f>"700065"</f>
        <v>700065</v>
      </c>
      <c r="H669" t="str">
        <f>"אלתא מערכות בע""מ"</f>
        <v>אלתא מערכות בע"מ</v>
      </c>
      <c r="I669" t="str">
        <f>"ערן שלו"</f>
        <v>ערן שלו</v>
      </c>
      <c r="J669" t="str">
        <f>"OP-AR02135"</f>
        <v>OP-AR02135</v>
      </c>
      <c r="K669" s="1" t="str">
        <f>"שדרוג גלקטיקה 1025A690-001"</f>
        <v>שדרוג גלקטיקה 1025A690-001</v>
      </c>
      <c r="L669">
        <v>2</v>
      </c>
      <c r="M669" t="str">
        <f>"PR20000696"</f>
        <v>PR20000696</v>
      </c>
      <c r="N669" t="str">
        <f>"שדרוג 4 מערכות DC גלקטיקה"</f>
        <v>שדרוג 4 מערכות DC גלקטיקה</v>
      </c>
      <c r="O669">
        <v>0</v>
      </c>
      <c r="P669" t="str">
        <f>"$"</f>
        <v>$</v>
      </c>
      <c r="Q669" t="str">
        <f>"112"</f>
        <v>112</v>
      </c>
      <c r="R669" t="str">
        <f>"תיקון תקלות"</f>
        <v>תיקון תקלות</v>
      </c>
      <c r="S669" t="str">
        <f>"034"</f>
        <v>034</v>
      </c>
      <c r="T669" t="str">
        <f>"מוסקוביץ אולגה"</f>
        <v>מוסקוביץ אולגה</v>
      </c>
      <c r="U669">
        <v>0</v>
      </c>
      <c r="V669">
        <v>0</v>
      </c>
      <c r="W669">
        <v>0</v>
      </c>
      <c r="X669">
        <v>0</v>
      </c>
      <c r="Z669" t="str">
        <f>"Y"</f>
        <v>Y</v>
      </c>
      <c r="AA669">
        <v>0</v>
      </c>
      <c r="AC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 t="str">
        <f>"$"</f>
        <v>$</v>
      </c>
    </row>
    <row r="670" spans="1:38" x14ac:dyDescent="0.3">
      <c r="A670" t="str">
        <f>"SO20000459"</f>
        <v>SO20000459</v>
      </c>
      <c r="B670" t="str">
        <f>"E000322051"</f>
        <v>E000322051</v>
      </c>
      <c r="C670" t="str">
        <f>"בוצעה"</f>
        <v>בוצעה</v>
      </c>
      <c r="E670" s="3">
        <v>44115</v>
      </c>
      <c r="F670" s="3">
        <v>44430</v>
      </c>
      <c r="G670" t="str">
        <f>"700065"</f>
        <v>700065</v>
      </c>
      <c r="H670" t="str">
        <f>"אלתא מערכות בע""מ"</f>
        <v>אלתא מערכות בע"מ</v>
      </c>
      <c r="I670" t="str">
        <f>"ערן שלו"</f>
        <v>ערן שלו</v>
      </c>
      <c r="J670" t="str">
        <f>"OP-AR02135"</f>
        <v>OP-AR02135</v>
      </c>
      <c r="K670" s="1" t="str">
        <f>"שדרוג גלקטיקה 1025A690-001"</f>
        <v>שדרוג גלקטיקה 1025A690-001</v>
      </c>
      <c r="L670">
        <v>1</v>
      </c>
      <c r="M670" t="str">
        <f>"PR20000696"</f>
        <v>PR20000696</v>
      </c>
      <c r="N670" t="str">
        <f>"שדרוג 4 מערכות DC גלקטיקה"</f>
        <v>שדרוג 4 מערכות DC גלקטיקה</v>
      </c>
      <c r="O670">
        <v>0</v>
      </c>
      <c r="P670" t="str">
        <f>"$"</f>
        <v>$</v>
      </c>
      <c r="Q670" t="str">
        <f>"112"</f>
        <v>112</v>
      </c>
      <c r="R670" t="str">
        <f>"תיקון תקלות"</f>
        <v>תיקון תקלות</v>
      </c>
      <c r="S670" t="str">
        <f>"034"</f>
        <v>034</v>
      </c>
      <c r="T670" t="str">
        <f>"מוסקוביץ אולגה"</f>
        <v>מוסקוביץ אולגה</v>
      </c>
      <c r="U670">
        <v>0</v>
      </c>
      <c r="V670">
        <v>0</v>
      </c>
      <c r="W670">
        <v>0</v>
      </c>
      <c r="X670">
        <v>0</v>
      </c>
      <c r="Z670" t="str">
        <f>"Y"</f>
        <v>Y</v>
      </c>
      <c r="AA670">
        <v>0</v>
      </c>
      <c r="AC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 t="str">
        <f>"$"</f>
        <v>$</v>
      </c>
    </row>
    <row r="671" spans="1:38" x14ac:dyDescent="0.3">
      <c r="A671" t="str">
        <f>"SO20000461"</f>
        <v>SO20000461</v>
      </c>
      <c r="B671" t="str">
        <f>"E000321841"</f>
        <v>E000321841</v>
      </c>
      <c r="C671" t="str">
        <f>"בוצעה"</f>
        <v>בוצעה</v>
      </c>
      <c r="E671" s="3">
        <v>44116</v>
      </c>
      <c r="F671" s="3">
        <v>44195</v>
      </c>
      <c r="G671" t="str">
        <f>"700065"</f>
        <v>700065</v>
      </c>
      <c r="H671" t="str">
        <f>"אלתא מערכות בע""מ"</f>
        <v>אלתא מערכות בע"מ</v>
      </c>
      <c r="I671" t="str">
        <f>"ערן שלו"</f>
        <v>ערן שלו</v>
      </c>
      <c r="J671" t="str">
        <f>"OP-AR01297"</f>
        <v>OP-AR01297</v>
      </c>
      <c r="K671" s="1" t="str">
        <f>"שדרוג יחידה LB PDB"</f>
        <v>שדרוג יחידה LB PDB</v>
      </c>
      <c r="L671">
        <v>1</v>
      </c>
      <c r="M671" t="str">
        <f>"PR19000454"</f>
        <v>PR19000454</v>
      </c>
      <c r="N671" t="str">
        <f>"שדרוג יחידות LB PDB"</f>
        <v>שדרוג יחידות LB PDB</v>
      </c>
      <c r="O671" s="2">
        <v>2549</v>
      </c>
      <c r="P671" t="str">
        <f>"$"</f>
        <v>$</v>
      </c>
      <c r="Q671" t="str">
        <f>"000"</f>
        <v>000</v>
      </c>
      <c r="R671" t="str">
        <f>"כללית"</f>
        <v>כללית</v>
      </c>
      <c r="S671" t="str">
        <f>"034"</f>
        <v>034</v>
      </c>
      <c r="T671" t="str">
        <f>"מוסקוביץ אולגה"</f>
        <v>מוסקוביץ אולגה</v>
      </c>
      <c r="U671">
        <v>0</v>
      </c>
      <c r="V671">
        <v>0</v>
      </c>
      <c r="W671" s="2">
        <v>2549</v>
      </c>
      <c r="X671" s="2">
        <v>2549</v>
      </c>
      <c r="Z671" t="str">
        <f>"Y"</f>
        <v>Y</v>
      </c>
      <c r="AA671">
        <v>0</v>
      </c>
      <c r="AC671">
        <v>0</v>
      </c>
      <c r="AE671">
        <v>0</v>
      </c>
      <c r="AF671">
        <v>0</v>
      </c>
      <c r="AG671" s="2">
        <v>8623.27</v>
      </c>
      <c r="AH671">
        <v>0</v>
      </c>
      <c r="AI671" s="2">
        <v>8623.27</v>
      </c>
      <c r="AJ671" s="2">
        <v>2549</v>
      </c>
      <c r="AK671" s="2">
        <v>2549</v>
      </c>
      <c r="AL671" t="str">
        <f>"$"</f>
        <v>$</v>
      </c>
    </row>
    <row r="672" spans="1:38" x14ac:dyDescent="0.3">
      <c r="A672" t="str">
        <f>"SO20000461"</f>
        <v>SO20000461</v>
      </c>
      <c r="B672" t="str">
        <f>"E000321841"</f>
        <v>E000321841</v>
      </c>
      <c r="C672" t="str">
        <f>"בוצעה"</f>
        <v>בוצעה</v>
      </c>
      <c r="E672" s="3">
        <v>44116</v>
      </c>
      <c r="F672" s="3">
        <v>44195</v>
      </c>
      <c r="G672" t="str">
        <f>"700065"</f>
        <v>700065</v>
      </c>
      <c r="H672" t="str">
        <f>"אלתא מערכות בע""מ"</f>
        <v>אלתא מערכות בע"מ</v>
      </c>
      <c r="I672" t="str">
        <f>"ערן שלו"</f>
        <v>ערן שלו</v>
      </c>
      <c r="J672" t="str">
        <f>"OP-AR01297"</f>
        <v>OP-AR01297</v>
      </c>
      <c r="K672" s="1" t="str">
        <f>"שדרוג יחידה LB PDB"</f>
        <v>שדרוג יחידה LB PDB</v>
      </c>
      <c r="L672">
        <v>1</v>
      </c>
      <c r="M672" t="str">
        <f>"PR19000454"</f>
        <v>PR19000454</v>
      </c>
      <c r="N672" t="str">
        <f>"שדרוג יחידות LB PDB"</f>
        <v>שדרוג יחידות LB PDB</v>
      </c>
      <c r="O672" s="2">
        <v>2549</v>
      </c>
      <c r="P672" t="str">
        <f>"$"</f>
        <v>$</v>
      </c>
      <c r="Q672" t="str">
        <f>"000"</f>
        <v>000</v>
      </c>
      <c r="R672" t="str">
        <f>"כללית"</f>
        <v>כללית</v>
      </c>
      <c r="S672" t="str">
        <f>"034"</f>
        <v>034</v>
      </c>
      <c r="T672" t="str">
        <f>"מוסקוביץ אולגה"</f>
        <v>מוסקוביץ אולגה</v>
      </c>
      <c r="U672">
        <v>0</v>
      </c>
      <c r="V672">
        <v>0</v>
      </c>
      <c r="W672" s="2">
        <v>2549</v>
      </c>
      <c r="X672" s="2">
        <v>2549</v>
      </c>
      <c r="Z672" t="str">
        <f>"Y"</f>
        <v>Y</v>
      </c>
      <c r="AA672">
        <v>0</v>
      </c>
      <c r="AC672">
        <v>0</v>
      </c>
      <c r="AE672">
        <v>0</v>
      </c>
      <c r="AF672">
        <v>0</v>
      </c>
      <c r="AG672" s="2">
        <v>8623.27</v>
      </c>
      <c r="AH672">
        <v>0</v>
      </c>
      <c r="AI672" s="2">
        <v>8623.27</v>
      </c>
      <c r="AJ672" s="2">
        <v>2549</v>
      </c>
      <c r="AK672" s="2">
        <v>2549</v>
      </c>
      <c r="AL672" t="str">
        <f>"$"</f>
        <v>$</v>
      </c>
    </row>
    <row r="673" spans="1:38" x14ac:dyDescent="0.3">
      <c r="A673" t="str">
        <f>"SO20000461"</f>
        <v>SO20000461</v>
      </c>
      <c r="B673" t="str">
        <f>"E000321841"</f>
        <v>E000321841</v>
      </c>
      <c r="C673" t="str">
        <f>"בוצעה"</f>
        <v>בוצעה</v>
      </c>
      <c r="E673" s="3">
        <v>44116</v>
      </c>
      <c r="F673" s="3">
        <v>44195</v>
      </c>
      <c r="G673" t="str">
        <f>"700065"</f>
        <v>700065</v>
      </c>
      <c r="H673" t="str">
        <f>"אלתא מערכות בע""מ"</f>
        <v>אלתא מערכות בע"מ</v>
      </c>
      <c r="I673" t="str">
        <f>"ערן שלו"</f>
        <v>ערן שלו</v>
      </c>
      <c r="J673" t="str">
        <f>"OP-AR01297"</f>
        <v>OP-AR01297</v>
      </c>
      <c r="K673" s="1" t="str">
        <f>"שדרוג יחידה LB PDB"</f>
        <v>שדרוג יחידה LB PDB</v>
      </c>
      <c r="L673">
        <v>1</v>
      </c>
      <c r="M673" t="str">
        <f>"PR19000454"</f>
        <v>PR19000454</v>
      </c>
      <c r="N673" t="str">
        <f>"שדרוג יחידות LB PDB"</f>
        <v>שדרוג יחידות LB PDB</v>
      </c>
      <c r="O673" s="2">
        <v>2549</v>
      </c>
      <c r="P673" t="str">
        <f>"$"</f>
        <v>$</v>
      </c>
      <c r="Q673" t="str">
        <f>"000"</f>
        <v>000</v>
      </c>
      <c r="R673" t="str">
        <f>"כללית"</f>
        <v>כללית</v>
      </c>
      <c r="S673" t="str">
        <f>"034"</f>
        <v>034</v>
      </c>
      <c r="T673" t="str">
        <f>"מוסקוביץ אולגה"</f>
        <v>מוסקוביץ אולגה</v>
      </c>
      <c r="U673">
        <v>0</v>
      </c>
      <c r="V673">
        <v>0</v>
      </c>
      <c r="W673" s="2">
        <v>2549</v>
      </c>
      <c r="X673" s="2">
        <v>2549</v>
      </c>
      <c r="Z673" t="str">
        <f>"Y"</f>
        <v>Y</v>
      </c>
      <c r="AA673">
        <v>0</v>
      </c>
      <c r="AC673">
        <v>0</v>
      </c>
      <c r="AE673">
        <v>0</v>
      </c>
      <c r="AF673">
        <v>0</v>
      </c>
      <c r="AG673" s="2">
        <v>8623.27</v>
      </c>
      <c r="AH673">
        <v>0</v>
      </c>
      <c r="AI673" s="2">
        <v>8623.27</v>
      </c>
      <c r="AJ673" s="2">
        <v>2549</v>
      </c>
      <c r="AK673" s="2">
        <v>2549</v>
      </c>
      <c r="AL673" t="str">
        <f>"$"</f>
        <v>$</v>
      </c>
    </row>
    <row r="674" spans="1:38" x14ac:dyDescent="0.3">
      <c r="A674" t="str">
        <f>"SO20000461"</f>
        <v>SO20000461</v>
      </c>
      <c r="B674" t="str">
        <f>"E000321841"</f>
        <v>E000321841</v>
      </c>
      <c r="C674" t="str">
        <f>"בוצעה"</f>
        <v>בוצעה</v>
      </c>
      <c r="E674" s="3">
        <v>44116</v>
      </c>
      <c r="F674" s="3">
        <v>44195</v>
      </c>
      <c r="G674" t="str">
        <f>"700065"</f>
        <v>700065</v>
      </c>
      <c r="H674" t="str">
        <f>"אלתא מערכות בע""מ"</f>
        <v>אלתא מערכות בע"מ</v>
      </c>
      <c r="I674" t="str">
        <f>"ערן שלו"</f>
        <v>ערן שלו</v>
      </c>
      <c r="J674" t="str">
        <f>"OP-AR01297"</f>
        <v>OP-AR01297</v>
      </c>
      <c r="K674" s="1" t="str">
        <f>"שדרוג יחידה LB PDB"</f>
        <v>שדרוג יחידה LB PDB</v>
      </c>
      <c r="L674">
        <v>1</v>
      </c>
      <c r="M674" t="str">
        <f>"PR19000454"</f>
        <v>PR19000454</v>
      </c>
      <c r="N674" t="str">
        <f>"שדרוג יחידות LB PDB"</f>
        <v>שדרוג יחידות LB PDB</v>
      </c>
      <c r="O674" s="2">
        <v>2549</v>
      </c>
      <c r="P674" t="str">
        <f>"$"</f>
        <v>$</v>
      </c>
      <c r="Q674" t="str">
        <f>"000"</f>
        <v>000</v>
      </c>
      <c r="R674" t="str">
        <f>"כללית"</f>
        <v>כללית</v>
      </c>
      <c r="S674" t="str">
        <f>"034"</f>
        <v>034</v>
      </c>
      <c r="T674" t="str">
        <f>"מוסקוביץ אולגה"</f>
        <v>מוסקוביץ אולגה</v>
      </c>
      <c r="U674">
        <v>0</v>
      </c>
      <c r="V674">
        <v>0</v>
      </c>
      <c r="W674" s="2">
        <v>2549</v>
      </c>
      <c r="X674" s="2">
        <v>2549</v>
      </c>
      <c r="Z674" t="str">
        <f>"Y"</f>
        <v>Y</v>
      </c>
      <c r="AA674">
        <v>0</v>
      </c>
      <c r="AC674">
        <v>0</v>
      </c>
      <c r="AE674">
        <v>0</v>
      </c>
      <c r="AF674">
        <v>0</v>
      </c>
      <c r="AG674" s="2">
        <v>8623.27</v>
      </c>
      <c r="AH674">
        <v>0</v>
      </c>
      <c r="AI674" s="2">
        <v>8623.27</v>
      </c>
      <c r="AJ674" s="2">
        <v>2549</v>
      </c>
      <c r="AK674" s="2">
        <v>2549</v>
      </c>
      <c r="AL674" t="str">
        <f>"$"</f>
        <v>$</v>
      </c>
    </row>
    <row r="675" spans="1:38" x14ac:dyDescent="0.3">
      <c r="A675" t="str">
        <f>"SO20000461"</f>
        <v>SO20000461</v>
      </c>
      <c r="B675" t="str">
        <f>"E000321841"</f>
        <v>E000321841</v>
      </c>
      <c r="C675" t="str">
        <f>"בוצעה"</f>
        <v>בוצעה</v>
      </c>
      <c r="E675" s="3">
        <v>44116</v>
      </c>
      <c r="F675" s="3">
        <v>44195</v>
      </c>
      <c r="G675" t="str">
        <f>"700065"</f>
        <v>700065</v>
      </c>
      <c r="H675" t="str">
        <f>"אלתא מערכות בע""מ"</f>
        <v>אלתא מערכות בע"מ</v>
      </c>
      <c r="I675" t="str">
        <f>"ערן שלו"</f>
        <v>ערן שלו</v>
      </c>
      <c r="J675" t="str">
        <f>"OP-AR01297"</f>
        <v>OP-AR01297</v>
      </c>
      <c r="K675" s="1" t="str">
        <f>"שדרוג יחידה LB PDB"</f>
        <v>שדרוג יחידה LB PDB</v>
      </c>
      <c r="L675">
        <v>1</v>
      </c>
      <c r="M675" t="str">
        <f>"PR19000454"</f>
        <v>PR19000454</v>
      </c>
      <c r="N675" t="str">
        <f>"שדרוג יחידות LB PDB"</f>
        <v>שדרוג יחידות LB PDB</v>
      </c>
      <c r="O675" s="2">
        <v>2549</v>
      </c>
      <c r="P675" t="str">
        <f>"$"</f>
        <v>$</v>
      </c>
      <c r="Q675" t="str">
        <f>"000"</f>
        <v>000</v>
      </c>
      <c r="R675" t="str">
        <f>"כללית"</f>
        <v>כללית</v>
      </c>
      <c r="S675" t="str">
        <f>"034"</f>
        <v>034</v>
      </c>
      <c r="T675" t="str">
        <f>"מוסקוביץ אולגה"</f>
        <v>מוסקוביץ אולגה</v>
      </c>
      <c r="U675">
        <v>0</v>
      </c>
      <c r="V675">
        <v>0</v>
      </c>
      <c r="W675" s="2">
        <v>2549</v>
      </c>
      <c r="X675" s="2">
        <v>2549</v>
      </c>
      <c r="Z675" t="str">
        <f>"Y"</f>
        <v>Y</v>
      </c>
      <c r="AA675">
        <v>0</v>
      </c>
      <c r="AC675">
        <v>0</v>
      </c>
      <c r="AE675">
        <v>0</v>
      </c>
      <c r="AF675">
        <v>0</v>
      </c>
      <c r="AG675" s="2">
        <v>8623.27</v>
      </c>
      <c r="AH675">
        <v>0</v>
      </c>
      <c r="AI675" s="2">
        <v>8623.27</v>
      </c>
      <c r="AJ675" s="2">
        <v>2549</v>
      </c>
      <c r="AK675" s="2">
        <v>2549</v>
      </c>
      <c r="AL675" t="str">
        <f>"$"</f>
        <v>$</v>
      </c>
    </row>
    <row r="676" spans="1:38" x14ac:dyDescent="0.3">
      <c r="A676" t="str">
        <f>"SO20000461"</f>
        <v>SO20000461</v>
      </c>
      <c r="B676" t="str">
        <f>"E000321841"</f>
        <v>E000321841</v>
      </c>
      <c r="C676" t="str">
        <f>"בוצעה"</f>
        <v>בוצעה</v>
      </c>
      <c r="E676" s="3">
        <v>44116</v>
      </c>
      <c r="F676" s="3">
        <v>44195</v>
      </c>
      <c r="G676" t="str">
        <f>"700065"</f>
        <v>700065</v>
      </c>
      <c r="H676" t="str">
        <f>"אלתא מערכות בע""מ"</f>
        <v>אלתא מערכות בע"מ</v>
      </c>
      <c r="I676" t="str">
        <f>"ערן שלו"</f>
        <v>ערן שלו</v>
      </c>
      <c r="J676" t="str">
        <f>"OP-AR01297"</f>
        <v>OP-AR01297</v>
      </c>
      <c r="K676" s="1" t="str">
        <f>"שדרוג יחידה LB PDB"</f>
        <v>שדרוג יחידה LB PDB</v>
      </c>
      <c r="L676">
        <v>1</v>
      </c>
      <c r="M676" t="str">
        <f>"PR19000454"</f>
        <v>PR19000454</v>
      </c>
      <c r="N676" t="str">
        <f>"שדרוג יחידות LB PDB"</f>
        <v>שדרוג יחידות LB PDB</v>
      </c>
      <c r="O676" s="2">
        <v>2549</v>
      </c>
      <c r="P676" t="str">
        <f>"$"</f>
        <v>$</v>
      </c>
      <c r="Q676" t="str">
        <f>"000"</f>
        <v>000</v>
      </c>
      <c r="R676" t="str">
        <f>"כללית"</f>
        <v>כללית</v>
      </c>
      <c r="S676" t="str">
        <f>"034"</f>
        <v>034</v>
      </c>
      <c r="T676" t="str">
        <f>"מוסקוביץ אולגה"</f>
        <v>מוסקוביץ אולגה</v>
      </c>
      <c r="U676">
        <v>0</v>
      </c>
      <c r="V676">
        <v>0</v>
      </c>
      <c r="W676" s="2">
        <v>2549</v>
      </c>
      <c r="X676" s="2">
        <v>2549</v>
      </c>
      <c r="Z676" t="str">
        <f>"Y"</f>
        <v>Y</v>
      </c>
      <c r="AA676">
        <v>0</v>
      </c>
      <c r="AC676">
        <v>0</v>
      </c>
      <c r="AE676">
        <v>0</v>
      </c>
      <c r="AF676">
        <v>0</v>
      </c>
      <c r="AG676" s="2">
        <v>8623.27</v>
      </c>
      <c r="AH676">
        <v>0</v>
      </c>
      <c r="AI676" s="2">
        <v>8623.27</v>
      </c>
      <c r="AJ676" s="2">
        <v>2549</v>
      </c>
      <c r="AK676" s="2">
        <v>2549</v>
      </c>
      <c r="AL676" t="str">
        <f>"$"</f>
        <v>$</v>
      </c>
    </row>
    <row r="677" spans="1:38" x14ac:dyDescent="0.3">
      <c r="A677" t="str">
        <f>"SO20000465"</f>
        <v>SO20000465</v>
      </c>
      <c r="B677" t="str">
        <f>"E000323390"</f>
        <v>E000323390</v>
      </c>
      <c r="C677" t="str">
        <f>"בוצעה"</f>
        <v>בוצעה</v>
      </c>
      <c r="E677" s="3">
        <v>44119</v>
      </c>
      <c r="F677" s="3">
        <v>44206</v>
      </c>
      <c r="G677" t="str">
        <f>"700065"</f>
        <v>700065</v>
      </c>
      <c r="H677" t="str">
        <f>"אלתא מערכות בע""מ"</f>
        <v>אלתא מערכות בע"מ</v>
      </c>
      <c r="I677" t="str">
        <f>"ערן שלו"</f>
        <v>ערן שלו</v>
      </c>
      <c r="J677" t="str">
        <f>"OP-AR02047"</f>
        <v>OP-AR02047</v>
      </c>
      <c r="K677" s="1" t="str">
        <f>"1032F785-001/B - HARNESS W785"</f>
        <v>1032F785-001/B - HARNESS W785</v>
      </c>
      <c r="L677">
        <v>1</v>
      </c>
      <c r="M677" t="str">
        <f>"PR20000709"</f>
        <v>PR20000709</v>
      </c>
      <c r="N677" t="str">
        <f>"HARNESS  - ACR"</f>
        <v>HARNESS  - ACR</v>
      </c>
      <c r="O677">
        <v>769.94</v>
      </c>
      <c r="P677" t="str">
        <f>"$"</f>
        <v>$</v>
      </c>
      <c r="Q677" t="str">
        <f>"000"</f>
        <v>000</v>
      </c>
      <c r="R677" t="str">
        <f>"כללית"</f>
        <v>כללית</v>
      </c>
      <c r="S677" t="str">
        <f>"034"</f>
        <v>034</v>
      </c>
      <c r="T677" t="str">
        <f>"מוסקוביץ אולגה"</f>
        <v>מוסקוביץ אולגה</v>
      </c>
      <c r="U677">
        <v>0</v>
      </c>
      <c r="V677">
        <v>0</v>
      </c>
      <c r="W677">
        <v>769.94</v>
      </c>
      <c r="X677">
        <v>769.94</v>
      </c>
      <c r="Z677" t="str">
        <f>"Y"</f>
        <v>Y</v>
      </c>
      <c r="AA677">
        <v>0</v>
      </c>
      <c r="AC677">
        <v>0</v>
      </c>
      <c r="AE677">
        <v>0</v>
      </c>
      <c r="AF677">
        <v>0</v>
      </c>
      <c r="AG677" s="2">
        <v>2613.1799999999998</v>
      </c>
      <c r="AH677">
        <v>0</v>
      </c>
      <c r="AI677" s="2">
        <v>2613.1799999999998</v>
      </c>
      <c r="AJ677">
        <v>769.94</v>
      </c>
      <c r="AK677">
        <v>769.94</v>
      </c>
      <c r="AL677" t="str">
        <f>"$"</f>
        <v>$</v>
      </c>
    </row>
    <row r="678" spans="1:38" x14ac:dyDescent="0.3">
      <c r="A678" t="str">
        <f>"SO20000465"</f>
        <v>SO20000465</v>
      </c>
      <c r="B678" t="str">
        <f>"E000323390"</f>
        <v>E000323390</v>
      </c>
      <c r="C678" t="str">
        <f>"בוצעה"</f>
        <v>בוצעה</v>
      </c>
      <c r="E678" s="3">
        <v>44119</v>
      </c>
      <c r="F678" s="3">
        <v>44206</v>
      </c>
      <c r="G678" t="str">
        <f>"700065"</f>
        <v>700065</v>
      </c>
      <c r="H678" t="str">
        <f>"אלתא מערכות בע""מ"</f>
        <v>אלתא מערכות בע"מ</v>
      </c>
      <c r="I678" t="str">
        <f>"ערן שלו"</f>
        <v>ערן שלו</v>
      </c>
      <c r="J678" t="str">
        <f>"OP-AR02048"</f>
        <v>OP-AR02048</v>
      </c>
      <c r="K678" s="1" t="str">
        <f>"1032F786-001/B - HARNESS W786"</f>
        <v>1032F786-001/B - HARNESS W786</v>
      </c>
      <c r="L678">
        <v>1</v>
      </c>
      <c r="M678" t="str">
        <f>"PR20000709"</f>
        <v>PR20000709</v>
      </c>
      <c r="N678" t="str">
        <f>"HARNESS  - ACR"</f>
        <v>HARNESS  - ACR</v>
      </c>
      <c r="O678">
        <v>276.61</v>
      </c>
      <c r="P678" t="str">
        <f>"$"</f>
        <v>$</v>
      </c>
      <c r="Q678" t="str">
        <f>"000"</f>
        <v>000</v>
      </c>
      <c r="R678" t="str">
        <f>"כללית"</f>
        <v>כללית</v>
      </c>
      <c r="S678" t="str">
        <f>"034"</f>
        <v>034</v>
      </c>
      <c r="T678" t="str">
        <f>"מוסקוביץ אולגה"</f>
        <v>מוסקוביץ אולגה</v>
      </c>
      <c r="U678">
        <v>0</v>
      </c>
      <c r="V678">
        <v>0</v>
      </c>
      <c r="W678">
        <v>276.61</v>
      </c>
      <c r="X678">
        <v>276.61</v>
      </c>
      <c r="Z678" t="str">
        <f>"Y"</f>
        <v>Y</v>
      </c>
      <c r="AA678">
        <v>0</v>
      </c>
      <c r="AC678">
        <v>0</v>
      </c>
      <c r="AE678">
        <v>0</v>
      </c>
      <c r="AF678">
        <v>0</v>
      </c>
      <c r="AG678">
        <v>938.81</v>
      </c>
      <c r="AH678">
        <v>0</v>
      </c>
      <c r="AI678">
        <v>938.81</v>
      </c>
      <c r="AJ678">
        <v>276.61</v>
      </c>
      <c r="AK678">
        <v>276.61</v>
      </c>
      <c r="AL678" t="str">
        <f>"$"</f>
        <v>$</v>
      </c>
    </row>
    <row r="679" spans="1:38" x14ac:dyDescent="0.3">
      <c r="A679" t="str">
        <f>"SO20000469"</f>
        <v>SO20000469</v>
      </c>
      <c r="B679" t="str">
        <f>"E000323520"</f>
        <v>E000323520</v>
      </c>
      <c r="C679" t="str">
        <f>"בוצעה"</f>
        <v>בוצעה</v>
      </c>
      <c r="E679" s="3">
        <v>44123</v>
      </c>
      <c r="F679" s="3">
        <v>44136</v>
      </c>
      <c r="G679" t="str">
        <f>"700065"</f>
        <v>700065</v>
      </c>
      <c r="H679" t="str">
        <f>"אלתא מערכות בע""מ"</f>
        <v>אלתא מערכות בע"מ</v>
      </c>
      <c r="I679" t="str">
        <f>"ערן שלו"</f>
        <v>ערן שלו</v>
      </c>
      <c r="J679" t="str">
        <f>"cust00914"</f>
        <v>cust00914</v>
      </c>
      <c r="K679" s="1" t="str">
        <f>"AC SUPPLY CONTROL BOX אלתא"</f>
        <v>AC SUPPLY CONTROL BOX אלתא</v>
      </c>
      <c r="L679">
        <v>1</v>
      </c>
      <c r="M679" t="str">
        <f>"PR20000727"</f>
        <v>PR20000727</v>
      </c>
      <c r="N679" t="str">
        <f>"תיקון מגירה E000323520"</f>
        <v>תיקון מגירה E000323520</v>
      </c>
      <c r="O679">
        <v>0</v>
      </c>
      <c r="P679" t="str">
        <f>"$"</f>
        <v>$</v>
      </c>
      <c r="Q679" t="str">
        <f>"000"</f>
        <v>000</v>
      </c>
      <c r="R679" t="str">
        <f>"כללית"</f>
        <v>כללית</v>
      </c>
      <c r="S679" t="str">
        <f>"034"</f>
        <v>034</v>
      </c>
      <c r="T679" t="str">
        <f>"מוסקוביץ אולגה"</f>
        <v>מוסקוביץ אולגה</v>
      </c>
      <c r="U679">
        <v>0</v>
      </c>
      <c r="V679">
        <v>0</v>
      </c>
      <c r="W679">
        <v>0</v>
      </c>
      <c r="X679">
        <v>0</v>
      </c>
      <c r="Z679" t="str">
        <f>"Y"</f>
        <v>Y</v>
      </c>
      <c r="AA679">
        <v>0</v>
      </c>
      <c r="AC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 t="str">
        <f>"$"</f>
        <v>$</v>
      </c>
    </row>
    <row r="680" spans="1:38" x14ac:dyDescent="0.3">
      <c r="A680" t="str">
        <f>"SO20000475"</f>
        <v>SO20000475</v>
      </c>
      <c r="C680" t="str">
        <f>"בוצעה"</f>
        <v>בוצעה</v>
      </c>
      <c r="E680" s="3">
        <v>44125</v>
      </c>
      <c r="F680" s="3">
        <v>44125</v>
      </c>
      <c r="G680" t="str">
        <f>"700065"</f>
        <v>700065</v>
      </c>
      <c r="H680" t="str">
        <f>"אלתא מערכות בע""מ"</f>
        <v>אלתא מערכות בע"מ</v>
      </c>
      <c r="J680" t="str">
        <f>"cust00999"</f>
        <v>cust00999</v>
      </c>
      <c r="K680" s="1" t="str">
        <f>"כבל ניאופרן 5X35 אלתא"</f>
        <v>כבל ניאופרן 5X35 אלתא</v>
      </c>
      <c r="L680">
        <v>20</v>
      </c>
      <c r="M680" t="str">
        <f>"PR19000454"</f>
        <v>PR19000454</v>
      </c>
      <c r="N680" t="str">
        <f>"שדרוג יחידות LB PDB"</f>
        <v>שדרוג יחידות LB PDB</v>
      </c>
      <c r="O680">
        <v>0</v>
      </c>
      <c r="P680" t="str">
        <f>"$"</f>
        <v>$</v>
      </c>
      <c r="Q680" t="str">
        <f>"070"</f>
        <v>070</v>
      </c>
      <c r="R680" t="str">
        <f>"הזמנה פנימית"</f>
        <v>הזמנה פנימית</v>
      </c>
      <c r="T680" t="str">
        <f>"גנם הודיה"</f>
        <v>גנם הודיה</v>
      </c>
      <c r="U680">
        <v>0</v>
      </c>
      <c r="V680">
        <v>0</v>
      </c>
      <c r="W680">
        <v>0</v>
      </c>
      <c r="X680">
        <v>0</v>
      </c>
      <c r="Z680" t="str">
        <f>"Y"</f>
        <v>Y</v>
      </c>
      <c r="AA680">
        <v>0</v>
      </c>
      <c r="AC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 t="str">
        <f>"$"</f>
        <v>$</v>
      </c>
    </row>
    <row r="681" spans="1:38" x14ac:dyDescent="0.3">
      <c r="A681" t="str">
        <f>"SO20000483"</f>
        <v>SO20000483</v>
      </c>
      <c r="B681" t="str">
        <f>"E000324361"</f>
        <v>E000324361</v>
      </c>
      <c r="C681" t="str">
        <f>"בוצעה"</f>
        <v>בוצעה</v>
      </c>
      <c r="E681" s="3">
        <v>44130</v>
      </c>
      <c r="F681" s="3">
        <v>44190</v>
      </c>
      <c r="G681" t="str">
        <f>"700065"</f>
        <v>700065</v>
      </c>
      <c r="H681" t="str">
        <f>"אלתא מערכות בע""מ"</f>
        <v>אלתא מערכות בע"מ</v>
      </c>
      <c r="I681" t="str">
        <f>"ערן שלו"</f>
        <v>ערן שלו</v>
      </c>
      <c r="J681" t="str">
        <f>"cust000616"</f>
        <v>cust000616</v>
      </c>
      <c r="K681" s="1" t="str">
        <f>"רתמה REV;A 1036N631-001 אלתא"</f>
        <v>רתמה REV;A 1036N631-001 אלתא</v>
      </c>
      <c r="L681">
        <v>1</v>
      </c>
      <c r="M681" t="str">
        <f>"PR20000754"</f>
        <v>PR20000754</v>
      </c>
      <c r="N681" t="str">
        <f>"תיקון רתמה OP-AR00464"</f>
        <v>תיקון רתמה OP-AR00464</v>
      </c>
      <c r="O681">
        <v>655</v>
      </c>
      <c r="P681" t="str">
        <f>"$"</f>
        <v>$</v>
      </c>
      <c r="Q681" t="str">
        <f>"117"</f>
        <v>117</v>
      </c>
      <c r="R681" t="str">
        <f>"רתמות"</f>
        <v>רתמות</v>
      </c>
      <c r="S681" t="str">
        <f>"034"</f>
        <v>034</v>
      </c>
      <c r="T681" t="str">
        <f>"מוסקוביץ אולגה"</f>
        <v>מוסקוביץ אולגה</v>
      </c>
      <c r="U681">
        <v>0</v>
      </c>
      <c r="V681">
        <v>0</v>
      </c>
      <c r="W681">
        <v>655</v>
      </c>
      <c r="X681">
        <v>655</v>
      </c>
      <c r="Z681" t="str">
        <f>"Y"</f>
        <v>Y</v>
      </c>
      <c r="AA681">
        <v>0</v>
      </c>
      <c r="AC681">
        <v>0</v>
      </c>
      <c r="AE681">
        <v>0</v>
      </c>
      <c r="AF681">
        <v>0</v>
      </c>
      <c r="AG681" s="2">
        <v>2214.56</v>
      </c>
      <c r="AH681">
        <v>0</v>
      </c>
      <c r="AI681" s="2">
        <v>2214.56</v>
      </c>
      <c r="AJ681">
        <v>655</v>
      </c>
      <c r="AK681">
        <v>655</v>
      </c>
      <c r="AL681" t="str">
        <f>"$"</f>
        <v>$</v>
      </c>
    </row>
    <row r="682" spans="1:38" x14ac:dyDescent="0.3">
      <c r="A682" t="str">
        <f>"SO20000492"</f>
        <v>SO20000492</v>
      </c>
      <c r="B682" t="str">
        <f>"E000324116"</f>
        <v>E000324116</v>
      </c>
      <c r="C682" t="str">
        <f>"בוצעה"</f>
        <v>בוצעה</v>
      </c>
      <c r="E682" s="3">
        <v>44133</v>
      </c>
      <c r="F682" s="3">
        <v>44201</v>
      </c>
      <c r="G682" t="str">
        <f>"700065"</f>
        <v>700065</v>
      </c>
      <c r="H682" t="str">
        <f>"אלתא מערכות בע""מ"</f>
        <v>אלתא מערכות בע"מ</v>
      </c>
      <c r="I682" t="str">
        <f>"ערן שלו"</f>
        <v>ערן שלו</v>
      </c>
      <c r="J682" t="str">
        <f>"cust000617"</f>
        <v>cust000617</v>
      </c>
      <c r="K682" s="1" t="str">
        <f>"1038L452-001 אלתא"</f>
        <v>1038L452-001 אלתא</v>
      </c>
      <c r="L682">
        <v>1</v>
      </c>
      <c r="M682" t="str">
        <f>"PR20000755"</f>
        <v>PR20000755</v>
      </c>
      <c r="N682" t="str">
        <f>"תיקון יחידת  CU"</f>
        <v>תיקון יחידת  CU</v>
      </c>
      <c r="O682">
        <v>0.01</v>
      </c>
      <c r="P682" t="str">
        <f>"$"</f>
        <v>$</v>
      </c>
      <c r="Q682" t="str">
        <f>"000"</f>
        <v>000</v>
      </c>
      <c r="R682" t="str">
        <f>"כללית"</f>
        <v>כללית</v>
      </c>
      <c r="S682" t="str">
        <f>"034"</f>
        <v>034</v>
      </c>
      <c r="T682" t="str">
        <f>"מוסקוביץ אולגה"</f>
        <v>מוסקוביץ אולגה</v>
      </c>
      <c r="U682">
        <v>0</v>
      </c>
      <c r="V682">
        <v>0</v>
      </c>
      <c r="W682">
        <v>0.01</v>
      </c>
      <c r="X682">
        <v>0.01</v>
      </c>
      <c r="Z682" t="str">
        <f>"Y"</f>
        <v>Y</v>
      </c>
      <c r="AA682">
        <v>0</v>
      </c>
      <c r="AC682">
        <v>0</v>
      </c>
      <c r="AE682">
        <v>0</v>
      </c>
      <c r="AF682">
        <v>0</v>
      </c>
      <c r="AG682">
        <v>0.03</v>
      </c>
      <c r="AH682">
        <v>0</v>
      </c>
      <c r="AI682">
        <v>0.03</v>
      </c>
      <c r="AJ682">
        <v>0.01</v>
      </c>
      <c r="AK682">
        <v>0.01</v>
      </c>
      <c r="AL682" t="str">
        <f>"$"</f>
        <v>$</v>
      </c>
    </row>
    <row r="683" spans="1:38" x14ac:dyDescent="0.3">
      <c r="A683" t="str">
        <f>"SO20000496"</f>
        <v>SO20000496</v>
      </c>
      <c r="B683" t="str">
        <f>"E000323819"</f>
        <v>E000323819</v>
      </c>
      <c r="C683" t="str">
        <f>"בוצעה"</f>
        <v>בוצעה</v>
      </c>
      <c r="E683" s="3">
        <v>44138</v>
      </c>
      <c r="F683" s="3">
        <v>44213</v>
      </c>
      <c r="G683" t="str">
        <f>"700065"</f>
        <v>700065</v>
      </c>
      <c r="H683" t="str">
        <f>"אלתא מערכות בע""מ"</f>
        <v>אלתא מערכות בע"מ</v>
      </c>
      <c r="I683" t="str">
        <f>"ערן שלו"</f>
        <v>ערן שלו</v>
      </c>
      <c r="J683" t="str">
        <f>"OP-AR02060"</f>
        <v>OP-AR02060</v>
      </c>
      <c r="K683" s="1" t="str">
        <f>"2022E632-001/-  AirTM V2.1 LIGHT CABLE ASSY"</f>
        <v>2022E632-001/-  AirTM V2.1 LIGHT CABLE ASSY</v>
      </c>
      <c r="L683">
        <v>12</v>
      </c>
      <c r="M683" t="str">
        <f>"PR20000779"</f>
        <v>PR20000779</v>
      </c>
      <c r="N683" t="str">
        <f>"LIGHT CABLE ASSY"</f>
        <v>LIGHT CABLE ASSY</v>
      </c>
      <c r="O683">
        <v>295.55</v>
      </c>
      <c r="P683" t="str">
        <f>"$"</f>
        <v>$</v>
      </c>
      <c r="Q683" t="str">
        <f>"117"</f>
        <v>117</v>
      </c>
      <c r="R683" t="str">
        <f>"רתמות"</f>
        <v>רתמות</v>
      </c>
      <c r="S683" t="str">
        <f>"034"</f>
        <v>034</v>
      </c>
      <c r="T683" t="str">
        <f>"מוסקוביץ אולגה"</f>
        <v>מוסקוביץ אולגה</v>
      </c>
      <c r="U683">
        <v>0</v>
      </c>
      <c r="V683">
        <v>0</v>
      </c>
      <c r="W683">
        <v>295.55</v>
      </c>
      <c r="X683" s="2">
        <v>3546.6</v>
      </c>
      <c r="Z683" t="str">
        <f>"Y"</f>
        <v>Y</v>
      </c>
      <c r="AA683">
        <v>0</v>
      </c>
      <c r="AC683">
        <v>0</v>
      </c>
      <c r="AE683">
        <v>0</v>
      </c>
      <c r="AF683">
        <v>0</v>
      </c>
      <c r="AG683" s="2">
        <v>1009.6</v>
      </c>
      <c r="AH683">
        <v>0</v>
      </c>
      <c r="AI683" s="2">
        <v>12115.19</v>
      </c>
      <c r="AJ683" s="2">
        <v>3546.6</v>
      </c>
      <c r="AK683" s="2">
        <v>3546.6</v>
      </c>
      <c r="AL683" t="str">
        <f>"$"</f>
        <v>$</v>
      </c>
    </row>
    <row r="684" spans="1:38" x14ac:dyDescent="0.3">
      <c r="A684" t="str">
        <f>"SO20000496"</f>
        <v>SO20000496</v>
      </c>
      <c r="B684" t="str">
        <f>"E000323819"</f>
        <v>E000323819</v>
      </c>
      <c r="C684" t="str">
        <f>"בוצעה"</f>
        <v>בוצעה</v>
      </c>
      <c r="E684" s="3">
        <v>44138</v>
      </c>
      <c r="F684" s="3">
        <v>44346</v>
      </c>
      <c r="G684" t="str">
        <f>"700065"</f>
        <v>700065</v>
      </c>
      <c r="H684" t="str">
        <f>"אלתא מערכות בע""מ"</f>
        <v>אלתא מערכות בע"מ</v>
      </c>
      <c r="I684" t="str">
        <f>"ערן שלו"</f>
        <v>ערן שלו</v>
      </c>
      <c r="J684" t="str">
        <f>"OP-AR02061"</f>
        <v>OP-AR02061</v>
      </c>
      <c r="K684" s="1" t="str">
        <f>"4043K510-001  SATCOM COMMUNICATION CABLE"</f>
        <v>4043K510-001  SATCOM COMMUNICATION CABLE</v>
      </c>
      <c r="L684">
        <v>3</v>
      </c>
      <c r="M684" t="str">
        <f>"PR20000779"</f>
        <v>PR20000779</v>
      </c>
      <c r="N684" t="str">
        <f>"LIGHT CABLE ASSY"</f>
        <v>LIGHT CABLE ASSY</v>
      </c>
      <c r="O684" s="2">
        <v>2234.91</v>
      </c>
      <c r="P684" t="str">
        <f>"$"</f>
        <v>$</v>
      </c>
      <c r="Q684" t="str">
        <f>"117"</f>
        <v>117</v>
      </c>
      <c r="R684" t="str">
        <f>"רתמות"</f>
        <v>רתמות</v>
      </c>
      <c r="S684" t="str">
        <f>"034"</f>
        <v>034</v>
      </c>
      <c r="T684" t="str">
        <f>"מוסקוביץ אולגה"</f>
        <v>מוסקוביץ אולגה</v>
      </c>
      <c r="U684">
        <v>0</v>
      </c>
      <c r="V684">
        <v>0</v>
      </c>
      <c r="W684" s="2">
        <v>2234.91</v>
      </c>
      <c r="X684" s="2">
        <v>6704.73</v>
      </c>
      <c r="Z684" t="str">
        <f>"Y"</f>
        <v>Y</v>
      </c>
      <c r="AA684">
        <v>0</v>
      </c>
      <c r="AC684">
        <v>0</v>
      </c>
      <c r="AE684">
        <v>0</v>
      </c>
      <c r="AF684">
        <v>0</v>
      </c>
      <c r="AG684" s="2">
        <v>7634.45</v>
      </c>
      <c r="AH684">
        <v>0</v>
      </c>
      <c r="AI684" s="2">
        <v>22903.360000000001</v>
      </c>
      <c r="AJ684" s="2">
        <v>6704.73</v>
      </c>
      <c r="AK684" s="2">
        <v>6704.73</v>
      </c>
      <c r="AL684" t="str">
        <f>"$"</f>
        <v>$</v>
      </c>
    </row>
    <row r="685" spans="1:38" x14ac:dyDescent="0.3">
      <c r="A685" t="str">
        <f>"SO20000496"</f>
        <v>SO20000496</v>
      </c>
      <c r="B685" t="str">
        <f>"E000323819"</f>
        <v>E000323819</v>
      </c>
      <c r="C685" t="str">
        <f>"בוצעה"</f>
        <v>בוצעה</v>
      </c>
      <c r="E685" s="3">
        <v>44138</v>
      </c>
      <c r="F685" s="3">
        <v>44234</v>
      </c>
      <c r="G685" t="str">
        <f>"700065"</f>
        <v>700065</v>
      </c>
      <c r="H685" t="str">
        <f>"אלתא מערכות בע""מ"</f>
        <v>אלתא מערכות בע"מ</v>
      </c>
      <c r="I685" t="str">
        <f>"ערן שלו"</f>
        <v>ערן שלו</v>
      </c>
      <c r="J685" t="str">
        <f>"OP-AR02064"</f>
        <v>OP-AR02064</v>
      </c>
      <c r="K685" s="1" t="str">
        <f>"1017F131-001   CABLE ASSY EXTW1"</f>
        <v>1017F131-001   CABLE ASSY EXTW1</v>
      </c>
      <c r="L685">
        <v>1</v>
      </c>
      <c r="M685" t="str">
        <f>"PR20000779"</f>
        <v>PR20000779</v>
      </c>
      <c r="N685" t="str">
        <f>"LIGHT CABLE ASSY"</f>
        <v>LIGHT CABLE ASSY</v>
      </c>
      <c r="O685">
        <v>212.41</v>
      </c>
      <c r="P685" t="str">
        <f>"$"</f>
        <v>$</v>
      </c>
      <c r="Q685" t="str">
        <f>"117"</f>
        <v>117</v>
      </c>
      <c r="R685" t="str">
        <f>"רתמות"</f>
        <v>רתמות</v>
      </c>
      <c r="S685" t="str">
        <f>"034"</f>
        <v>034</v>
      </c>
      <c r="T685" t="str">
        <f>"מוסקוביץ אולגה"</f>
        <v>מוסקוביץ אולגה</v>
      </c>
      <c r="U685">
        <v>0</v>
      </c>
      <c r="V685">
        <v>0</v>
      </c>
      <c r="W685">
        <v>212.41</v>
      </c>
      <c r="X685">
        <v>212.41</v>
      </c>
      <c r="Z685" t="str">
        <f>"Y"</f>
        <v>Y</v>
      </c>
      <c r="AA685">
        <v>0</v>
      </c>
      <c r="AC685">
        <v>0</v>
      </c>
      <c r="AE685">
        <v>0</v>
      </c>
      <c r="AF685">
        <v>0</v>
      </c>
      <c r="AG685">
        <v>725.59</v>
      </c>
      <c r="AH685">
        <v>0</v>
      </c>
      <c r="AI685">
        <v>725.59</v>
      </c>
      <c r="AJ685">
        <v>212.41</v>
      </c>
      <c r="AK685">
        <v>212.41</v>
      </c>
      <c r="AL685" t="str">
        <f>"$"</f>
        <v>$</v>
      </c>
    </row>
    <row r="686" spans="1:38" x14ac:dyDescent="0.3">
      <c r="A686" t="str">
        <f>"SO20000496"</f>
        <v>SO20000496</v>
      </c>
      <c r="B686" t="str">
        <f>"E000323819"</f>
        <v>E000323819</v>
      </c>
      <c r="C686" t="str">
        <f>"בוצעה"</f>
        <v>בוצעה</v>
      </c>
      <c r="E686" s="3">
        <v>44138</v>
      </c>
      <c r="F686" s="3">
        <v>44407</v>
      </c>
      <c r="G686" t="str">
        <f>"700065"</f>
        <v>700065</v>
      </c>
      <c r="H686" t="str">
        <f>"אלתא מערכות בע""מ"</f>
        <v>אלתא מערכות בע"מ</v>
      </c>
      <c r="I686" t="str">
        <f>"ערן שלו"</f>
        <v>ערן שלו</v>
      </c>
      <c r="J686" t="str">
        <f>"OP-AR02063"</f>
        <v>OP-AR02063</v>
      </c>
      <c r="K686" s="1" t="str">
        <f>"1020Y273-001   POWER CABLE ASSY W35"</f>
        <v>1020Y273-001   POWER CABLE ASSY W35</v>
      </c>
      <c r="L686">
        <v>1</v>
      </c>
      <c r="M686" t="str">
        <f>"PR20000779"</f>
        <v>PR20000779</v>
      </c>
      <c r="N686" t="str">
        <f>"LIGHT CABLE ASSY"</f>
        <v>LIGHT CABLE ASSY</v>
      </c>
      <c r="O686">
        <v>527.79</v>
      </c>
      <c r="P686" t="str">
        <f>"$"</f>
        <v>$</v>
      </c>
      <c r="Q686" t="str">
        <f>"117"</f>
        <v>117</v>
      </c>
      <c r="R686" t="str">
        <f>"רתמות"</f>
        <v>רתמות</v>
      </c>
      <c r="S686" t="str">
        <f>"034"</f>
        <v>034</v>
      </c>
      <c r="T686" t="str">
        <f>"מוסקוביץ אולגה"</f>
        <v>מוסקוביץ אולגה</v>
      </c>
      <c r="U686">
        <v>0</v>
      </c>
      <c r="V686">
        <v>0</v>
      </c>
      <c r="W686">
        <v>527.79</v>
      </c>
      <c r="X686">
        <v>527.79</v>
      </c>
      <c r="Z686" t="str">
        <f>"Y"</f>
        <v>Y</v>
      </c>
      <c r="AA686">
        <v>0</v>
      </c>
      <c r="AC686">
        <v>0</v>
      </c>
      <c r="AE686">
        <v>0</v>
      </c>
      <c r="AF686">
        <v>0</v>
      </c>
      <c r="AG686" s="2">
        <v>1802.93</v>
      </c>
      <c r="AH686">
        <v>0</v>
      </c>
      <c r="AI686" s="2">
        <v>1802.93</v>
      </c>
      <c r="AJ686">
        <v>527.79</v>
      </c>
      <c r="AK686">
        <v>527.79</v>
      </c>
      <c r="AL686" t="str">
        <f>"$"</f>
        <v>$</v>
      </c>
    </row>
    <row r="687" spans="1:38" x14ac:dyDescent="0.3">
      <c r="A687" t="str">
        <f>"SO20000498"</f>
        <v>SO20000498</v>
      </c>
      <c r="B687" t="str">
        <f>"E000324990"</f>
        <v>E000324990</v>
      </c>
      <c r="C687" t="str">
        <f>"בוצעה"</f>
        <v>בוצעה</v>
      </c>
      <c r="E687" s="3">
        <v>44139</v>
      </c>
      <c r="F687" s="3">
        <v>44235</v>
      </c>
      <c r="G687" t="str">
        <f>"700065"</f>
        <v>700065</v>
      </c>
      <c r="H687" t="str">
        <f>"אלתא מערכות בע""מ"</f>
        <v>אלתא מערכות בע"מ</v>
      </c>
      <c r="I687" t="str">
        <f>"ערן שלו"</f>
        <v>ערן שלו</v>
      </c>
      <c r="J687" t="str">
        <f>"OP-AR00099"</f>
        <v>OP-AR00099</v>
      </c>
      <c r="K687" s="1" t="str">
        <f>"XT4N 250 TMA 200-2000 3p Including AUX &amp; SOR"</f>
        <v>XT4N 250 TMA 200-2000 3p Including AUX &amp; SOR</v>
      </c>
      <c r="L687">
        <v>1</v>
      </c>
      <c r="M687" t="str">
        <f>"PR20000790"</f>
        <v>PR20000790</v>
      </c>
      <c r="N687" t="str">
        <f>"ARMY SPARE PARTS"</f>
        <v>ARMY SPARE PARTS</v>
      </c>
      <c r="O687">
        <v>365.76</v>
      </c>
      <c r="P687" t="str">
        <f>"$"</f>
        <v>$</v>
      </c>
      <c r="Q687" t="str">
        <f>"118"</f>
        <v>118</v>
      </c>
      <c r="R687" t="str">
        <f>"מערכות"</f>
        <v>מערכות</v>
      </c>
      <c r="S687" t="str">
        <f>"034"</f>
        <v>034</v>
      </c>
      <c r="T687" t="str">
        <f>"מוסקוביץ אולגה"</f>
        <v>מוסקוביץ אולגה</v>
      </c>
      <c r="U687">
        <v>0</v>
      </c>
      <c r="V687">
        <v>354</v>
      </c>
      <c r="W687">
        <v>365.76</v>
      </c>
      <c r="X687">
        <v>365.76</v>
      </c>
      <c r="Z687" t="str">
        <f>"Y"</f>
        <v>Y</v>
      </c>
      <c r="AA687">
        <v>0</v>
      </c>
      <c r="AC687">
        <v>0</v>
      </c>
      <c r="AE687">
        <v>0</v>
      </c>
      <c r="AF687" s="2">
        <v>1371.4</v>
      </c>
      <c r="AG687" s="2">
        <v>1247.24</v>
      </c>
      <c r="AH687">
        <v>354</v>
      </c>
      <c r="AI687" s="2">
        <v>1247.24</v>
      </c>
      <c r="AJ687">
        <v>365.76</v>
      </c>
      <c r="AK687">
        <v>365.76</v>
      </c>
      <c r="AL687" t="str">
        <f>"$"</f>
        <v>$</v>
      </c>
    </row>
    <row r="688" spans="1:38" x14ac:dyDescent="0.3">
      <c r="A688" t="str">
        <f>"SO20000498"</f>
        <v>SO20000498</v>
      </c>
      <c r="B688" t="str">
        <f>"E000324990"</f>
        <v>E000324990</v>
      </c>
      <c r="C688" t="str">
        <f>"בוצעה"</f>
        <v>בוצעה</v>
      </c>
      <c r="E688" s="3">
        <v>44139</v>
      </c>
      <c r="F688" s="3">
        <v>44235</v>
      </c>
      <c r="G688" t="str">
        <f>"700065"</f>
        <v>700065</v>
      </c>
      <c r="H688" t="str">
        <f>"אלתא מערכות בע""מ"</f>
        <v>אלתא מערכות בע"מ</v>
      </c>
      <c r="I688" t="str">
        <f>"ערן שלו"</f>
        <v>ערן שלו</v>
      </c>
      <c r="J688" t="str">
        <f>"OP-AR00099"</f>
        <v>OP-AR00099</v>
      </c>
      <c r="K688" s="1" t="str">
        <f>"XT4N 250 TMA 200-2000 3p Including AUX &amp; SOR"</f>
        <v>XT4N 250 TMA 200-2000 3p Including AUX &amp; SOR</v>
      </c>
      <c r="L688">
        <v>11</v>
      </c>
      <c r="M688" t="str">
        <f>"PR20000790"</f>
        <v>PR20000790</v>
      </c>
      <c r="N688" t="str">
        <f>"ARMY SPARE PARTS"</f>
        <v>ARMY SPARE PARTS</v>
      </c>
      <c r="O688">
        <v>365.76</v>
      </c>
      <c r="P688" t="str">
        <f>"$"</f>
        <v>$</v>
      </c>
      <c r="Q688" t="str">
        <f>"118"</f>
        <v>118</v>
      </c>
      <c r="R688" t="str">
        <f>"מערכות"</f>
        <v>מערכות</v>
      </c>
      <c r="S688" t="str">
        <f>"034"</f>
        <v>034</v>
      </c>
      <c r="T688" t="str">
        <f>"מוסקוביץ אולגה"</f>
        <v>מוסקוביץ אולגה</v>
      </c>
      <c r="U688">
        <v>0</v>
      </c>
      <c r="V688">
        <v>354</v>
      </c>
      <c r="W688">
        <v>365.76</v>
      </c>
      <c r="X688" s="2">
        <v>4023.36</v>
      </c>
      <c r="Z688" t="str">
        <f>"Y"</f>
        <v>Y</v>
      </c>
      <c r="AA688">
        <v>0</v>
      </c>
      <c r="AC688">
        <v>0</v>
      </c>
      <c r="AE688">
        <v>0</v>
      </c>
      <c r="AF688" s="2">
        <v>1371.4</v>
      </c>
      <c r="AG688" s="2">
        <v>1247.24</v>
      </c>
      <c r="AH688">
        <v>354</v>
      </c>
      <c r="AI688" s="2">
        <v>13719.66</v>
      </c>
      <c r="AJ688" s="2">
        <v>4023.36</v>
      </c>
      <c r="AK688" s="2">
        <v>4023.36</v>
      </c>
      <c r="AL688" t="str">
        <f>"$"</f>
        <v>$</v>
      </c>
    </row>
    <row r="689" spans="1:38" x14ac:dyDescent="0.3">
      <c r="A689" t="str">
        <f>"SO20000498"</f>
        <v>SO20000498</v>
      </c>
      <c r="B689" t="str">
        <f>"E000324990"</f>
        <v>E000324990</v>
      </c>
      <c r="C689" t="str">
        <f>"בוצעה"</f>
        <v>בוצעה</v>
      </c>
      <c r="E689" s="3">
        <v>44139</v>
      </c>
      <c r="F689" s="3">
        <v>44235</v>
      </c>
      <c r="G689" t="str">
        <f>"700065"</f>
        <v>700065</v>
      </c>
      <c r="H689" t="str">
        <f>"אלתא מערכות בע""מ"</f>
        <v>אלתא מערכות בע"מ</v>
      </c>
      <c r="I689" t="str">
        <f>"ערן שלו"</f>
        <v>ערן שלו</v>
      </c>
      <c r="J689" t="str">
        <f>"OP-AR00100"</f>
        <v>OP-AR00100</v>
      </c>
      <c r="K689" s="1" t="str">
        <f>"XT2N 160 Ekip-LS/I In=160A 3p Including SOR"</f>
        <v>XT2N 160 Ekip-LS/I In=160A 3p Including SOR</v>
      </c>
      <c r="L689">
        <v>1</v>
      </c>
      <c r="M689" t="str">
        <f>"PR20000790"</f>
        <v>PR20000790</v>
      </c>
      <c r="N689" t="str">
        <f>"ARMY SPARE PARTS"</f>
        <v>ARMY SPARE PARTS</v>
      </c>
      <c r="O689">
        <v>318.97000000000003</v>
      </c>
      <c r="P689" t="str">
        <f>"$"</f>
        <v>$</v>
      </c>
      <c r="Q689" t="str">
        <f>"118"</f>
        <v>118</v>
      </c>
      <c r="R689" t="str">
        <f>"מערכות"</f>
        <v>מערכות</v>
      </c>
      <c r="S689" t="str">
        <f>"034"</f>
        <v>034</v>
      </c>
      <c r="T689" t="str">
        <f>"מוסקוביץ אולגה"</f>
        <v>מוסקוביץ אולגה</v>
      </c>
      <c r="U689">
        <v>0</v>
      </c>
      <c r="V689">
        <v>351</v>
      </c>
      <c r="W689">
        <v>318.97000000000003</v>
      </c>
      <c r="X689">
        <v>318.97000000000003</v>
      </c>
      <c r="Z689" t="str">
        <f>"Y"</f>
        <v>Y</v>
      </c>
      <c r="AA689">
        <v>0</v>
      </c>
      <c r="AC689">
        <v>0</v>
      </c>
      <c r="AE689">
        <v>0</v>
      </c>
      <c r="AF689" s="2">
        <v>1359.77</v>
      </c>
      <c r="AG689" s="2">
        <v>1087.69</v>
      </c>
      <c r="AH689">
        <v>351</v>
      </c>
      <c r="AI689" s="2">
        <v>1087.69</v>
      </c>
      <c r="AJ689">
        <v>318.97000000000003</v>
      </c>
      <c r="AK689">
        <v>318.97000000000003</v>
      </c>
      <c r="AL689" t="str">
        <f>"$"</f>
        <v>$</v>
      </c>
    </row>
    <row r="690" spans="1:38" x14ac:dyDescent="0.3">
      <c r="A690" t="str">
        <f>"SO20000498"</f>
        <v>SO20000498</v>
      </c>
      <c r="B690" t="str">
        <f>"E000324990"</f>
        <v>E000324990</v>
      </c>
      <c r="C690" t="str">
        <f>"בוצעה"</f>
        <v>בוצעה</v>
      </c>
      <c r="E690" s="3">
        <v>44139</v>
      </c>
      <c r="F690" s="3">
        <v>44235</v>
      </c>
      <c r="G690" t="str">
        <f>"700065"</f>
        <v>700065</v>
      </c>
      <c r="H690" t="str">
        <f>"אלתא מערכות בע""מ"</f>
        <v>אלתא מערכות בע"מ</v>
      </c>
      <c r="I690" t="str">
        <f>"ערן שלו"</f>
        <v>ערן שלו</v>
      </c>
      <c r="J690" t="str">
        <f>"OP-AR00100"</f>
        <v>OP-AR00100</v>
      </c>
      <c r="K690" s="1" t="str">
        <f>"XT2N 160 Ekip-LS/I In=160A 3p Including SOR"</f>
        <v>XT2N 160 Ekip-LS/I In=160A 3p Including SOR</v>
      </c>
      <c r="L690">
        <v>11</v>
      </c>
      <c r="M690" t="str">
        <f>"PR20000790"</f>
        <v>PR20000790</v>
      </c>
      <c r="N690" t="str">
        <f>"ARMY SPARE PARTS"</f>
        <v>ARMY SPARE PARTS</v>
      </c>
      <c r="O690">
        <v>318.97000000000003</v>
      </c>
      <c r="P690" t="str">
        <f>"$"</f>
        <v>$</v>
      </c>
      <c r="Q690" t="str">
        <f>"118"</f>
        <v>118</v>
      </c>
      <c r="R690" t="str">
        <f>"מערכות"</f>
        <v>מערכות</v>
      </c>
      <c r="S690" t="str">
        <f>"034"</f>
        <v>034</v>
      </c>
      <c r="T690" t="str">
        <f>"מוסקוביץ אולגה"</f>
        <v>מוסקוביץ אולגה</v>
      </c>
      <c r="U690">
        <v>0</v>
      </c>
      <c r="V690">
        <v>351</v>
      </c>
      <c r="W690">
        <v>318.97000000000003</v>
      </c>
      <c r="X690" s="2">
        <v>3508.67</v>
      </c>
      <c r="Z690" t="str">
        <f>"Y"</f>
        <v>Y</v>
      </c>
      <c r="AA690">
        <v>0</v>
      </c>
      <c r="AC690">
        <v>0</v>
      </c>
      <c r="AE690">
        <v>0</v>
      </c>
      <c r="AF690" s="2">
        <v>1359.77</v>
      </c>
      <c r="AG690" s="2">
        <v>1087.69</v>
      </c>
      <c r="AH690">
        <v>351</v>
      </c>
      <c r="AI690" s="2">
        <v>11964.56</v>
      </c>
      <c r="AJ690" s="2">
        <v>3508.67</v>
      </c>
      <c r="AK690" s="2">
        <v>3508.67</v>
      </c>
      <c r="AL690" t="str">
        <f>"$"</f>
        <v>$</v>
      </c>
    </row>
    <row r="691" spans="1:38" x14ac:dyDescent="0.3">
      <c r="A691" t="str">
        <f>"SO20000498"</f>
        <v>SO20000498</v>
      </c>
      <c r="B691" t="str">
        <f>"E000324990"</f>
        <v>E000324990</v>
      </c>
      <c r="C691" t="str">
        <f>"בוצעה"</f>
        <v>בוצעה</v>
      </c>
      <c r="E691" s="3">
        <v>44139</v>
      </c>
      <c r="F691" s="3">
        <v>44235</v>
      </c>
      <c r="G691" t="str">
        <f>"700065"</f>
        <v>700065</v>
      </c>
      <c r="H691" t="str">
        <f>"אלתא מערכות בע""מ"</f>
        <v>אלתא מערכות בע"מ</v>
      </c>
      <c r="I691" t="str">
        <f>"ערן שלו"</f>
        <v>ערן שלו</v>
      </c>
      <c r="J691" t="str">
        <f>"OP-AR00101"</f>
        <v>OP-AR00101</v>
      </c>
      <c r="K691" s="1" t="str">
        <f>"XT1C 160 TMD 100-1000 3p Including AUX"</f>
        <v>XT1C 160 TMD 100-1000 3p Including AUX</v>
      </c>
      <c r="L691">
        <v>1</v>
      </c>
      <c r="M691" t="str">
        <f>"PR20000790"</f>
        <v>PR20000790</v>
      </c>
      <c r="N691" t="str">
        <f>"ARMY SPARE PARTS"</f>
        <v>ARMY SPARE PARTS</v>
      </c>
      <c r="O691">
        <v>105.6</v>
      </c>
      <c r="P691" t="str">
        <f>"$"</f>
        <v>$</v>
      </c>
      <c r="Q691" t="str">
        <f>"118"</f>
        <v>118</v>
      </c>
      <c r="R691" t="str">
        <f>"מערכות"</f>
        <v>מערכות</v>
      </c>
      <c r="S691" t="str">
        <f>"034"</f>
        <v>034</v>
      </c>
      <c r="T691" t="str">
        <f>"מוסקוביץ אולגה"</f>
        <v>מוסקוביץ אולגה</v>
      </c>
      <c r="U691">
        <v>0</v>
      </c>
      <c r="V691">
        <v>135</v>
      </c>
      <c r="W691">
        <v>105.6</v>
      </c>
      <c r="X691">
        <v>105.6</v>
      </c>
      <c r="Z691" t="str">
        <f>"Y"</f>
        <v>Y</v>
      </c>
      <c r="AA691">
        <v>0</v>
      </c>
      <c r="AC691">
        <v>0</v>
      </c>
      <c r="AE691">
        <v>0</v>
      </c>
      <c r="AF691">
        <v>522.99</v>
      </c>
      <c r="AG691">
        <v>360.1</v>
      </c>
      <c r="AH691">
        <v>135</v>
      </c>
      <c r="AI691">
        <v>360.1</v>
      </c>
      <c r="AJ691">
        <v>105.6</v>
      </c>
      <c r="AK691">
        <v>105.6</v>
      </c>
      <c r="AL691" t="str">
        <f>"$"</f>
        <v>$</v>
      </c>
    </row>
    <row r="692" spans="1:38" x14ac:dyDescent="0.3">
      <c r="A692" t="str">
        <f>"SO20000498"</f>
        <v>SO20000498</v>
      </c>
      <c r="B692" t="str">
        <f>"E000324990"</f>
        <v>E000324990</v>
      </c>
      <c r="C692" t="str">
        <f>"בוצעה"</f>
        <v>בוצעה</v>
      </c>
      <c r="E692" s="3">
        <v>44139</v>
      </c>
      <c r="F692" s="3">
        <v>44235</v>
      </c>
      <c r="G692" t="str">
        <f>"700065"</f>
        <v>700065</v>
      </c>
      <c r="H692" t="str">
        <f>"אלתא מערכות בע""מ"</f>
        <v>אלתא מערכות בע"מ</v>
      </c>
      <c r="I692" t="str">
        <f>"ערן שלו"</f>
        <v>ערן שלו</v>
      </c>
      <c r="J692" t="str">
        <f>"OP-AR00101"</f>
        <v>OP-AR00101</v>
      </c>
      <c r="K692" s="1" t="str">
        <f>"XT1C 160 TMD 100-1000 3p Including AUX"</f>
        <v>XT1C 160 TMD 100-1000 3p Including AUX</v>
      </c>
      <c r="L692">
        <v>11</v>
      </c>
      <c r="M692" t="str">
        <f>"PR20000790"</f>
        <v>PR20000790</v>
      </c>
      <c r="N692" t="str">
        <f>"ARMY SPARE PARTS"</f>
        <v>ARMY SPARE PARTS</v>
      </c>
      <c r="O692">
        <v>105.6</v>
      </c>
      <c r="P692" t="str">
        <f>"$"</f>
        <v>$</v>
      </c>
      <c r="Q692" t="str">
        <f>"118"</f>
        <v>118</v>
      </c>
      <c r="R692" t="str">
        <f>"מערכות"</f>
        <v>מערכות</v>
      </c>
      <c r="S692" t="str">
        <f>"034"</f>
        <v>034</v>
      </c>
      <c r="T692" t="str">
        <f>"מוסקוביץ אולגה"</f>
        <v>מוסקוביץ אולגה</v>
      </c>
      <c r="U692">
        <v>0</v>
      </c>
      <c r="V692">
        <v>135</v>
      </c>
      <c r="W692">
        <v>105.6</v>
      </c>
      <c r="X692" s="2">
        <v>1161.5999999999999</v>
      </c>
      <c r="Z692" t="str">
        <f>"Y"</f>
        <v>Y</v>
      </c>
      <c r="AA692">
        <v>0</v>
      </c>
      <c r="AC692">
        <v>0</v>
      </c>
      <c r="AE692">
        <v>0</v>
      </c>
      <c r="AF692">
        <v>522.99</v>
      </c>
      <c r="AG692">
        <v>360.1</v>
      </c>
      <c r="AH692">
        <v>135</v>
      </c>
      <c r="AI692" s="2">
        <v>3961.06</v>
      </c>
      <c r="AJ692" s="2">
        <v>1161.5999999999999</v>
      </c>
      <c r="AK692" s="2">
        <v>1161.5999999999999</v>
      </c>
      <c r="AL692" t="str">
        <f>"$"</f>
        <v>$</v>
      </c>
    </row>
    <row r="693" spans="1:38" x14ac:dyDescent="0.3">
      <c r="A693" t="str">
        <f>"SO20000498"</f>
        <v>SO20000498</v>
      </c>
      <c r="B693" t="str">
        <f>"E000324990"</f>
        <v>E000324990</v>
      </c>
      <c r="C693" t="str">
        <f>"בוצעה"</f>
        <v>בוצעה</v>
      </c>
      <c r="E693" s="3">
        <v>44139</v>
      </c>
      <c r="F693" s="3">
        <v>44235</v>
      </c>
      <c r="G693" t="str">
        <f>"700065"</f>
        <v>700065</v>
      </c>
      <c r="H693" t="str">
        <f>"אלתא מערכות בע""מ"</f>
        <v>אלתא מערכות בע"מ</v>
      </c>
      <c r="I693" t="str">
        <f>"ערן שלו"</f>
        <v>ערן שלו</v>
      </c>
      <c r="J693" t="str">
        <f>"PD0247674"</f>
        <v>PD0247674</v>
      </c>
      <c r="K693" s="1" t="str">
        <f>"מא""ז S201M-C10 1X10A 10K ABB"</f>
        <v>מא"ז S201M-C10 1X10A 10K ABB</v>
      </c>
      <c r="L693">
        <v>4</v>
      </c>
      <c r="M693" t="str">
        <f>"PR20000790"</f>
        <v>PR20000790</v>
      </c>
      <c r="N693" t="str">
        <f>"ARMY SPARE PARTS"</f>
        <v>ARMY SPARE PARTS</v>
      </c>
      <c r="O693">
        <v>4.91</v>
      </c>
      <c r="P693" t="str">
        <f>"$"</f>
        <v>$</v>
      </c>
      <c r="Q693" t="str">
        <f>"118"</f>
        <v>118</v>
      </c>
      <c r="R693" t="str">
        <f>"מערכות"</f>
        <v>מערכות</v>
      </c>
      <c r="S693" t="str">
        <f>"034"</f>
        <v>034</v>
      </c>
      <c r="T693" t="str">
        <f>"מוסקוביץ אולגה"</f>
        <v>מוסקוביץ אולגה</v>
      </c>
      <c r="U693">
        <v>0</v>
      </c>
      <c r="V693">
        <v>0</v>
      </c>
      <c r="W693">
        <v>4.91</v>
      </c>
      <c r="X693">
        <v>19.64</v>
      </c>
      <c r="Z693" t="str">
        <f>"Y"</f>
        <v>Y</v>
      </c>
      <c r="AA693">
        <v>0</v>
      </c>
      <c r="AC693">
        <v>0</v>
      </c>
      <c r="AE693">
        <v>0</v>
      </c>
      <c r="AF693">
        <v>0</v>
      </c>
      <c r="AG693">
        <v>16.739999999999998</v>
      </c>
      <c r="AH693">
        <v>0</v>
      </c>
      <c r="AI693">
        <v>66.97</v>
      </c>
      <c r="AJ693">
        <v>19.64</v>
      </c>
      <c r="AK693">
        <v>19.64</v>
      </c>
      <c r="AL693" t="str">
        <f>"$"</f>
        <v>$</v>
      </c>
    </row>
    <row r="694" spans="1:38" x14ac:dyDescent="0.3">
      <c r="A694" t="str">
        <f>"SO20000498"</f>
        <v>SO20000498</v>
      </c>
      <c r="B694" t="str">
        <f>"E000324990"</f>
        <v>E000324990</v>
      </c>
      <c r="C694" t="str">
        <f>"בוצעה"</f>
        <v>בוצעה</v>
      </c>
      <c r="E694" s="3">
        <v>44139</v>
      </c>
      <c r="F694" s="3">
        <v>44235</v>
      </c>
      <c r="G694" t="str">
        <f>"700065"</f>
        <v>700065</v>
      </c>
      <c r="H694" t="str">
        <f>"אלתא מערכות בע""מ"</f>
        <v>אלתא מערכות בע"מ</v>
      </c>
      <c r="I694" t="str">
        <f>"ערן שלו"</f>
        <v>ערן שלו</v>
      </c>
      <c r="J694" t="str">
        <f>"PD0247674"</f>
        <v>PD0247674</v>
      </c>
      <c r="K694" s="1" t="str">
        <f>"מא""ז S201M-C10 1X10A 10K ABB"</f>
        <v>מא"ז S201M-C10 1X10A 10K ABB</v>
      </c>
      <c r="L694">
        <v>45</v>
      </c>
      <c r="M694" t="str">
        <f>"PR20000790"</f>
        <v>PR20000790</v>
      </c>
      <c r="N694" t="str">
        <f>"ARMY SPARE PARTS"</f>
        <v>ARMY SPARE PARTS</v>
      </c>
      <c r="O694">
        <v>4.91</v>
      </c>
      <c r="P694" t="str">
        <f>"$"</f>
        <v>$</v>
      </c>
      <c r="Q694" t="str">
        <f>"118"</f>
        <v>118</v>
      </c>
      <c r="R694" t="str">
        <f>"מערכות"</f>
        <v>מערכות</v>
      </c>
      <c r="S694" t="str">
        <f>"034"</f>
        <v>034</v>
      </c>
      <c r="T694" t="str">
        <f>"מוסקוביץ אולגה"</f>
        <v>מוסקוביץ אולגה</v>
      </c>
      <c r="U694">
        <v>0</v>
      </c>
      <c r="V694">
        <v>0</v>
      </c>
      <c r="W694">
        <v>4.91</v>
      </c>
      <c r="X694">
        <v>220.95</v>
      </c>
      <c r="Z694" t="str">
        <f>"Y"</f>
        <v>Y</v>
      </c>
      <c r="AA694">
        <v>0</v>
      </c>
      <c r="AC694">
        <v>0</v>
      </c>
      <c r="AE694">
        <v>0</v>
      </c>
      <c r="AF694">
        <v>0</v>
      </c>
      <c r="AG694">
        <v>16.739999999999998</v>
      </c>
      <c r="AH694">
        <v>0</v>
      </c>
      <c r="AI694">
        <v>753.44</v>
      </c>
      <c r="AJ694">
        <v>220.95</v>
      </c>
      <c r="AK694">
        <v>220.95</v>
      </c>
      <c r="AL694" t="str">
        <f>"$"</f>
        <v>$</v>
      </c>
    </row>
    <row r="695" spans="1:38" x14ac:dyDescent="0.3">
      <c r="A695" t="str">
        <f>"SO20000498"</f>
        <v>SO20000498</v>
      </c>
      <c r="B695" t="str">
        <f>"E000324990"</f>
        <v>E000324990</v>
      </c>
      <c r="C695" t="str">
        <f>"בוצעה"</f>
        <v>בוצעה</v>
      </c>
      <c r="E695" s="3">
        <v>44139</v>
      </c>
      <c r="F695" s="3">
        <v>44235</v>
      </c>
      <c r="G695" t="str">
        <f>"700065"</f>
        <v>700065</v>
      </c>
      <c r="H695" t="str">
        <f>"אלתא מערכות בע""מ"</f>
        <v>אלתא מערכות בע"מ</v>
      </c>
      <c r="I695" t="str">
        <f>"ערן שלו"</f>
        <v>ערן שלו</v>
      </c>
      <c r="J695" t="str">
        <f>"PD0247617"</f>
        <v>PD0247617</v>
      </c>
      <c r="K695" s="1" t="str">
        <f>"מא""ז 1X16 10K ABB S201M-C 16"</f>
        <v>מא"ז 1X16 10K ABB S201M-C 16</v>
      </c>
      <c r="L695">
        <v>24</v>
      </c>
      <c r="M695" t="str">
        <f>"PR20000790"</f>
        <v>PR20000790</v>
      </c>
      <c r="N695" t="str">
        <f>"ARMY SPARE PARTS"</f>
        <v>ARMY SPARE PARTS</v>
      </c>
      <c r="O695">
        <v>4.78</v>
      </c>
      <c r="P695" t="str">
        <f>"$"</f>
        <v>$</v>
      </c>
      <c r="Q695" t="str">
        <f>"118"</f>
        <v>118</v>
      </c>
      <c r="R695" t="str">
        <f>"מערכות"</f>
        <v>מערכות</v>
      </c>
      <c r="S695" t="str">
        <f>"034"</f>
        <v>034</v>
      </c>
      <c r="T695" t="str">
        <f>"מוסקוביץ אולגה"</f>
        <v>מוסקוביץ אולגה</v>
      </c>
      <c r="U695">
        <v>0</v>
      </c>
      <c r="V695">
        <v>0</v>
      </c>
      <c r="W695">
        <v>4.78</v>
      </c>
      <c r="X695">
        <v>114.72</v>
      </c>
      <c r="Z695" t="str">
        <f>"Y"</f>
        <v>Y</v>
      </c>
      <c r="AA695">
        <v>0</v>
      </c>
      <c r="AC695">
        <v>0</v>
      </c>
      <c r="AE695">
        <v>0</v>
      </c>
      <c r="AF695">
        <v>0</v>
      </c>
      <c r="AG695">
        <v>16.3</v>
      </c>
      <c r="AH695">
        <v>0</v>
      </c>
      <c r="AI695">
        <v>391.2</v>
      </c>
      <c r="AJ695">
        <v>114.72</v>
      </c>
      <c r="AK695">
        <v>114.72</v>
      </c>
      <c r="AL695" t="str">
        <f>"$"</f>
        <v>$</v>
      </c>
    </row>
    <row r="696" spans="1:38" x14ac:dyDescent="0.3">
      <c r="A696" t="str">
        <f>"SO20000498"</f>
        <v>SO20000498</v>
      </c>
      <c r="B696" t="str">
        <f>"E000324990"</f>
        <v>E000324990</v>
      </c>
      <c r="C696" t="str">
        <f>"בוצעה"</f>
        <v>בוצעה</v>
      </c>
      <c r="E696" s="3">
        <v>44139</v>
      </c>
      <c r="F696" s="3">
        <v>44235</v>
      </c>
      <c r="G696" t="str">
        <f>"700065"</f>
        <v>700065</v>
      </c>
      <c r="H696" t="str">
        <f>"אלתא מערכות בע""מ"</f>
        <v>אלתא מערכות בע"מ</v>
      </c>
      <c r="I696" t="str">
        <f>"ערן שלו"</f>
        <v>ערן שלו</v>
      </c>
      <c r="J696" t="str">
        <f>"PD0241321"</f>
        <v>PD0241321</v>
      </c>
      <c r="K696" s="1" t="str">
        <f>"מא""ז ABB 3X32AC 10KA S203M-C 32"</f>
        <v>מא"ז ABB 3X32AC 10KA S203M-C 32</v>
      </c>
      <c r="L696">
        <v>12</v>
      </c>
      <c r="M696" t="str">
        <f>"PR20000790"</f>
        <v>PR20000790</v>
      </c>
      <c r="N696" t="str">
        <f>"ARMY SPARE PARTS"</f>
        <v>ARMY SPARE PARTS</v>
      </c>
      <c r="O696">
        <v>4.78</v>
      </c>
      <c r="P696" t="str">
        <f>"$"</f>
        <v>$</v>
      </c>
      <c r="Q696" t="str">
        <f>"118"</f>
        <v>118</v>
      </c>
      <c r="R696" t="str">
        <f>"מערכות"</f>
        <v>מערכות</v>
      </c>
      <c r="S696" t="str">
        <f>"034"</f>
        <v>034</v>
      </c>
      <c r="T696" t="str">
        <f>"מוסקוביץ אולגה"</f>
        <v>מוסקוביץ אולגה</v>
      </c>
      <c r="U696">
        <v>0</v>
      </c>
      <c r="V696">
        <v>0</v>
      </c>
      <c r="W696">
        <v>4.78</v>
      </c>
      <c r="X696">
        <v>57.36</v>
      </c>
      <c r="Z696" t="str">
        <f>"Y"</f>
        <v>Y</v>
      </c>
      <c r="AA696">
        <v>0</v>
      </c>
      <c r="AC696">
        <v>0</v>
      </c>
      <c r="AE696">
        <v>0</v>
      </c>
      <c r="AF696">
        <v>0</v>
      </c>
      <c r="AG696">
        <v>16.3</v>
      </c>
      <c r="AH696">
        <v>0</v>
      </c>
      <c r="AI696">
        <v>195.6</v>
      </c>
      <c r="AJ696">
        <v>57.36</v>
      </c>
      <c r="AK696">
        <v>57.36</v>
      </c>
      <c r="AL696" t="str">
        <f>"$"</f>
        <v>$</v>
      </c>
    </row>
    <row r="697" spans="1:38" x14ac:dyDescent="0.3">
      <c r="A697" t="str">
        <f>"SO20000498"</f>
        <v>SO20000498</v>
      </c>
      <c r="B697" t="str">
        <f>"E000324990"</f>
        <v>E000324990</v>
      </c>
      <c r="C697" t="str">
        <f>"בוצעה"</f>
        <v>בוצעה</v>
      </c>
      <c r="E697" s="3">
        <v>44139</v>
      </c>
      <c r="F697" s="3">
        <v>44235</v>
      </c>
      <c r="G697" t="str">
        <f>"700065"</f>
        <v>700065</v>
      </c>
      <c r="H697" t="str">
        <f>"אלתא מערכות בע""מ"</f>
        <v>אלתא מערכות בע"מ</v>
      </c>
      <c r="I697" t="str">
        <f>"ערן שלו"</f>
        <v>ערן שלו</v>
      </c>
      <c r="J697" t="str">
        <f>"PD0201222"</f>
        <v>PD0201222</v>
      </c>
      <c r="K697" s="1" t="str">
        <f>"מא""ז ABB S202M-K50UC 2X50A"</f>
        <v>מא"ז ABB S202M-K50UC 2X50A</v>
      </c>
      <c r="L697">
        <v>1</v>
      </c>
      <c r="M697" t="str">
        <f>"PR20000790"</f>
        <v>PR20000790</v>
      </c>
      <c r="N697" t="str">
        <f>"ARMY SPARE PARTS"</f>
        <v>ARMY SPARE PARTS</v>
      </c>
      <c r="O697">
        <v>95.36</v>
      </c>
      <c r="P697" t="str">
        <f>"$"</f>
        <v>$</v>
      </c>
      <c r="Q697" t="str">
        <f>"118"</f>
        <v>118</v>
      </c>
      <c r="R697" t="str">
        <f>"מערכות"</f>
        <v>מערכות</v>
      </c>
      <c r="S697" t="str">
        <f>"034"</f>
        <v>034</v>
      </c>
      <c r="T697" t="str">
        <f>"מוסקוביץ אולגה"</f>
        <v>מוסקוביץ אולגה</v>
      </c>
      <c r="U697">
        <v>0</v>
      </c>
      <c r="V697">
        <v>0</v>
      </c>
      <c r="W697">
        <v>95.36</v>
      </c>
      <c r="X697">
        <v>95.36</v>
      </c>
      <c r="Z697" t="str">
        <f>"Y"</f>
        <v>Y</v>
      </c>
      <c r="AA697">
        <v>0</v>
      </c>
      <c r="AC697">
        <v>0</v>
      </c>
      <c r="AE697">
        <v>0</v>
      </c>
      <c r="AF697">
        <v>0</v>
      </c>
      <c r="AG697">
        <v>325.18</v>
      </c>
      <c r="AH697">
        <v>0</v>
      </c>
      <c r="AI697">
        <v>325.18</v>
      </c>
      <c r="AJ697">
        <v>95.36</v>
      </c>
      <c r="AK697">
        <v>95.36</v>
      </c>
      <c r="AL697" t="str">
        <f>"$"</f>
        <v>$</v>
      </c>
    </row>
    <row r="698" spans="1:38" x14ac:dyDescent="0.3">
      <c r="A698" t="str">
        <f>"SO20000498"</f>
        <v>SO20000498</v>
      </c>
      <c r="B698" t="str">
        <f>"E000324990"</f>
        <v>E000324990</v>
      </c>
      <c r="C698" t="str">
        <f>"בוצעה"</f>
        <v>בוצעה</v>
      </c>
      <c r="E698" s="3">
        <v>44139</v>
      </c>
      <c r="F698" s="3">
        <v>44235</v>
      </c>
      <c r="G698" t="str">
        <f>"700065"</f>
        <v>700065</v>
      </c>
      <c r="H698" t="str">
        <f>"אלתא מערכות בע""מ"</f>
        <v>אלתא מערכות בע"מ</v>
      </c>
      <c r="I698" t="str">
        <f>"ערן שלו"</f>
        <v>ערן שלו</v>
      </c>
      <c r="J698" t="str">
        <f>"PD0201222"</f>
        <v>PD0201222</v>
      </c>
      <c r="K698" s="1" t="str">
        <f>"מא""ז ABB S202M-K50UC 2X50A"</f>
        <v>מא"ז ABB S202M-K50UC 2X50A</v>
      </c>
      <c r="L698">
        <v>11</v>
      </c>
      <c r="M698" t="str">
        <f>"PR20000790"</f>
        <v>PR20000790</v>
      </c>
      <c r="N698" t="str">
        <f>"ARMY SPARE PARTS"</f>
        <v>ARMY SPARE PARTS</v>
      </c>
      <c r="O698">
        <v>95.36</v>
      </c>
      <c r="P698" t="str">
        <f>"$"</f>
        <v>$</v>
      </c>
      <c r="Q698" t="str">
        <f>"118"</f>
        <v>118</v>
      </c>
      <c r="R698" t="str">
        <f>"מערכות"</f>
        <v>מערכות</v>
      </c>
      <c r="S698" t="str">
        <f>"034"</f>
        <v>034</v>
      </c>
      <c r="T698" t="str">
        <f>"מוסקוביץ אולגה"</f>
        <v>מוסקוביץ אולגה</v>
      </c>
      <c r="U698">
        <v>0</v>
      </c>
      <c r="V698">
        <v>0</v>
      </c>
      <c r="W698">
        <v>95.36</v>
      </c>
      <c r="X698" s="2">
        <v>1048.96</v>
      </c>
      <c r="Z698" t="str">
        <f>"Y"</f>
        <v>Y</v>
      </c>
      <c r="AA698">
        <v>0</v>
      </c>
      <c r="AC698">
        <v>0</v>
      </c>
      <c r="AE698">
        <v>0</v>
      </c>
      <c r="AF698">
        <v>0</v>
      </c>
      <c r="AG698">
        <v>325.18</v>
      </c>
      <c r="AH698">
        <v>0</v>
      </c>
      <c r="AI698" s="2">
        <v>3576.95</v>
      </c>
      <c r="AJ698" s="2">
        <v>1048.96</v>
      </c>
      <c r="AK698" s="2">
        <v>1048.96</v>
      </c>
      <c r="AL698" t="str">
        <f>"$"</f>
        <v>$</v>
      </c>
    </row>
    <row r="699" spans="1:38" x14ac:dyDescent="0.3">
      <c r="A699" t="str">
        <f>"SO20000498"</f>
        <v>SO20000498</v>
      </c>
      <c r="B699" t="str">
        <f>"E000324990"</f>
        <v>E000324990</v>
      </c>
      <c r="C699" t="str">
        <f>"בוצעה"</f>
        <v>בוצעה</v>
      </c>
      <c r="E699" s="3">
        <v>44139</v>
      </c>
      <c r="F699" s="3">
        <v>44235</v>
      </c>
      <c r="G699" t="str">
        <f>"700065"</f>
        <v>700065</v>
      </c>
      <c r="H699" t="str">
        <f>"אלתא מערכות בע""מ"</f>
        <v>אלתא מערכות בע"מ</v>
      </c>
      <c r="I699" t="str">
        <f>"ערן שלו"</f>
        <v>ערן שלו</v>
      </c>
      <c r="J699" t="str">
        <f>"PD0247007"</f>
        <v>PD0247007</v>
      </c>
      <c r="K699" s="1" t="str">
        <f>"מא""ז 1X6 10KA ABB S201M C6"</f>
        <v>מא"ז 1X6 10KA ABB S201M C6</v>
      </c>
      <c r="L699">
        <v>5</v>
      </c>
      <c r="M699" t="str">
        <f>"PR20000790"</f>
        <v>PR20000790</v>
      </c>
      <c r="N699" t="str">
        <f>"ARMY SPARE PARTS"</f>
        <v>ARMY SPARE PARTS</v>
      </c>
      <c r="O699">
        <v>4.97</v>
      </c>
      <c r="P699" t="str">
        <f>"$"</f>
        <v>$</v>
      </c>
      <c r="Q699" t="str">
        <f>"118"</f>
        <v>118</v>
      </c>
      <c r="R699" t="str">
        <f>"מערכות"</f>
        <v>מערכות</v>
      </c>
      <c r="S699" t="str">
        <f>"034"</f>
        <v>034</v>
      </c>
      <c r="T699" t="str">
        <f>"מוסקוביץ אולגה"</f>
        <v>מוסקוביץ אולגה</v>
      </c>
      <c r="U699">
        <v>0</v>
      </c>
      <c r="V699">
        <v>0</v>
      </c>
      <c r="W699">
        <v>4.97</v>
      </c>
      <c r="X699">
        <v>24.85</v>
      </c>
      <c r="Z699" t="str">
        <f>"Y"</f>
        <v>Y</v>
      </c>
      <c r="AA699">
        <v>0</v>
      </c>
      <c r="AC699">
        <v>0</v>
      </c>
      <c r="AE699">
        <v>0</v>
      </c>
      <c r="AF699">
        <v>0</v>
      </c>
      <c r="AG699">
        <v>16.95</v>
      </c>
      <c r="AH699">
        <v>0</v>
      </c>
      <c r="AI699">
        <v>84.74</v>
      </c>
      <c r="AJ699">
        <v>24.85</v>
      </c>
      <c r="AK699">
        <v>24.85</v>
      </c>
      <c r="AL699" t="str">
        <f>"$"</f>
        <v>$</v>
      </c>
    </row>
    <row r="700" spans="1:38" x14ac:dyDescent="0.3">
      <c r="A700" t="str">
        <f>"SO20000498"</f>
        <v>SO20000498</v>
      </c>
      <c r="B700" t="str">
        <f>"E000324990"</f>
        <v>E000324990</v>
      </c>
      <c r="C700" t="str">
        <f>"בוצעה"</f>
        <v>בוצעה</v>
      </c>
      <c r="E700" s="3">
        <v>44139</v>
      </c>
      <c r="F700" s="3">
        <v>44235</v>
      </c>
      <c r="G700" t="str">
        <f>"700065"</f>
        <v>700065</v>
      </c>
      <c r="H700" t="str">
        <f>"אלתא מערכות בע""מ"</f>
        <v>אלתא מערכות בע"מ</v>
      </c>
      <c r="I700" t="str">
        <f>"ערן שלו"</f>
        <v>ערן שלו</v>
      </c>
      <c r="J700" t="str">
        <f>"PD0247007"</f>
        <v>PD0247007</v>
      </c>
      <c r="K700" s="1" t="str">
        <f>"מא""ז 1X6 10KA ABB S201M C6"</f>
        <v>מא"ז 1X6 10KA ABB S201M C6</v>
      </c>
      <c r="L700">
        <v>60</v>
      </c>
      <c r="M700" t="str">
        <f>"PR20000790"</f>
        <v>PR20000790</v>
      </c>
      <c r="N700" t="str">
        <f>"ARMY SPARE PARTS"</f>
        <v>ARMY SPARE PARTS</v>
      </c>
      <c r="O700">
        <v>4.97</v>
      </c>
      <c r="P700" t="str">
        <f>"$"</f>
        <v>$</v>
      </c>
      <c r="Q700" t="str">
        <f>"118"</f>
        <v>118</v>
      </c>
      <c r="R700" t="str">
        <f>"מערכות"</f>
        <v>מערכות</v>
      </c>
      <c r="S700" t="str">
        <f>"034"</f>
        <v>034</v>
      </c>
      <c r="T700" t="str">
        <f>"מוסקוביץ אולגה"</f>
        <v>מוסקוביץ אולגה</v>
      </c>
      <c r="U700">
        <v>0</v>
      </c>
      <c r="V700">
        <v>0</v>
      </c>
      <c r="W700">
        <v>4.97</v>
      </c>
      <c r="X700">
        <v>298.2</v>
      </c>
      <c r="Z700" t="str">
        <f>"Y"</f>
        <v>Y</v>
      </c>
      <c r="AA700">
        <v>0</v>
      </c>
      <c r="AC700">
        <v>0</v>
      </c>
      <c r="AE700">
        <v>0</v>
      </c>
      <c r="AF700">
        <v>0</v>
      </c>
      <c r="AG700">
        <v>16.95</v>
      </c>
      <c r="AH700">
        <v>0</v>
      </c>
      <c r="AI700" s="2">
        <v>1016.86</v>
      </c>
      <c r="AJ700">
        <v>298.2</v>
      </c>
      <c r="AK700">
        <v>298.2</v>
      </c>
      <c r="AL700" t="str">
        <f>"$"</f>
        <v>$</v>
      </c>
    </row>
    <row r="701" spans="1:38" x14ac:dyDescent="0.3">
      <c r="A701" t="str">
        <f>"SO20000498"</f>
        <v>SO20000498</v>
      </c>
      <c r="B701" t="str">
        <f>"E000324990"</f>
        <v>E000324990</v>
      </c>
      <c r="C701" t="str">
        <f>"בוצעה"</f>
        <v>בוצעה</v>
      </c>
      <c r="E701" s="3">
        <v>44139</v>
      </c>
      <c r="F701" s="3">
        <v>44235</v>
      </c>
      <c r="G701" t="str">
        <f>"700065"</f>
        <v>700065</v>
      </c>
      <c r="H701" t="str">
        <f>"אלתא מערכות בע""מ"</f>
        <v>אלתא מערכות בע"מ</v>
      </c>
      <c r="I701" t="str">
        <f>"ערן שלו"</f>
        <v>ערן שלו</v>
      </c>
      <c r="J701" t="str">
        <f>"PD0247675"</f>
        <v>PD0247675</v>
      </c>
      <c r="K701" s="1" t="str">
        <f>"מא""ז ABB S201M- C20 10K"</f>
        <v>מא"ז ABB S201M- C20 10K</v>
      </c>
      <c r="L701">
        <v>1</v>
      </c>
      <c r="M701" t="str">
        <f>"PR20000790"</f>
        <v>PR20000790</v>
      </c>
      <c r="N701" t="str">
        <f>"ARMY SPARE PARTS"</f>
        <v>ARMY SPARE PARTS</v>
      </c>
      <c r="O701">
        <v>4.79</v>
      </c>
      <c r="P701" t="str">
        <f>"$"</f>
        <v>$</v>
      </c>
      <c r="Q701" t="str">
        <f>"118"</f>
        <v>118</v>
      </c>
      <c r="R701" t="str">
        <f>"מערכות"</f>
        <v>מערכות</v>
      </c>
      <c r="S701" t="str">
        <f>"034"</f>
        <v>034</v>
      </c>
      <c r="T701" t="str">
        <f>"מוסקוביץ אולגה"</f>
        <v>מוסקוביץ אולגה</v>
      </c>
      <c r="U701">
        <v>0</v>
      </c>
      <c r="V701">
        <v>0</v>
      </c>
      <c r="W701">
        <v>4.79</v>
      </c>
      <c r="X701">
        <v>4.79</v>
      </c>
      <c r="Z701" t="str">
        <f>"Y"</f>
        <v>Y</v>
      </c>
      <c r="AA701">
        <v>0</v>
      </c>
      <c r="AC701">
        <v>0</v>
      </c>
      <c r="AE701">
        <v>0</v>
      </c>
      <c r="AF701">
        <v>0</v>
      </c>
      <c r="AG701">
        <v>16.329999999999998</v>
      </c>
      <c r="AH701">
        <v>0</v>
      </c>
      <c r="AI701">
        <v>16.329999999999998</v>
      </c>
      <c r="AJ701">
        <v>4.79</v>
      </c>
      <c r="AK701">
        <v>4.79</v>
      </c>
      <c r="AL701" t="str">
        <f>"$"</f>
        <v>$</v>
      </c>
    </row>
    <row r="702" spans="1:38" x14ac:dyDescent="0.3">
      <c r="A702" t="str">
        <f>"SO20000498"</f>
        <v>SO20000498</v>
      </c>
      <c r="B702" t="str">
        <f>"E000324990"</f>
        <v>E000324990</v>
      </c>
      <c r="C702" t="str">
        <f>"בוצעה"</f>
        <v>בוצעה</v>
      </c>
      <c r="E702" s="3">
        <v>44139</v>
      </c>
      <c r="F702" s="3">
        <v>44235</v>
      </c>
      <c r="G702" t="str">
        <f>"700065"</f>
        <v>700065</v>
      </c>
      <c r="H702" t="str">
        <f>"אלתא מערכות בע""מ"</f>
        <v>אלתא מערכות בע"מ</v>
      </c>
      <c r="I702" t="str">
        <f>"ערן שלו"</f>
        <v>ערן שלו</v>
      </c>
      <c r="J702" t="str">
        <f>"PD0247675"</f>
        <v>PD0247675</v>
      </c>
      <c r="K702" s="1" t="str">
        <f>"מא""ז ABB S201M- C20 10K"</f>
        <v>מא"ז ABB S201M- C20 10K</v>
      </c>
      <c r="L702">
        <v>11</v>
      </c>
      <c r="M702" t="str">
        <f>"PR20000790"</f>
        <v>PR20000790</v>
      </c>
      <c r="N702" t="str">
        <f>"ARMY SPARE PARTS"</f>
        <v>ARMY SPARE PARTS</v>
      </c>
      <c r="O702">
        <v>4.79</v>
      </c>
      <c r="P702" t="str">
        <f>"$"</f>
        <v>$</v>
      </c>
      <c r="Q702" t="str">
        <f>"118"</f>
        <v>118</v>
      </c>
      <c r="R702" t="str">
        <f>"מערכות"</f>
        <v>מערכות</v>
      </c>
      <c r="S702" t="str">
        <f>"034"</f>
        <v>034</v>
      </c>
      <c r="T702" t="str">
        <f>"מוסקוביץ אולגה"</f>
        <v>מוסקוביץ אולגה</v>
      </c>
      <c r="U702">
        <v>0</v>
      </c>
      <c r="V702">
        <v>0</v>
      </c>
      <c r="W702">
        <v>4.79</v>
      </c>
      <c r="X702">
        <v>52.69</v>
      </c>
      <c r="Z702" t="str">
        <f>"Y"</f>
        <v>Y</v>
      </c>
      <c r="AA702">
        <v>0</v>
      </c>
      <c r="AC702">
        <v>0</v>
      </c>
      <c r="AE702">
        <v>0</v>
      </c>
      <c r="AF702">
        <v>0</v>
      </c>
      <c r="AG702">
        <v>16.329999999999998</v>
      </c>
      <c r="AH702">
        <v>0</v>
      </c>
      <c r="AI702">
        <v>179.67</v>
      </c>
      <c r="AJ702">
        <v>52.69</v>
      </c>
      <c r="AK702">
        <v>52.69</v>
      </c>
      <c r="AL702" t="str">
        <f>"$"</f>
        <v>$</v>
      </c>
    </row>
    <row r="703" spans="1:38" x14ac:dyDescent="0.3">
      <c r="A703" t="str">
        <f>"SO20000498"</f>
        <v>SO20000498</v>
      </c>
      <c r="B703" t="str">
        <f>"E000324990"</f>
        <v>E000324990</v>
      </c>
      <c r="C703" t="str">
        <f>"בוצעה"</f>
        <v>בוצעה</v>
      </c>
      <c r="E703" s="3">
        <v>44139</v>
      </c>
      <c r="F703" s="3">
        <v>44235</v>
      </c>
      <c r="G703" t="str">
        <f>"700065"</f>
        <v>700065</v>
      </c>
      <c r="H703" t="str">
        <f>"אלתא מערכות בע""מ"</f>
        <v>אלתא מערכות בע"מ</v>
      </c>
      <c r="I703" t="str">
        <f>"ערן שלו"</f>
        <v>ערן שלו</v>
      </c>
      <c r="J703" t="str">
        <f>"PD0241104"</f>
        <v>PD0241104</v>
      </c>
      <c r="K703" s="1" t="str">
        <f>"מא""ז ABB 3X6AC 10KA S203M-C 6"</f>
        <v>מא"ז ABB 3X6AC 10KA S203M-C 6</v>
      </c>
      <c r="L703">
        <v>2</v>
      </c>
      <c r="M703" t="str">
        <f>"PR20000790"</f>
        <v>PR20000790</v>
      </c>
      <c r="N703" t="str">
        <f>"ARMY SPARE PARTS"</f>
        <v>ARMY SPARE PARTS</v>
      </c>
      <c r="O703">
        <v>23.45</v>
      </c>
      <c r="P703" t="str">
        <f>"$"</f>
        <v>$</v>
      </c>
      <c r="Q703" t="str">
        <f>"118"</f>
        <v>118</v>
      </c>
      <c r="R703" t="str">
        <f>"מערכות"</f>
        <v>מערכות</v>
      </c>
      <c r="S703" t="str">
        <f>"034"</f>
        <v>034</v>
      </c>
      <c r="T703" t="str">
        <f>"מוסקוביץ אולגה"</f>
        <v>מוסקוביץ אולגה</v>
      </c>
      <c r="U703">
        <v>0</v>
      </c>
      <c r="V703">
        <v>0</v>
      </c>
      <c r="W703">
        <v>23.45</v>
      </c>
      <c r="X703">
        <v>46.9</v>
      </c>
      <c r="Z703" t="str">
        <f>"Y"</f>
        <v>Y</v>
      </c>
      <c r="AA703">
        <v>0</v>
      </c>
      <c r="AC703">
        <v>0</v>
      </c>
      <c r="AE703">
        <v>0</v>
      </c>
      <c r="AF703">
        <v>0</v>
      </c>
      <c r="AG703">
        <v>79.959999999999994</v>
      </c>
      <c r="AH703">
        <v>0</v>
      </c>
      <c r="AI703">
        <v>159.93</v>
      </c>
      <c r="AJ703">
        <v>46.9</v>
      </c>
      <c r="AK703">
        <v>46.9</v>
      </c>
      <c r="AL703" t="str">
        <f>"$"</f>
        <v>$</v>
      </c>
    </row>
    <row r="704" spans="1:38" x14ac:dyDescent="0.3">
      <c r="A704" t="str">
        <f>"SO20000498"</f>
        <v>SO20000498</v>
      </c>
      <c r="B704" t="str">
        <f>"E000324990"</f>
        <v>E000324990</v>
      </c>
      <c r="C704" t="str">
        <f>"בוצעה"</f>
        <v>בוצעה</v>
      </c>
      <c r="E704" s="3">
        <v>44139</v>
      </c>
      <c r="F704" s="3">
        <v>44235</v>
      </c>
      <c r="G704" t="str">
        <f>"700065"</f>
        <v>700065</v>
      </c>
      <c r="H704" t="str">
        <f>"אלתא מערכות בע""מ"</f>
        <v>אלתא מערכות בע"מ</v>
      </c>
      <c r="I704" t="str">
        <f>"ערן שלו"</f>
        <v>ערן שלו</v>
      </c>
      <c r="J704" t="str">
        <f>"PD0241104"</f>
        <v>PD0241104</v>
      </c>
      <c r="K704" s="1" t="str">
        <f>"מא""ז ABB 3X6AC 10KA S203M-C 6"</f>
        <v>מא"ז ABB 3X6AC 10KA S203M-C 6</v>
      </c>
      <c r="L704">
        <v>22</v>
      </c>
      <c r="M704" t="str">
        <f>"PR20000790"</f>
        <v>PR20000790</v>
      </c>
      <c r="N704" t="str">
        <f>"ARMY SPARE PARTS"</f>
        <v>ARMY SPARE PARTS</v>
      </c>
      <c r="O704">
        <v>23.45</v>
      </c>
      <c r="P704" t="str">
        <f>"$"</f>
        <v>$</v>
      </c>
      <c r="Q704" t="str">
        <f>"118"</f>
        <v>118</v>
      </c>
      <c r="R704" t="str">
        <f>"מערכות"</f>
        <v>מערכות</v>
      </c>
      <c r="S704" t="str">
        <f>"034"</f>
        <v>034</v>
      </c>
      <c r="T704" t="str">
        <f>"מוסקוביץ אולגה"</f>
        <v>מוסקוביץ אולגה</v>
      </c>
      <c r="U704">
        <v>0</v>
      </c>
      <c r="V704">
        <v>0</v>
      </c>
      <c r="W704">
        <v>23.45</v>
      </c>
      <c r="X704">
        <v>515.9</v>
      </c>
      <c r="Z704" t="str">
        <f>"Y"</f>
        <v>Y</v>
      </c>
      <c r="AA704">
        <v>0</v>
      </c>
      <c r="AC704">
        <v>0</v>
      </c>
      <c r="AE704">
        <v>0</v>
      </c>
      <c r="AF704">
        <v>0</v>
      </c>
      <c r="AG704">
        <v>79.959999999999994</v>
      </c>
      <c r="AH704">
        <v>0</v>
      </c>
      <c r="AI704" s="2">
        <v>1759.22</v>
      </c>
      <c r="AJ704">
        <v>515.9</v>
      </c>
      <c r="AK704">
        <v>515.9</v>
      </c>
      <c r="AL704" t="str">
        <f>"$"</f>
        <v>$</v>
      </c>
    </row>
    <row r="705" spans="1:38" x14ac:dyDescent="0.3">
      <c r="A705" t="str">
        <f>"SO20000498"</f>
        <v>SO20000498</v>
      </c>
      <c r="B705" t="str">
        <f>"E000324990"</f>
        <v>E000324990</v>
      </c>
      <c r="C705" t="str">
        <f>"בוצעה"</f>
        <v>בוצעה</v>
      </c>
      <c r="E705" s="3">
        <v>44139</v>
      </c>
      <c r="F705" s="3">
        <v>44235</v>
      </c>
      <c r="G705" t="str">
        <f>"700065"</f>
        <v>700065</v>
      </c>
      <c r="H705" t="str">
        <f>"אלתא מערכות בע""מ"</f>
        <v>אלתא מערכות בע"מ</v>
      </c>
      <c r="I705" t="str">
        <f>"ערן שלו"</f>
        <v>ערן שלו</v>
      </c>
      <c r="J705" t="str">
        <f>"PD0248403"</f>
        <v>PD0248403</v>
      </c>
      <c r="K705" s="1" t="str">
        <f>"מא""ז 3X40 10KA ABB S203M-C 40"</f>
        <v>מא"ז 3X40 10KA ABB S203M-C 40</v>
      </c>
      <c r="L705">
        <v>1</v>
      </c>
      <c r="M705" t="str">
        <f>"PR20000790"</f>
        <v>PR20000790</v>
      </c>
      <c r="N705" t="str">
        <f>"ARMY SPARE PARTS"</f>
        <v>ARMY SPARE PARTS</v>
      </c>
      <c r="O705">
        <v>28.49</v>
      </c>
      <c r="P705" t="str">
        <f>"$"</f>
        <v>$</v>
      </c>
      <c r="Q705" t="str">
        <f>"118"</f>
        <v>118</v>
      </c>
      <c r="R705" t="str">
        <f>"מערכות"</f>
        <v>מערכות</v>
      </c>
      <c r="S705" t="str">
        <f>"034"</f>
        <v>034</v>
      </c>
      <c r="T705" t="str">
        <f>"מוסקוביץ אולגה"</f>
        <v>מוסקוביץ אולגה</v>
      </c>
      <c r="U705">
        <v>0</v>
      </c>
      <c r="V705">
        <v>0</v>
      </c>
      <c r="W705">
        <v>28.49</v>
      </c>
      <c r="X705">
        <v>28.49</v>
      </c>
      <c r="Z705" t="str">
        <f>"Y"</f>
        <v>Y</v>
      </c>
      <c r="AA705">
        <v>0</v>
      </c>
      <c r="AC705">
        <v>0</v>
      </c>
      <c r="AE705">
        <v>0</v>
      </c>
      <c r="AF705">
        <v>0</v>
      </c>
      <c r="AG705">
        <v>97.15</v>
      </c>
      <c r="AH705">
        <v>0</v>
      </c>
      <c r="AI705">
        <v>97.15</v>
      </c>
      <c r="AJ705">
        <v>28.49</v>
      </c>
      <c r="AK705">
        <v>28.49</v>
      </c>
      <c r="AL705" t="str">
        <f>"$"</f>
        <v>$</v>
      </c>
    </row>
    <row r="706" spans="1:38" x14ac:dyDescent="0.3">
      <c r="A706" t="str">
        <f>"SO20000498"</f>
        <v>SO20000498</v>
      </c>
      <c r="B706" t="str">
        <f>"E000324990"</f>
        <v>E000324990</v>
      </c>
      <c r="C706" t="str">
        <f>"בוצעה"</f>
        <v>בוצעה</v>
      </c>
      <c r="E706" s="3">
        <v>44139</v>
      </c>
      <c r="F706" s="3">
        <v>44235</v>
      </c>
      <c r="G706" t="str">
        <f>"700065"</f>
        <v>700065</v>
      </c>
      <c r="H706" t="str">
        <f>"אלתא מערכות בע""מ"</f>
        <v>אלתא מערכות בע"מ</v>
      </c>
      <c r="I706" t="str">
        <f>"ערן שלו"</f>
        <v>ערן שלו</v>
      </c>
      <c r="J706" t="str">
        <f>"PD0248403"</f>
        <v>PD0248403</v>
      </c>
      <c r="K706" s="1" t="str">
        <f>"מא""ז 3X40 10KA ABB S203M-C 40"</f>
        <v>מא"ז 3X40 10KA ABB S203M-C 40</v>
      </c>
      <c r="L706">
        <v>11</v>
      </c>
      <c r="M706" t="str">
        <f>"PR20000790"</f>
        <v>PR20000790</v>
      </c>
      <c r="N706" t="str">
        <f>"ARMY SPARE PARTS"</f>
        <v>ARMY SPARE PARTS</v>
      </c>
      <c r="O706">
        <v>28.49</v>
      </c>
      <c r="P706" t="str">
        <f>"$"</f>
        <v>$</v>
      </c>
      <c r="Q706" t="str">
        <f>"118"</f>
        <v>118</v>
      </c>
      <c r="R706" t="str">
        <f>"מערכות"</f>
        <v>מערכות</v>
      </c>
      <c r="S706" t="str">
        <f>"034"</f>
        <v>034</v>
      </c>
      <c r="T706" t="str">
        <f>"מוסקוביץ אולגה"</f>
        <v>מוסקוביץ אולגה</v>
      </c>
      <c r="U706">
        <v>0</v>
      </c>
      <c r="V706">
        <v>0</v>
      </c>
      <c r="W706">
        <v>28.49</v>
      </c>
      <c r="X706">
        <v>313.39</v>
      </c>
      <c r="Z706" t="str">
        <f>"Y"</f>
        <v>Y</v>
      </c>
      <c r="AA706">
        <v>0</v>
      </c>
      <c r="AC706">
        <v>0</v>
      </c>
      <c r="AE706">
        <v>0</v>
      </c>
      <c r="AF706">
        <v>0</v>
      </c>
      <c r="AG706">
        <v>97.15</v>
      </c>
      <c r="AH706">
        <v>0</v>
      </c>
      <c r="AI706" s="2">
        <v>1068.6600000000001</v>
      </c>
      <c r="AJ706">
        <v>313.39</v>
      </c>
      <c r="AK706">
        <v>313.39</v>
      </c>
      <c r="AL706" t="str">
        <f>"$"</f>
        <v>$</v>
      </c>
    </row>
    <row r="707" spans="1:38" x14ac:dyDescent="0.3">
      <c r="A707" t="str">
        <f>"SO20000498"</f>
        <v>SO20000498</v>
      </c>
      <c r="B707" t="str">
        <f>"E000324990"</f>
        <v>E000324990</v>
      </c>
      <c r="C707" t="str">
        <f>"בוצעה"</f>
        <v>בוצעה</v>
      </c>
      <c r="E707" s="3">
        <v>44139</v>
      </c>
      <c r="F707" s="3">
        <v>44235</v>
      </c>
      <c r="G707" t="str">
        <f>"700065"</f>
        <v>700065</v>
      </c>
      <c r="H707" t="str">
        <f>"אלתא מערכות בע""מ"</f>
        <v>אלתא מערכות בע"מ</v>
      </c>
      <c r="I707" t="str">
        <f>"ערן שלו"</f>
        <v>ערן שלו</v>
      </c>
      <c r="J707" t="str">
        <f>"PD0200715"</f>
        <v>PD0200715</v>
      </c>
      <c r="K707" s="1" t="str">
        <f>"מנתק ח""א דו קוטבי S802B-C100 ABB"</f>
        <v>מנתק ח"א דו קוטבי S802B-C100 ABB</v>
      </c>
      <c r="L707">
        <v>1</v>
      </c>
      <c r="M707" t="str">
        <f>"PR20000790"</f>
        <v>PR20000790</v>
      </c>
      <c r="N707" t="str">
        <f>"ARMY SPARE PARTS"</f>
        <v>ARMY SPARE PARTS</v>
      </c>
      <c r="O707">
        <v>59.78</v>
      </c>
      <c r="P707" t="str">
        <f>"$"</f>
        <v>$</v>
      </c>
      <c r="Q707" t="str">
        <f>"118"</f>
        <v>118</v>
      </c>
      <c r="R707" t="str">
        <f>"מערכות"</f>
        <v>מערכות</v>
      </c>
      <c r="S707" t="str">
        <f>"034"</f>
        <v>034</v>
      </c>
      <c r="T707" t="str">
        <f>"מוסקוביץ אולגה"</f>
        <v>מוסקוביץ אולגה</v>
      </c>
      <c r="U707">
        <v>0</v>
      </c>
      <c r="V707">
        <v>0</v>
      </c>
      <c r="W707">
        <v>59.78</v>
      </c>
      <c r="X707">
        <v>59.78</v>
      </c>
      <c r="Z707" t="str">
        <f>"Y"</f>
        <v>Y</v>
      </c>
      <c r="AA707">
        <v>0</v>
      </c>
      <c r="AC707">
        <v>0</v>
      </c>
      <c r="AE707">
        <v>0</v>
      </c>
      <c r="AF707">
        <v>0</v>
      </c>
      <c r="AG707">
        <v>203.85</v>
      </c>
      <c r="AH707">
        <v>0</v>
      </c>
      <c r="AI707">
        <v>203.85</v>
      </c>
      <c r="AJ707">
        <v>59.78</v>
      </c>
      <c r="AK707">
        <v>59.78</v>
      </c>
      <c r="AL707" t="str">
        <f>"$"</f>
        <v>$</v>
      </c>
    </row>
    <row r="708" spans="1:38" x14ac:dyDescent="0.3">
      <c r="A708" t="str">
        <f>"SO20000498"</f>
        <v>SO20000498</v>
      </c>
      <c r="B708" t="str">
        <f>"E000324990"</f>
        <v>E000324990</v>
      </c>
      <c r="C708" t="str">
        <f>"בוצעה"</f>
        <v>בוצעה</v>
      </c>
      <c r="E708" s="3">
        <v>44139</v>
      </c>
      <c r="F708" s="3">
        <v>44235</v>
      </c>
      <c r="G708" t="str">
        <f>"700065"</f>
        <v>700065</v>
      </c>
      <c r="H708" t="str">
        <f>"אלתא מערכות בע""מ"</f>
        <v>אלתא מערכות בע"מ</v>
      </c>
      <c r="I708" t="str">
        <f>"ערן שלו"</f>
        <v>ערן שלו</v>
      </c>
      <c r="J708" t="str">
        <f>"PD0200715"</f>
        <v>PD0200715</v>
      </c>
      <c r="K708" s="1" t="str">
        <f>"מנתק ח""א דו קוטבי S802B-C100 ABB"</f>
        <v>מנתק ח"א דו קוטבי S802B-C100 ABB</v>
      </c>
      <c r="L708">
        <v>11</v>
      </c>
      <c r="M708" t="str">
        <f>"PR20000790"</f>
        <v>PR20000790</v>
      </c>
      <c r="N708" t="str">
        <f>"ARMY SPARE PARTS"</f>
        <v>ARMY SPARE PARTS</v>
      </c>
      <c r="O708">
        <v>59.78</v>
      </c>
      <c r="P708" t="str">
        <f>"$"</f>
        <v>$</v>
      </c>
      <c r="Q708" t="str">
        <f>"118"</f>
        <v>118</v>
      </c>
      <c r="R708" t="str">
        <f>"מערכות"</f>
        <v>מערכות</v>
      </c>
      <c r="S708" t="str">
        <f>"034"</f>
        <v>034</v>
      </c>
      <c r="T708" t="str">
        <f>"מוסקוביץ אולגה"</f>
        <v>מוסקוביץ אולגה</v>
      </c>
      <c r="U708">
        <v>0</v>
      </c>
      <c r="V708">
        <v>0</v>
      </c>
      <c r="W708">
        <v>59.78</v>
      </c>
      <c r="X708">
        <v>657.58</v>
      </c>
      <c r="Z708" t="str">
        <f>"Y"</f>
        <v>Y</v>
      </c>
      <c r="AA708">
        <v>0</v>
      </c>
      <c r="AC708">
        <v>0</v>
      </c>
      <c r="AE708">
        <v>0</v>
      </c>
      <c r="AF708">
        <v>0</v>
      </c>
      <c r="AG708">
        <v>203.85</v>
      </c>
      <c r="AH708">
        <v>0</v>
      </c>
      <c r="AI708" s="2">
        <v>2242.35</v>
      </c>
      <c r="AJ708">
        <v>657.58</v>
      </c>
      <c r="AK708">
        <v>657.58</v>
      </c>
      <c r="AL708" t="str">
        <f>"$"</f>
        <v>$</v>
      </c>
    </row>
    <row r="709" spans="1:38" x14ac:dyDescent="0.3">
      <c r="A709" t="str">
        <f>"SO20000498"</f>
        <v>SO20000498</v>
      </c>
      <c r="B709" t="str">
        <f>"E000324990"</f>
        <v>E000324990</v>
      </c>
      <c r="C709" t="str">
        <f>"בוצעה"</f>
        <v>בוצעה</v>
      </c>
      <c r="E709" s="3">
        <v>44139</v>
      </c>
      <c r="F709" s="3">
        <v>44235</v>
      </c>
      <c r="G709" t="str">
        <f>"700065"</f>
        <v>700065</v>
      </c>
      <c r="H709" t="str">
        <f>"אלתא מערכות בע""מ"</f>
        <v>אלתא מערכות בע"מ</v>
      </c>
      <c r="I709" t="str">
        <f>"ערן שלו"</f>
        <v>ערן שלו</v>
      </c>
      <c r="J709" t="str">
        <f>"PD0241322"</f>
        <v>PD0241322</v>
      </c>
      <c r="K709" s="1" t="str">
        <f>"מא""ז תלת קוטבי 10K S203M- C 25 ABB"</f>
        <v>מא"ז תלת קוטבי 10K S203M- C 25 ABB</v>
      </c>
      <c r="L709">
        <v>1</v>
      </c>
      <c r="M709" t="str">
        <f>"PR20000790"</f>
        <v>PR20000790</v>
      </c>
      <c r="N709" t="str">
        <f>"ARMY SPARE PARTS"</f>
        <v>ARMY SPARE PARTS</v>
      </c>
      <c r="O709">
        <v>23.53</v>
      </c>
      <c r="P709" t="str">
        <f>"$"</f>
        <v>$</v>
      </c>
      <c r="Q709" t="str">
        <f>"118"</f>
        <v>118</v>
      </c>
      <c r="R709" t="str">
        <f>"מערכות"</f>
        <v>מערכות</v>
      </c>
      <c r="S709" t="str">
        <f>"034"</f>
        <v>034</v>
      </c>
      <c r="T709" t="str">
        <f>"מוסקוביץ אולגה"</f>
        <v>מוסקוביץ אולגה</v>
      </c>
      <c r="U709">
        <v>0</v>
      </c>
      <c r="V709">
        <v>0</v>
      </c>
      <c r="W709">
        <v>23.53</v>
      </c>
      <c r="X709">
        <v>23.53</v>
      </c>
      <c r="Z709" t="str">
        <f>"Y"</f>
        <v>Y</v>
      </c>
      <c r="AA709">
        <v>0</v>
      </c>
      <c r="AC709">
        <v>0</v>
      </c>
      <c r="AE709">
        <v>0</v>
      </c>
      <c r="AF709">
        <v>0</v>
      </c>
      <c r="AG709">
        <v>80.239999999999995</v>
      </c>
      <c r="AH709">
        <v>0</v>
      </c>
      <c r="AI709">
        <v>80.239999999999995</v>
      </c>
      <c r="AJ709">
        <v>23.53</v>
      </c>
      <c r="AK709">
        <v>23.53</v>
      </c>
      <c r="AL709" t="str">
        <f>"$"</f>
        <v>$</v>
      </c>
    </row>
    <row r="710" spans="1:38" x14ac:dyDescent="0.3">
      <c r="A710" t="str">
        <f>"SO20000498"</f>
        <v>SO20000498</v>
      </c>
      <c r="B710" t="str">
        <f>"E000324990"</f>
        <v>E000324990</v>
      </c>
      <c r="C710" t="str">
        <f>"בוצעה"</f>
        <v>בוצעה</v>
      </c>
      <c r="E710" s="3">
        <v>44139</v>
      </c>
      <c r="F710" s="3">
        <v>44235</v>
      </c>
      <c r="G710" t="str">
        <f>"700065"</f>
        <v>700065</v>
      </c>
      <c r="H710" t="str">
        <f>"אלתא מערכות בע""מ"</f>
        <v>אלתא מערכות בע"מ</v>
      </c>
      <c r="I710" t="str">
        <f>"ערן שלו"</f>
        <v>ערן שלו</v>
      </c>
      <c r="J710" t="str">
        <f>"PD0241322"</f>
        <v>PD0241322</v>
      </c>
      <c r="K710" s="1" t="str">
        <f>"מא""ז תלת קוטבי 10K S203M- C 25 ABB"</f>
        <v>מא"ז תלת קוטבי 10K S203M- C 25 ABB</v>
      </c>
      <c r="L710">
        <v>11</v>
      </c>
      <c r="M710" t="str">
        <f>"PR20000790"</f>
        <v>PR20000790</v>
      </c>
      <c r="N710" t="str">
        <f>"ARMY SPARE PARTS"</f>
        <v>ARMY SPARE PARTS</v>
      </c>
      <c r="O710">
        <v>23.53</v>
      </c>
      <c r="P710" t="str">
        <f>"$"</f>
        <v>$</v>
      </c>
      <c r="Q710" t="str">
        <f>"118"</f>
        <v>118</v>
      </c>
      <c r="R710" t="str">
        <f>"מערכות"</f>
        <v>מערכות</v>
      </c>
      <c r="S710" t="str">
        <f>"034"</f>
        <v>034</v>
      </c>
      <c r="T710" t="str">
        <f>"מוסקוביץ אולגה"</f>
        <v>מוסקוביץ אולגה</v>
      </c>
      <c r="U710">
        <v>0</v>
      </c>
      <c r="V710">
        <v>0</v>
      </c>
      <c r="W710">
        <v>23.53</v>
      </c>
      <c r="X710">
        <v>258.83</v>
      </c>
      <c r="Z710" t="str">
        <f>"Y"</f>
        <v>Y</v>
      </c>
      <c r="AA710">
        <v>0</v>
      </c>
      <c r="AC710">
        <v>0</v>
      </c>
      <c r="AE710">
        <v>0</v>
      </c>
      <c r="AF710">
        <v>0</v>
      </c>
      <c r="AG710">
        <v>80.239999999999995</v>
      </c>
      <c r="AH710">
        <v>0</v>
      </c>
      <c r="AI710">
        <v>882.61</v>
      </c>
      <c r="AJ710">
        <v>258.83</v>
      </c>
      <c r="AK710">
        <v>258.83</v>
      </c>
      <c r="AL710" t="str">
        <f>"$"</f>
        <v>$</v>
      </c>
    </row>
    <row r="711" spans="1:38" x14ac:dyDescent="0.3">
      <c r="A711" t="str">
        <f>"SO20000498"</f>
        <v>SO20000498</v>
      </c>
      <c r="B711" t="str">
        <f>"E000324990"</f>
        <v>E000324990</v>
      </c>
      <c r="C711" t="str">
        <f>"בוצעה"</f>
        <v>בוצעה</v>
      </c>
      <c r="E711" s="3">
        <v>44139</v>
      </c>
      <c r="F711" s="3">
        <v>44235</v>
      </c>
      <c r="G711" t="str">
        <f>"700065"</f>
        <v>700065</v>
      </c>
      <c r="H711" t="str">
        <f>"אלתא מערכות בע""מ"</f>
        <v>אלתא מערכות בע"מ</v>
      </c>
      <c r="I711" t="str">
        <f>"ערן שלו"</f>
        <v>ערן שלו</v>
      </c>
      <c r="J711" t="str">
        <f>"PD0201222"</f>
        <v>PD0201222</v>
      </c>
      <c r="K711" s="1" t="str">
        <f>"מא""ז ABB S202M-K50UC 2X50A"</f>
        <v>מא"ז ABB S202M-K50UC 2X50A</v>
      </c>
      <c r="L711">
        <v>1</v>
      </c>
      <c r="M711" t="str">
        <f>"PR20000790"</f>
        <v>PR20000790</v>
      </c>
      <c r="N711" t="str">
        <f>"ARMY SPARE PARTS"</f>
        <v>ARMY SPARE PARTS</v>
      </c>
      <c r="O711">
        <v>95.36</v>
      </c>
      <c r="P711" t="str">
        <f>"$"</f>
        <v>$</v>
      </c>
      <c r="Q711" t="str">
        <f>"118"</f>
        <v>118</v>
      </c>
      <c r="R711" t="str">
        <f>"מערכות"</f>
        <v>מערכות</v>
      </c>
      <c r="S711" t="str">
        <f>"034"</f>
        <v>034</v>
      </c>
      <c r="T711" t="str">
        <f>"מוסקוביץ אולגה"</f>
        <v>מוסקוביץ אולגה</v>
      </c>
      <c r="U711">
        <v>0</v>
      </c>
      <c r="V711">
        <v>0</v>
      </c>
      <c r="W711">
        <v>95.36</v>
      </c>
      <c r="X711">
        <v>95.36</v>
      </c>
      <c r="Z711" t="str">
        <f>"Y"</f>
        <v>Y</v>
      </c>
      <c r="AA711">
        <v>0</v>
      </c>
      <c r="AC711">
        <v>0</v>
      </c>
      <c r="AE711">
        <v>0</v>
      </c>
      <c r="AF711">
        <v>0</v>
      </c>
      <c r="AG711">
        <v>325.18</v>
      </c>
      <c r="AH711">
        <v>0</v>
      </c>
      <c r="AI711">
        <v>325.18</v>
      </c>
      <c r="AJ711">
        <v>95.36</v>
      </c>
      <c r="AK711">
        <v>95.36</v>
      </c>
      <c r="AL711" t="str">
        <f>"$"</f>
        <v>$</v>
      </c>
    </row>
    <row r="712" spans="1:38" x14ac:dyDescent="0.3">
      <c r="A712" t="str">
        <f>"SO20000498"</f>
        <v>SO20000498</v>
      </c>
      <c r="B712" t="str">
        <f>"E000324990"</f>
        <v>E000324990</v>
      </c>
      <c r="C712" t="str">
        <f>"בוצעה"</f>
        <v>בוצעה</v>
      </c>
      <c r="E712" s="3">
        <v>44139</v>
      </c>
      <c r="F712" s="3">
        <v>44235</v>
      </c>
      <c r="G712" t="str">
        <f>"700065"</f>
        <v>700065</v>
      </c>
      <c r="H712" t="str">
        <f>"אלתא מערכות בע""מ"</f>
        <v>אלתא מערכות בע"מ</v>
      </c>
      <c r="I712" t="str">
        <f>"ערן שלו"</f>
        <v>ערן שלו</v>
      </c>
      <c r="J712" t="str">
        <f>"PD0201222"</f>
        <v>PD0201222</v>
      </c>
      <c r="K712" s="1" t="str">
        <f>"מא""ז ABB S202M-K50UC 2X50A"</f>
        <v>מא"ז ABB S202M-K50UC 2X50A</v>
      </c>
      <c r="L712">
        <v>11</v>
      </c>
      <c r="M712" t="str">
        <f>"PR20000790"</f>
        <v>PR20000790</v>
      </c>
      <c r="N712" t="str">
        <f>"ARMY SPARE PARTS"</f>
        <v>ARMY SPARE PARTS</v>
      </c>
      <c r="O712">
        <v>95.36</v>
      </c>
      <c r="P712" t="str">
        <f>"$"</f>
        <v>$</v>
      </c>
      <c r="Q712" t="str">
        <f>"118"</f>
        <v>118</v>
      </c>
      <c r="R712" t="str">
        <f>"מערכות"</f>
        <v>מערכות</v>
      </c>
      <c r="S712" t="str">
        <f>"034"</f>
        <v>034</v>
      </c>
      <c r="T712" t="str">
        <f>"מוסקוביץ אולגה"</f>
        <v>מוסקוביץ אולגה</v>
      </c>
      <c r="U712">
        <v>0</v>
      </c>
      <c r="V712">
        <v>0</v>
      </c>
      <c r="W712">
        <v>95.36</v>
      </c>
      <c r="X712" s="2">
        <v>1048.96</v>
      </c>
      <c r="Z712" t="str">
        <f>"Y"</f>
        <v>Y</v>
      </c>
      <c r="AA712">
        <v>0</v>
      </c>
      <c r="AC712">
        <v>0</v>
      </c>
      <c r="AE712">
        <v>0</v>
      </c>
      <c r="AF712">
        <v>0</v>
      </c>
      <c r="AG712">
        <v>325.18</v>
      </c>
      <c r="AH712">
        <v>0</v>
      </c>
      <c r="AI712" s="2">
        <v>3576.95</v>
      </c>
      <c r="AJ712" s="2">
        <v>1048.96</v>
      </c>
      <c r="AK712" s="2">
        <v>1048.96</v>
      </c>
      <c r="AL712" t="str">
        <f>"$"</f>
        <v>$</v>
      </c>
    </row>
    <row r="713" spans="1:38" x14ac:dyDescent="0.3">
      <c r="A713" t="str">
        <f>"SO20000498"</f>
        <v>SO20000498</v>
      </c>
      <c r="B713" t="str">
        <f>"E000324990"</f>
        <v>E000324990</v>
      </c>
      <c r="C713" t="str">
        <f>"בוצעה"</f>
        <v>בוצעה</v>
      </c>
      <c r="E713" s="3">
        <v>44139</v>
      </c>
      <c r="F713" s="3">
        <v>44235</v>
      </c>
      <c r="G713" t="str">
        <f>"700065"</f>
        <v>700065</v>
      </c>
      <c r="H713" t="str">
        <f>"אלתא מערכות בע""מ"</f>
        <v>אלתא מערכות בע"מ</v>
      </c>
      <c r="I713" t="str">
        <f>"ערן שלו"</f>
        <v>ערן שלו</v>
      </c>
      <c r="J713" t="str">
        <f>"PD0200559"</f>
        <v>PD0200559</v>
      </c>
      <c r="K713" s="1" t="str">
        <f>"מא""ז S801B-C100 ABB"</f>
        <v>מא"ז S801B-C100 ABB</v>
      </c>
      <c r="L713">
        <v>1</v>
      </c>
      <c r="M713" t="str">
        <f>"PR20000790"</f>
        <v>PR20000790</v>
      </c>
      <c r="N713" t="str">
        <f>"ARMY SPARE PARTS"</f>
        <v>ARMY SPARE PARTS</v>
      </c>
      <c r="O713">
        <v>30.33</v>
      </c>
      <c r="P713" t="str">
        <f>"$"</f>
        <v>$</v>
      </c>
      <c r="Q713" t="str">
        <f>"118"</f>
        <v>118</v>
      </c>
      <c r="R713" t="str">
        <f>"מערכות"</f>
        <v>מערכות</v>
      </c>
      <c r="S713" t="str">
        <f>"034"</f>
        <v>034</v>
      </c>
      <c r="T713" t="str">
        <f>"מוסקוביץ אולגה"</f>
        <v>מוסקוביץ אולגה</v>
      </c>
      <c r="U713">
        <v>0</v>
      </c>
      <c r="V713">
        <v>0</v>
      </c>
      <c r="W713">
        <v>30.33</v>
      </c>
      <c r="X713">
        <v>30.33</v>
      </c>
      <c r="Z713" t="str">
        <f>"Y"</f>
        <v>Y</v>
      </c>
      <c r="AA713">
        <v>0</v>
      </c>
      <c r="AC713">
        <v>0</v>
      </c>
      <c r="AE713">
        <v>0</v>
      </c>
      <c r="AF713">
        <v>0</v>
      </c>
      <c r="AG713">
        <v>103.43</v>
      </c>
      <c r="AH713">
        <v>0</v>
      </c>
      <c r="AI713">
        <v>103.43</v>
      </c>
      <c r="AJ713">
        <v>30.33</v>
      </c>
      <c r="AK713">
        <v>30.33</v>
      </c>
      <c r="AL713" t="str">
        <f>"$"</f>
        <v>$</v>
      </c>
    </row>
    <row r="714" spans="1:38" x14ac:dyDescent="0.3">
      <c r="A714" t="str">
        <f>"SO20000498"</f>
        <v>SO20000498</v>
      </c>
      <c r="B714" t="str">
        <f>"E000324990"</f>
        <v>E000324990</v>
      </c>
      <c r="C714" t="str">
        <f>"בוצעה"</f>
        <v>בוצעה</v>
      </c>
      <c r="E714" s="3">
        <v>44139</v>
      </c>
      <c r="F714" s="3">
        <v>44235</v>
      </c>
      <c r="G714" t="str">
        <f>"700065"</f>
        <v>700065</v>
      </c>
      <c r="H714" t="str">
        <f>"אלתא מערכות בע""מ"</f>
        <v>אלתא מערכות בע"מ</v>
      </c>
      <c r="I714" t="str">
        <f>"ערן שלו"</f>
        <v>ערן שלו</v>
      </c>
      <c r="J714" t="str">
        <f>"PD0200559"</f>
        <v>PD0200559</v>
      </c>
      <c r="K714" s="1" t="str">
        <f>"מא""ז S801B-C100 ABB"</f>
        <v>מא"ז S801B-C100 ABB</v>
      </c>
      <c r="L714">
        <v>11</v>
      </c>
      <c r="M714" t="str">
        <f>"PR20000790"</f>
        <v>PR20000790</v>
      </c>
      <c r="N714" t="str">
        <f>"ARMY SPARE PARTS"</f>
        <v>ARMY SPARE PARTS</v>
      </c>
      <c r="O714">
        <v>30.33</v>
      </c>
      <c r="P714" t="str">
        <f>"$"</f>
        <v>$</v>
      </c>
      <c r="Q714" t="str">
        <f>"118"</f>
        <v>118</v>
      </c>
      <c r="R714" t="str">
        <f>"מערכות"</f>
        <v>מערכות</v>
      </c>
      <c r="S714" t="str">
        <f>"034"</f>
        <v>034</v>
      </c>
      <c r="T714" t="str">
        <f>"מוסקוביץ אולגה"</f>
        <v>מוסקוביץ אולגה</v>
      </c>
      <c r="U714">
        <v>0</v>
      </c>
      <c r="V714">
        <v>0</v>
      </c>
      <c r="W714">
        <v>30.33</v>
      </c>
      <c r="X714">
        <v>333.63</v>
      </c>
      <c r="Z714" t="str">
        <f>"Y"</f>
        <v>Y</v>
      </c>
      <c r="AA714">
        <v>0</v>
      </c>
      <c r="AC714">
        <v>0</v>
      </c>
      <c r="AE714">
        <v>0</v>
      </c>
      <c r="AF714">
        <v>0</v>
      </c>
      <c r="AG714">
        <v>103.43</v>
      </c>
      <c r="AH714">
        <v>0</v>
      </c>
      <c r="AI714" s="2">
        <v>1137.68</v>
      </c>
      <c r="AJ714">
        <v>333.63</v>
      </c>
      <c r="AK714">
        <v>333.63</v>
      </c>
      <c r="AL714" t="str">
        <f>"$"</f>
        <v>$</v>
      </c>
    </row>
    <row r="715" spans="1:38" x14ac:dyDescent="0.3">
      <c r="A715" t="str">
        <f>"SO20000505"</f>
        <v>SO20000505</v>
      </c>
      <c r="B715" t="str">
        <f>"E000325199"</f>
        <v>E000325199</v>
      </c>
      <c r="C715" t="str">
        <f>"בוצעה"</f>
        <v>בוצעה</v>
      </c>
      <c r="E715" s="3">
        <v>44139</v>
      </c>
      <c r="F715" s="3">
        <v>44270</v>
      </c>
      <c r="G715" t="str">
        <f>"700065"</f>
        <v>700065</v>
      </c>
      <c r="H715" t="str">
        <f>"אלתא מערכות בע""מ"</f>
        <v>אלתא מערכות בע"מ</v>
      </c>
      <c r="I715" t="str">
        <f>"ערן שלו"</f>
        <v>ערן שלו</v>
      </c>
      <c r="J715" t="str">
        <f>"OP-AR02068"</f>
        <v>OP-AR02068</v>
      </c>
      <c r="K715" s="1" t="str">
        <f>"תיקון CU PDU"</f>
        <v>תיקון CU PDU</v>
      </c>
      <c r="L715">
        <v>1</v>
      </c>
      <c r="M715" t="str">
        <f>"PR20000755"</f>
        <v>PR20000755</v>
      </c>
      <c r="N715" t="str">
        <f>"תיקון יחידת  CU"</f>
        <v>תיקון יחידת  CU</v>
      </c>
      <c r="O715">
        <v>450</v>
      </c>
      <c r="P715" t="str">
        <f>"$"</f>
        <v>$</v>
      </c>
      <c r="Q715" t="str">
        <f>"000"</f>
        <v>000</v>
      </c>
      <c r="R715" t="str">
        <f>"כללית"</f>
        <v>כללית</v>
      </c>
      <c r="S715" t="str">
        <f>"034"</f>
        <v>034</v>
      </c>
      <c r="T715" t="str">
        <f>"מוסקוביץ אולגה"</f>
        <v>מוסקוביץ אולגה</v>
      </c>
      <c r="U715">
        <v>0</v>
      </c>
      <c r="V715">
        <v>0</v>
      </c>
      <c r="W715">
        <v>450</v>
      </c>
      <c r="X715">
        <v>450</v>
      </c>
      <c r="Z715" t="str">
        <f>"Y"</f>
        <v>Y</v>
      </c>
      <c r="AA715">
        <v>0</v>
      </c>
      <c r="AC715">
        <v>0</v>
      </c>
      <c r="AE715">
        <v>0</v>
      </c>
      <c r="AF715">
        <v>0</v>
      </c>
      <c r="AG715" s="2">
        <v>1534.5</v>
      </c>
      <c r="AH715">
        <v>0</v>
      </c>
      <c r="AI715" s="2">
        <v>1534.5</v>
      </c>
      <c r="AJ715">
        <v>450</v>
      </c>
      <c r="AK715">
        <v>450</v>
      </c>
      <c r="AL715" t="str">
        <f>"$"</f>
        <v>$</v>
      </c>
    </row>
    <row r="716" spans="1:38" x14ac:dyDescent="0.3">
      <c r="A716" t="str">
        <f>"SO20000506"</f>
        <v>SO20000506</v>
      </c>
      <c r="B716" t="str">
        <f>"E000266439"</f>
        <v>E000266439</v>
      </c>
      <c r="C716" t="str">
        <f>"בוצעה"</f>
        <v>בוצעה</v>
      </c>
      <c r="E716" s="3">
        <v>44140</v>
      </c>
      <c r="F716" s="3">
        <v>44140</v>
      </c>
      <c r="G716" t="str">
        <f>"700065"</f>
        <v>700065</v>
      </c>
      <c r="H716" t="str">
        <f>"אלתא מערכות בע""מ"</f>
        <v>אלתא מערכות בע"מ</v>
      </c>
      <c r="I716" t="str">
        <f>"ערן שלו"</f>
        <v>ערן שלו</v>
      </c>
      <c r="J716" t="str">
        <f>"9977"</f>
        <v>9977</v>
      </c>
      <c r="K716" s="1" t="str">
        <f>"חיוב פיגורים בגין 5112203936 SI206000371"</f>
        <v>חיוב פיגורים בגין 5112203936 SI206000371</v>
      </c>
      <c r="L716">
        <v>0</v>
      </c>
      <c r="M716" t="str">
        <f>"PR18000543"</f>
        <v>PR18000543</v>
      </c>
      <c r="N716" t="str">
        <f>"HIGH VOLTAGE HVJB"</f>
        <v>HIGH VOLTAGE HVJB</v>
      </c>
      <c r="O716">
        <v>65</v>
      </c>
      <c r="P716" t="str">
        <f>"$"</f>
        <v>$</v>
      </c>
      <c r="Q716" t="str">
        <f>"000"</f>
        <v>000</v>
      </c>
      <c r="R716" t="str">
        <f>"כללית"</f>
        <v>כללית</v>
      </c>
      <c r="S716" t="str">
        <f>"034"</f>
        <v>034</v>
      </c>
      <c r="T716" t="str">
        <f>"מוסקוביץ אולגה"</f>
        <v>מוסקוביץ אולגה</v>
      </c>
      <c r="U716">
        <v>0</v>
      </c>
      <c r="V716">
        <v>0</v>
      </c>
      <c r="W716">
        <v>65</v>
      </c>
      <c r="X716">
        <v>0</v>
      </c>
      <c r="Z716" t="str">
        <f>"Y"</f>
        <v>Y</v>
      </c>
      <c r="AA716">
        <v>0</v>
      </c>
      <c r="AC716">
        <v>0</v>
      </c>
      <c r="AE716">
        <v>0</v>
      </c>
      <c r="AF716">
        <v>0</v>
      </c>
      <c r="AG716">
        <v>219.77</v>
      </c>
      <c r="AH716">
        <v>0</v>
      </c>
      <c r="AI716">
        <v>0</v>
      </c>
      <c r="AJ716">
        <v>0</v>
      </c>
      <c r="AK716">
        <v>0</v>
      </c>
      <c r="AL716" t="str">
        <f>"$"</f>
        <v>$</v>
      </c>
    </row>
    <row r="717" spans="1:38" x14ac:dyDescent="0.3">
      <c r="A717" t="str">
        <f>"SO20000506"</f>
        <v>SO20000506</v>
      </c>
      <c r="B717" t="str">
        <f>"E000266439"</f>
        <v>E000266439</v>
      </c>
      <c r="C717" t="str">
        <f>"בוצעה"</f>
        <v>בוצעה</v>
      </c>
      <c r="E717" s="3">
        <v>44140</v>
      </c>
      <c r="F717" s="3">
        <v>44140</v>
      </c>
      <c r="G717" t="str">
        <f>"700065"</f>
        <v>700065</v>
      </c>
      <c r="H717" t="str">
        <f>"אלתא מערכות בע""מ"</f>
        <v>אלתא מערכות בע"מ</v>
      </c>
      <c r="I717" t="str">
        <f>"ערן שלו"</f>
        <v>ערן שלו</v>
      </c>
      <c r="J717" t="str">
        <f>"9977"</f>
        <v>9977</v>
      </c>
      <c r="K717" s="1" t="str">
        <f>"חיוב פיגורים בגין 5112203936 SI206000371"</f>
        <v>חיוב פיגורים בגין 5112203936 SI206000371</v>
      </c>
      <c r="L717">
        <v>0</v>
      </c>
      <c r="M717" t="str">
        <f>"PR18000543"</f>
        <v>PR18000543</v>
      </c>
      <c r="N717" t="str">
        <f>"HIGH VOLTAGE HVJB"</f>
        <v>HIGH VOLTAGE HVJB</v>
      </c>
      <c r="O717">
        <v>65</v>
      </c>
      <c r="P717" t="str">
        <f>"$"</f>
        <v>$</v>
      </c>
      <c r="Q717" t="str">
        <f>"000"</f>
        <v>000</v>
      </c>
      <c r="R717" t="str">
        <f>"כללית"</f>
        <v>כללית</v>
      </c>
      <c r="S717" t="str">
        <f>"034"</f>
        <v>034</v>
      </c>
      <c r="T717" t="str">
        <f>"מוסקוביץ אולגה"</f>
        <v>מוסקוביץ אולגה</v>
      </c>
      <c r="U717">
        <v>0</v>
      </c>
      <c r="V717">
        <v>0</v>
      </c>
      <c r="W717">
        <v>65</v>
      </c>
      <c r="X717">
        <v>0</v>
      </c>
      <c r="Z717" t="str">
        <f>"Y"</f>
        <v>Y</v>
      </c>
      <c r="AA717">
        <v>0</v>
      </c>
      <c r="AC717">
        <v>0</v>
      </c>
      <c r="AE717">
        <v>0</v>
      </c>
      <c r="AF717">
        <v>0</v>
      </c>
      <c r="AG717">
        <v>219.77</v>
      </c>
      <c r="AH717">
        <v>0</v>
      </c>
      <c r="AI717">
        <v>0</v>
      </c>
      <c r="AJ717">
        <v>0</v>
      </c>
      <c r="AK717">
        <v>0</v>
      </c>
      <c r="AL717" t="str">
        <f>"$"</f>
        <v>$</v>
      </c>
    </row>
    <row r="718" spans="1:38" x14ac:dyDescent="0.3">
      <c r="A718" t="str">
        <f>"SO20000515"</f>
        <v>SO20000515</v>
      </c>
      <c r="B718" t="str">
        <f>"E000324547"</f>
        <v>E000324547</v>
      </c>
      <c r="C718" t="str">
        <f>"בוצעה"</f>
        <v>בוצעה</v>
      </c>
      <c r="E718" s="3">
        <v>44144</v>
      </c>
      <c r="F718" s="3">
        <v>44245</v>
      </c>
      <c r="G718" t="str">
        <f>"700065"</f>
        <v>700065</v>
      </c>
      <c r="H718" t="str">
        <f>"אלתא מערכות בע""מ"</f>
        <v>אלתא מערכות בע"מ</v>
      </c>
      <c r="I718" t="str">
        <f>"ערן שלו"</f>
        <v>ערן שלו</v>
      </c>
      <c r="J718" t="str">
        <f>"OP-AR02069"</f>
        <v>OP-AR02069</v>
      </c>
      <c r="K718" s="1" t="str">
        <f>"9004F465-001/A  CABLE GLINK"</f>
        <v>9004F465-001/A  CABLE GLINK</v>
      </c>
      <c r="L718">
        <v>19</v>
      </c>
      <c r="M718" t="str">
        <f>"PR20000791"</f>
        <v>PR20000791</v>
      </c>
      <c r="N718" t="str">
        <f>"CABLE GLINK"</f>
        <v>CABLE GLINK</v>
      </c>
      <c r="O718">
        <v>243.11</v>
      </c>
      <c r="P718" t="str">
        <f>"$"</f>
        <v>$</v>
      </c>
      <c r="Q718" t="str">
        <f>"117"</f>
        <v>117</v>
      </c>
      <c r="R718" t="str">
        <f>"רתמות"</f>
        <v>רתמות</v>
      </c>
      <c r="S718" t="str">
        <f>"034"</f>
        <v>034</v>
      </c>
      <c r="T718" t="str">
        <f>"מוסקוביץ אולגה"</f>
        <v>מוסקוביץ אולגה</v>
      </c>
      <c r="U718">
        <v>0</v>
      </c>
      <c r="V718">
        <v>0</v>
      </c>
      <c r="W718">
        <v>243.11</v>
      </c>
      <c r="X718" s="2">
        <v>4619.09</v>
      </c>
      <c r="Z718" t="str">
        <f>"Y"</f>
        <v>Y</v>
      </c>
      <c r="AA718">
        <v>0</v>
      </c>
      <c r="AC718">
        <v>0</v>
      </c>
      <c r="AE718">
        <v>0</v>
      </c>
      <c r="AF718">
        <v>0</v>
      </c>
      <c r="AG718">
        <v>817.09</v>
      </c>
      <c r="AH718">
        <v>0</v>
      </c>
      <c r="AI718" s="2">
        <v>15524.76</v>
      </c>
      <c r="AJ718" s="2">
        <v>4619.09</v>
      </c>
      <c r="AK718" s="2">
        <v>4619.09</v>
      </c>
      <c r="AL718" t="str">
        <f>"$"</f>
        <v>$</v>
      </c>
    </row>
    <row r="719" spans="1:38" x14ac:dyDescent="0.3">
      <c r="A719" t="str">
        <f>"SO20000516"</f>
        <v>SO20000516</v>
      </c>
      <c r="B719" t="str">
        <f>"E000322953"</f>
        <v>E000322953</v>
      </c>
      <c r="C719" t="str">
        <f>"בוצעה"</f>
        <v>בוצעה</v>
      </c>
      <c r="E719" s="3">
        <v>44144</v>
      </c>
      <c r="F719" s="3">
        <v>44242</v>
      </c>
      <c r="G719" t="str">
        <f>"700065"</f>
        <v>700065</v>
      </c>
      <c r="H719" t="str">
        <f>"אלתא מערכות בע""מ"</f>
        <v>אלתא מערכות בע"מ</v>
      </c>
      <c r="I719" t="str">
        <f>"ערן שלו"</f>
        <v>ערן שלו</v>
      </c>
      <c r="J719" t="str">
        <f>"PA1001666"</f>
        <v>PA1001666</v>
      </c>
      <c r="K719" s="1" t="str">
        <f>"NLS-E-GN-C185-M40B  CONN CIRC LINE SOURCE GROUND"</f>
        <v>NLS-E-GN-C185-M40B  CONN CIRC LINE SOURCE GROUND</v>
      </c>
      <c r="L719">
        <v>4</v>
      </c>
      <c r="M719" t="str">
        <f>"PR20000780"</f>
        <v>PR20000780</v>
      </c>
      <c r="N719" t="str">
        <f>"ייצור לפי הוראת רכש"</f>
        <v>ייצור לפי הוראת רכש</v>
      </c>
      <c r="O719">
        <v>50.12</v>
      </c>
      <c r="P719" t="str">
        <f>"$"</f>
        <v>$</v>
      </c>
      <c r="Q719" t="str">
        <f>"117"</f>
        <v>117</v>
      </c>
      <c r="R719" t="str">
        <f>"רתמות"</f>
        <v>רתמות</v>
      </c>
      <c r="S719" t="str">
        <f>"034"</f>
        <v>034</v>
      </c>
      <c r="T719" t="str">
        <f>"מוסקוביץ אולגה"</f>
        <v>מוסקוביץ אולגה</v>
      </c>
      <c r="U719">
        <v>0</v>
      </c>
      <c r="V719">
        <v>0</v>
      </c>
      <c r="W719">
        <v>50.12</v>
      </c>
      <c r="X719">
        <v>200.48</v>
      </c>
      <c r="Z719" t="str">
        <f>"Y"</f>
        <v>Y</v>
      </c>
      <c r="AA719">
        <v>0</v>
      </c>
      <c r="AC719">
        <v>0</v>
      </c>
      <c r="AE719">
        <v>0</v>
      </c>
      <c r="AF719">
        <v>0</v>
      </c>
      <c r="AG719">
        <v>168.45</v>
      </c>
      <c r="AH719">
        <v>0</v>
      </c>
      <c r="AI719">
        <v>673.81</v>
      </c>
      <c r="AJ719">
        <v>200.48</v>
      </c>
      <c r="AK719">
        <v>200.48</v>
      </c>
      <c r="AL719" t="str">
        <f>"$"</f>
        <v>$</v>
      </c>
    </row>
    <row r="720" spans="1:38" x14ac:dyDescent="0.3">
      <c r="A720" t="str">
        <f>"SO20000516"</f>
        <v>SO20000516</v>
      </c>
      <c r="B720" t="str">
        <f>"E000322953"</f>
        <v>E000322953</v>
      </c>
      <c r="C720" t="str">
        <f>"בוצעה"</f>
        <v>בוצעה</v>
      </c>
      <c r="E720" s="3">
        <v>44144</v>
      </c>
      <c r="F720" s="3">
        <v>44242</v>
      </c>
      <c r="G720" t="str">
        <f>"700065"</f>
        <v>700065</v>
      </c>
      <c r="H720" t="str">
        <f>"אלתא מערכות בע""מ"</f>
        <v>אלתא מערכות בע"מ</v>
      </c>
      <c r="I720" t="str">
        <f>"ערן שלו"</f>
        <v>ערן שלו</v>
      </c>
      <c r="J720" t="str">
        <f>"OP-AR02065"</f>
        <v>OP-AR02065</v>
      </c>
      <c r="K720" s="1" t="str">
        <f>"1033C606-001/-   HARNESS W1606"</f>
        <v>1033C606-001/-   HARNESS W1606</v>
      </c>
      <c r="L720">
        <v>1</v>
      </c>
      <c r="M720" t="str">
        <f>"PR20000780"</f>
        <v>PR20000780</v>
      </c>
      <c r="N720" t="str">
        <f>"ייצור לפי הוראת רכש"</f>
        <v>ייצור לפי הוראת רכש</v>
      </c>
      <c r="O720">
        <v>507.1</v>
      </c>
      <c r="P720" t="str">
        <f>"$"</f>
        <v>$</v>
      </c>
      <c r="Q720" t="str">
        <f>"117"</f>
        <v>117</v>
      </c>
      <c r="R720" t="str">
        <f>"רתמות"</f>
        <v>רתמות</v>
      </c>
      <c r="S720" t="str">
        <f>"034"</f>
        <v>034</v>
      </c>
      <c r="T720" t="str">
        <f>"מוסקוביץ אולגה"</f>
        <v>מוסקוביץ אולגה</v>
      </c>
      <c r="U720">
        <v>0</v>
      </c>
      <c r="V720">
        <v>0</v>
      </c>
      <c r="W720">
        <v>507.1</v>
      </c>
      <c r="X720">
        <v>507.1</v>
      </c>
      <c r="Z720" t="str">
        <f>"Y"</f>
        <v>Y</v>
      </c>
      <c r="AA720">
        <v>0</v>
      </c>
      <c r="AC720">
        <v>0</v>
      </c>
      <c r="AE720">
        <v>0</v>
      </c>
      <c r="AF720">
        <v>0</v>
      </c>
      <c r="AG720" s="2">
        <v>1704.36</v>
      </c>
      <c r="AH720">
        <v>0</v>
      </c>
      <c r="AI720" s="2">
        <v>1704.36</v>
      </c>
      <c r="AJ720">
        <v>507.1</v>
      </c>
      <c r="AK720">
        <v>507.1</v>
      </c>
      <c r="AL720" t="str">
        <f>"$"</f>
        <v>$</v>
      </c>
    </row>
    <row r="721" spans="1:38" x14ac:dyDescent="0.3">
      <c r="A721" t="str">
        <f>"SO20000516"</f>
        <v>SO20000516</v>
      </c>
      <c r="B721" t="str">
        <f>"E000322953"</f>
        <v>E000322953</v>
      </c>
      <c r="C721" t="str">
        <f>"בוצעה"</f>
        <v>בוצעה</v>
      </c>
      <c r="E721" s="3">
        <v>44144</v>
      </c>
      <c r="F721" s="3">
        <v>44242</v>
      </c>
      <c r="G721" t="str">
        <f>"700065"</f>
        <v>700065</v>
      </c>
      <c r="H721" t="str">
        <f>"אלתא מערכות בע""מ"</f>
        <v>אלתא מערכות בע"מ</v>
      </c>
      <c r="I721" t="str">
        <f>"ערן שלו"</f>
        <v>ערן שלו</v>
      </c>
      <c r="J721" t="str">
        <f>"PA1001664"</f>
        <v>PA1001664</v>
      </c>
      <c r="K721" s="1" t="str">
        <f>"NPDFT-E-GN-L-C185-SKPP-M40B   CONN PNL DRAIN GND"</f>
        <v>NPDFT-E-GN-L-C185-SKPP-M40B   CONN PNL DRAIN GND</v>
      </c>
      <c r="L721">
        <v>4</v>
      </c>
      <c r="M721" t="str">
        <f>"PR20000780"</f>
        <v>PR20000780</v>
      </c>
      <c r="N721" t="str">
        <f>"ייצור לפי הוראת רכש"</f>
        <v>ייצור לפי הוראת רכש</v>
      </c>
      <c r="O721">
        <v>0</v>
      </c>
      <c r="P721" t="str">
        <f>"$"</f>
        <v>$</v>
      </c>
      <c r="Q721" t="str">
        <f>"117"</f>
        <v>117</v>
      </c>
      <c r="R721" t="str">
        <f>"רתמות"</f>
        <v>רתמות</v>
      </c>
      <c r="S721" t="str">
        <f>"034"</f>
        <v>034</v>
      </c>
      <c r="T721" t="str">
        <f>"מוסקוביץ אולגה"</f>
        <v>מוסקוביץ אולגה</v>
      </c>
      <c r="U721">
        <v>0</v>
      </c>
      <c r="V721">
        <v>0</v>
      </c>
      <c r="W721">
        <v>0</v>
      </c>
      <c r="X721">
        <v>0</v>
      </c>
      <c r="Z721" t="str">
        <f>"Y"</f>
        <v>Y</v>
      </c>
      <c r="AA721">
        <v>4</v>
      </c>
      <c r="AC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 t="str">
        <f>"$"</f>
        <v>$</v>
      </c>
    </row>
    <row r="722" spans="1:38" x14ac:dyDescent="0.3">
      <c r="A722" t="str">
        <f>"SO20000516"</f>
        <v>SO20000516</v>
      </c>
      <c r="B722" t="str">
        <f>"E000322953"</f>
        <v>E000322953</v>
      </c>
      <c r="C722" t="str">
        <f>"בוצעה"</f>
        <v>בוצעה</v>
      </c>
      <c r="E722" s="3">
        <v>44144</v>
      </c>
      <c r="F722" s="3">
        <v>44242</v>
      </c>
      <c r="G722" t="str">
        <f>"700065"</f>
        <v>700065</v>
      </c>
      <c r="H722" t="str">
        <f>"אלתא מערכות בע""מ"</f>
        <v>אלתא מערכות בע"מ</v>
      </c>
      <c r="I722" t="str">
        <f>"ערן שלו"</f>
        <v>ערן שלו</v>
      </c>
      <c r="J722" t="str">
        <f>"PA1001665"</f>
        <v>PA1001665</v>
      </c>
      <c r="K722" s="1" t="str">
        <f>"PCS-NPD-E-GN  PLUG PROTECTION CAP GREEN IP67"</f>
        <v>PCS-NPD-E-GN  PLUG PROTECTION CAP GREEN IP67</v>
      </c>
      <c r="L722">
        <v>1</v>
      </c>
      <c r="M722" t="str">
        <f>"PR20000780"</f>
        <v>PR20000780</v>
      </c>
      <c r="N722" t="str">
        <f>"ייצור לפי הוראת רכש"</f>
        <v>ייצור לפי הוראת רכש</v>
      </c>
      <c r="O722">
        <v>0</v>
      </c>
      <c r="P722" t="str">
        <f>"$"</f>
        <v>$</v>
      </c>
      <c r="Q722" t="str">
        <f>"117"</f>
        <v>117</v>
      </c>
      <c r="R722" t="str">
        <f>"רתמות"</f>
        <v>רתמות</v>
      </c>
      <c r="S722" t="str">
        <f>"034"</f>
        <v>034</v>
      </c>
      <c r="T722" t="str">
        <f>"מוסקוביץ אולגה"</f>
        <v>מוסקוביץ אולגה</v>
      </c>
      <c r="U722">
        <v>0</v>
      </c>
      <c r="V722">
        <v>0</v>
      </c>
      <c r="W722">
        <v>0</v>
      </c>
      <c r="X722">
        <v>0</v>
      </c>
      <c r="Z722" t="str">
        <f>"Y"</f>
        <v>Y</v>
      </c>
      <c r="AA722">
        <v>1</v>
      </c>
      <c r="AC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 t="str">
        <f>"$"</f>
        <v>$</v>
      </c>
    </row>
    <row r="723" spans="1:38" x14ac:dyDescent="0.3">
      <c r="A723" t="str">
        <f>"SO20000518"</f>
        <v>SO20000518</v>
      </c>
      <c r="B723" t="str">
        <f>"E000324732"</f>
        <v>E000324732</v>
      </c>
      <c r="C723" t="str">
        <f>"בוצעה"</f>
        <v>בוצעה</v>
      </c>
      <c r="E723" s="3">
        <v>44145</v>
      </c>
      <c r="F723" s="3">
        <v>43905</v>
      </c>
      <c r="G723" t="str">
        <f>"700065"</f>
        <v>700065</v>
      </c>
      <c r="H723" t="str">
        <f>"אלתא מערכות בע""מ"</f>
        <v>אלתא מערכות בע"מ</v>
      </c>
      <c r="I723" t="str">
        <f>"ערן שלו"</f>
        <v>ערן שלו</v>
      </c>
      <c r="J723" t="str">
        <f>"OP-AR02086"</f>
        <v>OP-AR02086</v>
      </c>
      <c r="K723" s="1" t="str">
        <f>"2060B171-001  CABLE ASSY CRW22"</f>
        <v>2060B171-001  CABLE ASSY CRW22</v>
      </c>
      <c r="L723">
        <v>1</v>
      </c>
      <c r="M723" t="str">
        <f>"PR20000789"</f>
        <v>PR20000789</v>
      </c>
      <c r="N723" t="str">
        <f>"CABLE ASSY CRW22"</f>
        <v>CABLE ASSY CRW22</v>
      </c>
      <c r="O723">
        <v>623.46</v>
      </c>
      <c r="P723" t="str">
        <f>"$"</f>
        <v>$</v>
      </c>
      <c r="Q723" t="str">
        <f>"117"</f>
        <v>117</v>
      </c>
      <c r="R723" t="str">
        <f>"רתמות"</f>
        <v>רתמות</v>
      </c>
      <c r="S723" t="str">
        <f>"034"</f>
        <v>034</v>
      </c>
      <c r="T723" t="str">
        <f>"מוסקוביץ אולגה"</f>
        <v>מוסקוביץ אולגה</v>
      </c>
      <c r="U723">
        <v>0</v>
      </c>
      <c r="V723">
        <v>0</v>
      </c>
      <c r="W723">
        <v>623.46</v>
      </c>
      <c r="X723">
        <v>623.46</v>
      </c>
      <c r="Z723" t="str">
        <f>"Y"</f>
        <v>Y</v>
      </c>
      <c r="AA723">
        <v>0</v>
      </c>
      <c r="AC723">
        <v>0</v>
      </c>
      <c r="AE723">
        <v>0</v>
      </c>
      <c r="AF723">
        <v>0</v>
      </c>
      <c r="AG723" s="2">
        <v>2104.8000000000002</v>
      </c>
      <c r="AH723">
        <v>0</v>
      </c>
      <c r="AI723" s="2">
        <v>2104.8000000000002</v>
      </c>
      <c r="AJ723">
        <v>623.46</v>
      </c>
      <c r="AK723">
        <v>623.46</v>
      </c>
      <c r="AL723" t="str">
        <f>"$"</f>
        <v>$</v>
      </c>
    </row>
    <row r="724" spans="1:38" x14ac:dyDescent="0.3">
      <c r="A724" t="str">
        <f>"SO20000518"</f>
        <v>SO20000518</v>
      </c>
      <c r="B724" t="str">
        <f>"E000324732"</f>
        <v>E000324732</v>
      </c>
      <c r="C724" t="str">
        <f>"בוצעה"</f>
        <v>בוצעה</v>
      </c>
      <c r="E724" s="3">
        <v>44145</v>
      </c>
      <c r="F724" s="3">
        <v>44270</v>
      </c>
      <c r="G724" t="str">
        <f>"700065"</f>
        <v>700065</v>
      </c>
      <c r="H724" t="str">
        <f>"אלתא מערכות בע""מ"</f>
        <v>אלתא מערכות בע"מ</v>
      </c>
      <c r="I724" t="str">
        <f>"ערן שלו"</f>
        <v>ערן שלו</v>
      </c>
      <c r="J724" t="str">
        <f>"OP-AR02087"</f>
        <v>OP-AR02087</v>
      </c>
      <c r="K724" s="1" t="str">
        <f>"2219B071-001/-  PS HI POWER CABLE"</f>
        <v>2219B071-001/-  PS HI POWER CABLE</v>
      </c>
      <c r="L724">
        <v>1</v>
      </c>
      <c r="M724" t="str">
        <f>"PR20000789"</f>
        <v>PR20000789</v>
      </c>
      <c r="N724" t="str">
        <f>"CABLE ASSY CRW22"</f>
        <v>CABLE ASSY CRW22</v>
      </c>
      <c r="O724">
        <v>619.95000000000005</v>
      </c>
      <c r="P724" t="str">
        <f>"$"</f>
        <v>$</v>
      </c>
      <c r="Q724" t="str">
        <f>"117"</f>
        <v>117</v>
      </c>
      <c r="R724" t="str">
        <f>"רתמות"</f>
        <v>רתמות</v>
      </c>
      <c r="S724" t="str">
        <f>"034"</f>
        <v>034</v>
      </c>
      <c r="T724" t="str">
        <f>"מוסקוביץ אולגה"</f>
        <v>מוסקוביץ אולגה</v>
      </c>
      <c r="U724">
        <v>0</v>
      </c>
      <c r="V724">
        <v>0</v>
      </c>
      <c r="W724">
        <v>619.95000000000005</v>
      </c>
      <c r="X724">
        <v>619.95000000000005</v>
      </c>
      <c r="Z724" t="str">
        <f>"Y"</f>
        <v>Y</v>
      </c>
      <c r="AA724">
        <v>0</v>
      </c>
      <c r="AC724">
        <v>0</v>
      </c>
      <c r="AE724">
        <v>0</v>
      </c>
      <c r="AF724">
        <v>0</v>
      </c>
      <c r="AG724" s="2">
        <v>2092.9499999999998</v>
      </c>
      <c r="AH724">
        <v>0</v>
      </c>
      <c r="AI724" s="2">
        <v>2092.9499999999998</v>
      </c>
      <c r="AJ724">
        <v>619.95000000000005</v>
      </c>
      <c r="AK724">
        <v>619.95000000000005</v>
      </c>
      <c r="AL724" t="str">
        <f>"$"</f>
        <v>$</v>
      </c>
    </row>
    <row r="725" spans="1:38" x14ac:dyDescent="0.3">
      <c r="A725" t="str">
        <f>"SO20000518"</f>
        <v>SO20000518</v>
      </c>
      <c r="B725" t="str">
        <f>"E000324732"</f>
        <v>E000324732</v>
      </c>
      <c r="C725" t="str">
        <f>"בוצעה"</f>
        <v>בוצעה</v>
      </c>
      <c r="E725" s="3">
        <v>44145</v>
      </c>
      <c r="F725" s="3">
        <v>44180</v>
      </c>
      <c r="G725" t="str">
        <f>"700065"</f>
        <v>700065</v>
      </c>
      <c r="H725" t="str">
        <f>"אלתא מערכות בע""מ"</f>
        <v>אלתא מערכות בע"מ</v>
      </c>
      <c r="I725" t="str">
        <f>"ערן שלו"</f>
        <v>ערן שלו</v>
      </c>
      <c r="J725" t="str">
        <f>"OP-AR02088"</f>
        <v>OP-AR02088</v>
      </c>
      <c r="K725" s="1" t="str">
        <f>"9006U140-001/A  HARNESS WI140 - AIR COMPRESSOR A"</f>
        <v>9006U140-001/A  HARNESS WI140 - AIR COMPRESSOR A</v>
      </c>
      <c r="L725">
        <v>6</v>
      </c>
      <c r="M725" t="str">
        <f>"PR20000789"</f>
        <v>PR20000789</v>
      </c>
      <c r="N725" t="str">
        <f>"CABLE ASSY CRW22"</f>
        <v>CABLE ASSY CRW22</v>
      </c>
      <c r="O725">
        <v>207.24</v>
      </c>
      <c r="P725" t="str">
        <f>"$"</f>
        <v>$</v>
      </c>
      <c r="Q725" t="str">
        <f>"117"</f>
        <v>117</v>
      </c>
      <c r="R725" t="str">
        <f>"רתמות"</f>
        <v>רתמות</v>
      </c>
      <c r="S725" t="str">
        <f>"034"</f>
        <v>034</v>
      </c>
      <c r="T725" t="str">
        <f>"מוסקוביץ אולגה"</f>
        <v>מוסקוביץ אולגה</v>
      </c>
      <c r="U725">
        <v>0</v>
      </c>
      <c r="V725">
        <v>0</v>
      </c>
      <c r="W725">
        <v>207.24</v>
      </c>
      <c r="X725" s="2">
        <v>1243.44</v>
      </c>
      <c r="Z725" t="str">
        <f>"Y"</f>
        <v>Y</v>
      </c>
      <c r="AA725">
        <v>0</v>
      </c>
      <c r="AC725">
        <v>0</v>
      </c>
      <c r="AE725">
        <v>0</v>
      </c>
      <c r="AF725">
        <v>0</v>
      </c>
      <c r="AG725">
        <v>699.64</v>
      </c>
      <c r="AH725">
        <v>0</v>
      </c>
      <c r="AI725" s="2">
        <v>4197.8500000000004</v>
      </c>
      <c r="AJ725" s="2">
        <v>1243.44</v>
      </c>
      <c r="AK725" s="2">
        <v>1243.44</v>
      </c>
      <c r="AL725" t="str">
        <f>"$"</f>
        <v>$</v>
      </c>
    </row>
    <row r="726" spans="1:38" x14ac:dyDescent="0.3">
      <c r="A726" t="str">
        <f>"SO20000518"</f>
        <v>SO20000518</v>
      </c>
      <c r="B726" t="str">
        <f>"E000324732"</f>
        <v>E000324732</v>
      </c>
      <c r="C726" t="str">
        <f>"בוצעה"</f>
        <v>בוצעה</v>
      </c>
      <c r="E726" s="3">
        <v>44145</v>
      </c>
      <c r="F726" s="3">
        <v>44224</v>
      </c>
      <c r="G726" t="str">
        <f>"700065"</f>
        <v>700065</v>
      </c>
      <c r="H726" t="str">
        <f>"אלתא מערכות בע""מ"</f>
        <v>אלתא מערכות בע"מ</v>
      </c>
      <c r="I726" t="str">
        <f>"ערן שלו"</f>
        <v>ערן שלו</v>
      </c>
      <c r="J726" t="str">
        <f>"OP-AR02089"</f>
        <v>OP-AR02089</v>
      </c>
      <c r="K726" s="1" t="str">
        <f>"4045K511-001/-  CABLE CONT. SAAU for KALANIT"</f>
        <v>4045K511-001/-  CABLE CONT. SAAU for KALANIT</v>
      </c>
      <c r="L726">
        <v>3</v>
      </c>
      <c r="M726" t="str">
        <f>"PR20000789"</f>
        <v>PR20000789</v>
      </c>
      <c r="N726" t="str">
        <f>"CABLE ASSY CRW22"</f>
        <v>CABLE ASSY CRW22</v>
      </c>
      <c r="O726">
        <v>378.16</v>
      </c>
      <c r="P726" t="str">
        <f>"$"</f>
        <v>$</v>
      </c>
      <c r="Q726" t="str">
        <f>"117"</f>
        <v>117</v>
      </c>
      <c r="R726" t="str">
        <f>"רתמות"</f>
        <v>רתמות</v>
      </c>
      <c r="S726" t="str">
        <f>"034"</f>
        <v>034</v>
      </c>
      <c r="T726" t="str">
        <f>"מוסקוביץ אולגה"</f>
        <v>מוסקוביץ אולגה</v>
      </c>
      <c r="U726">
        <v>0</v>
      </c>
      <c r="V726">
        <v>0</v>
      </c>
      <c r="W726">
        <v>378.16</v>
      </c>
      <c r="X726" s="2">
        <v>1134.48</v>
      </c>
      <c r="Z726" t="str">
        <f>"Y"</f>
        <v>Y</v>
      </c>
      <c r="AA726">
        <v>0</v>
      </c>
      <c r="AC726">
        <v>0</v>
      </c>
      <c r="AE726">
        <v>0</v>
      </c>
      <c r="AF726">
        <v>0</v>
      </c>
      <c r="AG726" s="2">
        <v>1276.67</v>
      </c>
      <c r="AH726">
        <v>0</v>
      </c>
      <c r="AI726" s="2">
        <v>3830</v>
      </c>
      <c r="AJ726" s="2">
        <v>1134.48</v>
      </c>
      <c r="AK726" s="2">
        <v>1134.48</v>
      </c>
      <c r="AL726" t="str">
        <f>"$"</f>
        <v>$</v>
      </c>
    </row>
    <row r="727" spans="1:38" x14ac:dyDescent="0.3">
      <c r="A727" t="str">
        <f>"SO20000519"</f>
        <v>SO20000519</v>
      </c>
      <c r="B727" t="str">
        <f>"E000323818"</f>
        <v>E000323818</v>
      </c>
      <c r="C727" t="str">
        <f>"בוצעה"</f>
        <v>בוצעה</v>
      </c>
      <c r="E727" s="3">
        <v>44146</v>
      </c>
      <c r="F727" s="3">
        <v>44294</v>
      </c>
      <c r="G727" t="str">
        <f>"700065"</f>
        <v>700065</v>
      </c>
      <c r="H727" t="str">
        <f>"אלתא מערכות בע""מ"</f>
        <v>אלתא מערכות בע"מ</v>
      </c>
      <c r="I727" t="str">
        <f>"ערן שלו"</f>
        <v>ערן שלו</v>
      </c>
      <c r="J727" t="str">
        <f>"OP-AR02071"</f>
        <v>OP-AR02071</v>
      </c>
      <c r="K727" s="1" t="str">
        <f>"1031B011-001/-  W011 - PDB TO MSGU"</f>
        <v>1031B011-001/-  W011 - PDB TO MSGU</v>
      </c>
      <c r="L727">
        <v>1</v>
      </c>
      <c r="M727" t="str">
        <f>"PR20000788"</f>
        <v>PR20000788</v>
      </c>
      <c r="N727" t="str">
        <f>"PDB TO MSGU"</f>
        <v>PDB TO MSGU</v>
      </c>
      <c r="O727" s="2">
        <v>1030.8800000000001</v>
      </c>
      <c r="P727" t="str">
        <f>"$"</f>
        <v>$</v>
      </c>
      <c r="Q727" t="str">
        <f>"117"</f>
        <v>117</v>
      </c>
      <c r="R727" t="str">
        <f>"רתמות"</f>
        <v>רתמות</v>
      </c>
      <c r="S727" t="str">
        <f>"034"</f>
        <v>034</v>
      </c>
      <c r="T727" t="str">
        <f>"מוסקוביץ אולגה"</f>
        <v>מוסקוביץ אולגה</v>
      </c>
      <c r="U727">
        <v>0</v>
      </c>
      <c r="V727">
        <v>0</v>
      </c>
      <c r="W727" s="2">
        <v>1030.8800000000001</v>
      </c>
      <c r="X727" s="2">
        <v>1030.8800000000001</v>
      </c>
      <c r="Z727" t="str">
        <f>"Y"</f>
        <v>Y</v>
      </c>
      <c r="AA727">
        <v>0</v>
      </c>
      <c r="AC727">
        <v>0</v>
      </c>
      <c r="AE727">
        <v>0</v>
      </c>
      <c r="AF727">
        <v>0</v>
      </c>
      <c r="AG727" s="2">
        <v>3490.56</v>
      </c>
      <c r="AH727">
        <v>0</v>
      </c>
      <c r="AI727" s="2">
        <v>3490.56</v>
      </c>
      <c r="AJ727" s="2">
        <v>1030.8800000000001</v>
      </c>
      <c r="AK727" s="2">
        <v>1010.26</v>
      </c>
      <c r="AL727" t="str">
        <f>"$"</f>
        <v>$</v>
      </c>
    </row>
    <row r="728" spans="1:38" x14ac:dyDescent="0.3">
      <c r="A728" t="str">
        <f>"SO20000519"</f>
        <v>SO20000519</v>
      </c>
      <c r="B728" t="str">
        <f>"E000323818"</f>
        <v>E000323818</v>
      </c>
      <c r="C728" t="str">
        <f>"בוצעה"</f>
        <v>בוצעה</v>
      </c>
      <c r="E728" s="3">
        <v>44146</v>
      </c>
      <c r="F728" s="3">
        <v>44294</v>
      </c>
      <c r="G728" t="str">
        <f>"700065"</f>
        <v>700065</v>
      </c>
      <c r="H728" t="str">
        <f>"אלתא מערכות בע""מ"</f>
        <v>אלתא מערכות בע"מ</v>
      </c>
      <c r="I728" t="str">
        <f>"ערן שלו"</f>
        <v>ערן שלו</v>
      </c>
      <c r="J728" t="str">
        <f>"OP-AR02072"</f>
        <v>OP-AR02072</v>
      </c>
      <c r="K728" s="1" t="str">
        <f>"1031B019-001/-   HARNESS W0019"</f>
        <v>1031B019-001/-   HARNESS W0019</v>
      </c>
      <c r="L728">
        <v>1</v>
      </c>
      <c r="M728" t="str">
        <f>"PR20000788"</f>
        <v>PR20000788</v>
      </c>
      <c r="N728" t="str">
        <f>"PDB TO MSGU"</f>
        <v>PDB TO MSGU</v>
      </c>
      <c r="O728" s="2">
        <v>1329.48</v>
      </c>
      <c r="P728" t="str">
        <f>"$"</f>
        <v>$</v>
      </c>
      <c r="Q728" t="str">
        <f>"117"</f>
        <v>117</v>
      </c>
      <c r="R728" t="str">
        <f>"רתמות"</f>
        <v>רתמות</v>
      </c>
      <c r="S728" t="str">
        <f>"034"</f>
        <v>034</v>
      </c>
      <c r="T728" t="str">
        <f>"מוסקוביץ אולגה"</f>
        <v>מוסקוביץ אולגה</v>
      </c>
      <c r="U728">
        <v>0</v>
      </c>
      <c r="V728">
        <v>0</v>
      </c>
      <c r="W728" s="2">
        <v>1329.48</v>
      </c>
      <c r="X728" s="2">
        <v>1329.48</v>
      </c>
      <c r="Z728" t="str">
        <f>"Y"</f>
        <v>Y</v>
      </c>
      <c r="AA728">
        <v>0</v>
      </c>
      <c r="AC728">
        <v>0</v>
      </c>
      <c r="AE728">
        <v>0</v>
      </c>
      <c r="AF728">
        <v>0</v>
      </c>
      <c r="AG728" s="2">
        <v>4501.62</v>
      </c>
      <c r="AH728">
        <v>0</v>
      </c>
      <c r="AI728" s="2">
        <v>4501.62</v>
      </c>
      <c r="AJ728" s="2">
        <v>1329.48</v>
      </c>
      <c r="AK728" s="2">
        <v>1302.8900000000001</v>
      </c>
      <c r="AL728" t="str">
        <f>"$"</f>
        <v>$</v>
      </c>
    </row>
    <row r="729" spans="1:38" x14ac:dyDescent="0.3">
      <c r="A729" t="str">
        <f>"SO20000519"</f>
        <v>SO20000519</v>
      </c>
      <c r="B729" t="str">
        <f>"E000323818"</f>
        <v>E000323818</v>
      </c>
      <c r="C729" t="str">
        <f>"בוצעה"</f>
        <v>בוצעה</v>
      </c>
      <c r="E729" s="3">
        <v>44146</v>
      </c>
      <c r="F729" s="3">
        <v>44294</v>
      </c>
      <c r="G729" t="str">
        <f>"700065"</f>
        <v>700065</v>
      </c>
      <c r="H729" t="str">
        <f>"אלתא מערכות בע""מ"</f>
        <v>אלתא מערכות בע"מ</v>
      </c>
      <c r="I729" t="str">
        <f>"ערן שלו"</f>
        <v>ערן שלו</v>
      </c>
      <c r="J729" t="str">
        <f>"OP-AR02073"</f>
        <v>OP-AR02073</v>
      </c>
      <c r="K729" s="1" t="str">
        <f>"1031B101-001/A   W0101 - DU1 TO MB 1-4"</f>
        <v>1031B101-001/A   W0101 - DU1 TO MB 1-4</v>
      </c>
      <c r="L729">
        <v>1</v>
      </c>
      <c r="M729" t="str">
        <f>"PR20000788"</f>
        <v>PR20000788</v>
      </c>
      <c r="N729" t="str">
        <f>"PDB TO MSGU"</f>
        <v>PDB TO MSGU</v>
      </c>
      <c r="O729" s="2">
        <v>3666.01</v>
      </c>
      <c r="P729" t="str">
        <f>"$"</f>
        <v>$</v>
      </c>
      <c r="Q729" t="str">
        <f>"117"</f>
        <v>117</v>
      </c>
      <c r="R729" t="str">
        <f>"רתמות"</f>
        <v>רתמות</v>
      </c>
      <c r="S729" t="str">
        <f>"034"</f>
        <v>034</v>
      </c>
      <c r="T729" t="str">
        <f>"מוסקוביץ אולגה"</f>
        <v>מוסקוביץ אולגה</v>
      </c>
      <c r="U729">
        <v>0</v>
      </c>
      <c r="V729">
        <v>0</v>
      </c>
      <c r="W729" s="2">
        <v>3666.01</v>
      </c>
      <c r="X729" s="2">
        <v>3666.01</v>
      </c>
      <c r="Z729" t="str">
        <f>"Y"</f>
        <v>Y</v>
      </c>
      <c r="AA729">
        <v>0</v>
      </c>
      <c r="AC729">
        <v>0</v>
      </c>
      <c r="AE729">
        <v>0</v>
      </c>
      <c r="AF729">
        <v>0</v>
      </c>
      <c r="AG729" s="2">
        <v>12413.11</v>
      </c>
      <c r="AH729">
        <v>0</v>
      </c>
      <c r="AI729" s="2">
        <v>12413.11</v>
      </c>
      <c r="AJ729" s="2">
        <v>3666.01</v>
      </c>
      <c r="AK729" s="2">
        <v>3592.69</v>
      </c>
      <c r="AL729" t="str">
        <f>"$"</f>
        <v>$</v>
      </c>
    </row>
    <row r="730" spans="1:38" x14ac:dyDescent="0.3">
      <c r="A730" t="str">
        <f>"SO20000519"</f>
        <v>SO20000519</v>
      </c>
      <c r="B730" t="str">
        <f>"E000323818"</f>
        <v>E000323818</v>
      </c>
      <c r="C730" t="str">
        <f>"בוצעה"</f>
        <v>בוצעה</v>
      </c>
      <c r="E730" s="3">
        <v>44146</v>
      </c>
      <c r="F730" s="3">
        <v>44294</v>
      </c>
      <c r="G730" t="str">
        <f>"700065"</f>
        <v>700065</v>
      </c>
      <c r="H730" t="str">
        <f>"אלתא מערכות בע""מ"</f>
        <v>אלתא מערכות בע"מ</v>
      </c>
      <c r="I730" t="str">
        <f>"ערן שלו"</f>
        <v>ערן שלו</v>
      </c>
      <c r="J730" t="str">
        <f>"OP-AR01955"</f>
        <v>OP-AR01955</v>
      </c>
      <c r="K730" s="1" t="str">
        <f>"1031B109-001/- - CABLE ASSY W109"</f>
        <v>1031B109-001/- - CABLE ASSY W109</v>
      </c>
      <c r="L730">
        <v>1</v>
      </c>
      <c r="M730" t="str">
        <f>"PR20000788"</f>
        <v>PR20000788</v>
      </c>
      <c r="N730" t="str">
        <f>"PDB TO MSGU"</f>
        <v>PDB TO MSGU</v>
      </c>
      <c r="O730" s="2">
        <v>3334.61</v>
      </c>
      <c r="P730" t="str">
        <f>"$"</f>
        <v>$</v>
      </c>
      <c r="Q730" t="str">
        <f>"117"</f>
        <v>117</v>
      </c>
      <c r="R730" t="str">
        <f>"רתמות"</f>
        <v>רתמות</v>
      </c>
      <c r="S730" t="str">
        <f>"034"</f>
        <v>034</v>
      </c>
      <c r="T730" t="str">
        <f>"מוסקוביץ אולגה"</f>
        <v>מוסקוביץ אולגה</v>
      </c>
      <c r="U730">
        <v>0</v>
      </c>
      <c r="V730">
        <v>0</v>
      </c>
      <c r="W730" s="2">
        <v>3334.61</v>
      </c>
      <c r="X730" s="2">
        <v>3334.61</v>
      </c>
      <c r="Z730" t="str">
        <f>"Y"</f>
        <v>Y</v>
      </c>
      <c r="AA730">
        <v>0</v>
      </c>
      <c r="AC730">
        <v>0</v>
      </c>
      <c r="AE730">
        <v>0</v>
      </c>
      <c r="AF730">
        <v>0</v>
      </c>
      <c r="AG730" s="2">
        <v>11290.99</v>
      </c>
      <c r="AH730">
        <v>0</v>
      </c>
      <c r="AI730" s="2">
        <v>11290.99</v>
      </c>
      <c r="AJ730" s="2">
        <v>3334.61</v>
      </c>
      <c r="AK730" s="2">
        <v>3267.92</v>
      </c>
      <c r="AL730" t="str">
        <f>"$"</f>
        <v>$</v>
      </c>
    </row>
    <row r="731" spans="1:38" x14ac:dyDescent="0.3">
      <c r="A731" t="str">
        <f>"SO20000519"</f>
        <v>SO20000519</v>
      </c>
      <c r="B731" t="str">
        <f>"E000323818"</f>
        <v>E000323818</v>
      </c>
      <c r="C731" t="str">
        <f>"בוצעה"</f>
        <v>בוצעה</v>
      </c>
      <c r="E731" s="3">
        <v>44146</v>
      </c>
      <c r="F731" s="3">
        <v>44294</v>
      </c>
      <c r="G731" t="str">
        <f>"700065"</f>
        <v>700065</v>
      </c>
      <c r="H731" t="str">
        <f>"אלתא מערכות בע""מ"</f>
        <v>אלתא מערכות בע"מ</v>
      </c>
      <c r="I731" t="str">
        <f>"ערן שלו"</f>
        <v>ערן שלו</v>
      </c>
      <c r="J731" t="str">
        <f>"OP-AR01946"</f>
        <v>OP-AR01946</v>
      </c>
      <c r="K731" s="1" t="str">
        <f>"1031B110-001/- - CABLE ASSY W110"</f>
        <v>1031B110-001/- - CABLE ASSY W110</v>
      </c>
      <c r="L731">
        <v>1</v>
      </c>
      <c r="M731" t="str">
        <f>"PR20000788"</f>
        <v>PR20000788</v>
      </c>
      <c r="N731" t="str">
        <f>"PDB TO MSGU"</f>
        <v>PDB TO MSGU</v>
      </c>
      <c r="O731" s="2">
        <v>3295.57</v>
      </c>
      <c r="P731" t="str">
        <f>"$"</f>
        <v>$</v>
      </c>
      <c r="Q731" t="str">
        <f>"117"</f>
        <v>117</v>
      </c>
      <c r="R731" t="str">
        <f>"רתמות"</f>
        <v>רתמות</v>
      </c>
      <c r="S731" t="str">
        <f>"034"</f>
        <v>034</v>
      </c>
      <c r="T731" t="str">
        <f>"מוסקוביץ אולגה"</f>
        <v>מוסקוביץ אולגה</v>
      </c>
      <c r="U731">
        <v>0</v>
      </c>
      <c r="V731">
        <v>0</v>
      </c>
      <c r="W731" s="2">
        <v>3295.57</v>
      </c>
      <c r="X731" s="2">
        <v>3295.57</v>
      </c>
      <c r="Z731" t="str">
        <f>"Y"</f>
        <v>Y</v>
      </c>
      <c r="AA731">
        <v>0</v>
      </c>
      <c r="AC731">
        <v>0</v>
      </c>
      <c r="AE731">
        <v>0</v>
      </c>
      <c r="AF731">
        <v>0</v>
      </c>
      <c r="AG731" s="2">
        <v>11158.8</v>
      </c>
      <c r="AH731">
        <v>0</v>
      </c>
      <c r="AI731" s="2">
        <v>11158.8</v>
      </c>
      <c r="AJ731" s="2">
        <v>3295.57</v>
      </c>
      <c r="AK731" s="2">
        <v>3229.66</v>
      </c>
      <c r="AL731" t="str">
        <f>"$"</f>
        <v>$</v>
      </c>
    </row>
    <row r="732" spans="1:38" x14ac:dyDescent="0.3">
      <c r="A732" t="str">
        <f>"SO20000519"</f>
        <v>SO20000519</v>
      </c>
      <c r="B732" t="str">
        <f>"E000323818"</f>
        <v>E000323818</v>
      </c>
      <c r="C732" t="str">
        <f>"בוצעה"</f>
        <v>בוצעה</v>
      </c>
      <c r="E732" s="3">
        <v>44146</v>
      </c>
      <c r="F732" s="3">
        <v>44294</v>
      </c>
      <c r="G732" t="str">
        <f>"700065"</f>
        <v>700065</v>
      </c>
      <c r="H732" t="str">
        <f>"אלתא מערכות בע""מ"</f>
        <v>אלתא מערכות בע"מ</v>
      </c>
      <c r="I732" t="str">
        <f>"ערן שלו"</f>
        <v>ערן שלו</v>
      </c>
      <c r="J732" t="str">
        <f>"OP-AR01949"</f>
        <v>OP-AR01949</v>
      </c>
      <c r="K732" s="1" t="str">
        <f>"1031B131-001/A - CABLE ASSY W0131"</f>
        <v>1031B131-001/A - CABLE ASSY W0131</v>
      </c>
      <c r="L732">
        <v>1</v>
      </c>
      <c r="M732" t="str">
        <f>"PR20000788"</f>
        <v>PR20000788</v>
      </c>
      <c r="N732" t="str">
        <f>"PDB TO MSGU"</f>
        <v>PDB TO MSGU</v>
      </c>
      <c r="O732" s="2">
        <v>1952.04</v>
      </c>
      <c r="P732" t="str">
        <f>"$"</f>
        <v>$</v>
      </c>
      <c r="Q732" t="str">
        <f>"117"</f>
        <v>117</v>
      </c>
      <c r="R732" t="str">
        <f>"רתמות"</f>
        <v>רתמות</v>
      </c>
      <c r="S732" t="str">
        <f>"034"</f>
        <v>034</v>
      </c>
      <c r="T732" t="str">
        <f>"מוסקוביץ אולגה"</f>
        <v>מוסקוביץ אולגה</v>
      </c>
      <c r="U732">
        <v>0</v>
      </c>
      <c r="V732">
        <v>0</v>
      </c>
      <c r="W732" s="2">
        <v>1952.04</v>
      </c>
      <c r="X732" s="2">
        <v>1952.04</v>
      </c>
      <c r="Z732" t="str">
        <f>"Y"</f>
        <v>Y</v>
      </c>
      <c r="AA732">
        <v>0</v>
      </c>
      <c r="AC732">
        <v>0</v>
      </c>
      <c r="AE732">
        <v>0</v>
      </c>
      <c r="AF732">
        <v>0</v>
      </c>
      <c r="AG732" s="2">
        <v>6609.61</v>
      </c>
      <c r="AH732">
        <v>0</v>
      </c>
      <c r="AI732" s="2">
        <v>6609.61</v>
      </c>
      <c r="AJ732" s="2">
        <v>1952.04</v>
      </c>
      <c r="AK732" s="2">
        <v>1913</v>
      </c>
      <c r="AL732" t="str">
        <f>"$"</f>
        <v>$</v>
      </c>
    </row>
    <row r="733" spans="1:38" x14ac:dyDescent="0.3">
      <c r="A733" t="str">
        <f>"SO20000523"</f>
        <v>SO20000523</v>
      </c>
      <c r="B733" t="str">
        <f>"E000325831"</f>
        <v>E000325831</v>
      </c>
      <c r="C733" t="str">
        <f>"בוצעה"</f>
        <v>בוצעה</v>
      </c>
      <c r="E733" s="3">
        <v>44147</v>
      </c>
      <c r="F733" s="3">
        <v>44265</v>
      </c>
      <c r="G733" t="str">
        <f>"700065"</f>
        <v>700065</v>
      </c>
      <c r="H733" t="str">
        <f>"אלתא מערכות בע""מ"</f>
        <v>אלתא מערכות בע"מ</v>
      </c>
      <c r="I733" t="str">
        <f>"ערן שלו"</f>
        <v>ערן שלו</v>
      </c>
      <c r="J733" t="str">
        <f>"OP-AR02074"</f>
        <v>OP-AR02074</v>
      </c>
      <c r="K733" s="1" t="str">
        <f>"1027H561-001/-  HARNESS WH001 - POWER TO PCU"</f>
        <v>1027H561-001/-  HARNESS WH001 - POWER TO PCU</v>
      </c>
      <c r="L733">
        <v>1</v>
      </c>
      <c r="M733" t="str">
        <f>"PR20000796"</f>
        <v>PR20000796</v>
      </c>
      <c r="N733" t="str">
        <f>"HARNESS WH001 - POWER TO PCU"</f>
        <v>HARNESS WH001 - POWER TO PCU</v>
      </c>
      <c r="O733">
        <v>723.59</v>
      </c>
      <c r="P733" t="str">
        <f>"$"</f>
        <v>$</v>
      </c>
      <c r="Q733" t="str">
        <f>"117"</f>
        <v>117</v>
      </c>
      <c r="R733" t="str">
        <f>"רתמות"</f>
        <v>רתמות</v>
      </c>
      <c r="S733" t="str">
        <f>"034"</f>
        <v>034</v>
      </c>
      <c r="T733" t="str">
        <f>"מוסקוביץ אולגה"</f>
        <v>מוסקוביץ אולגה</v>
      </c>
      <c r="U733">
        <v>0</v>
      </c>
      <c r="V733">
        <v>0</v>
      </c>
      <c r="W733">
        <v>723.59</v>
      </c>
      <c r="X733">
        <v>723.59</v>
      </c>
      <c r="Z733" t="str">
        <f>"Y"</f>
        <v>Y</v>
      </c>
      <c r="AA733">
        <v>0</v>
      </c>
      <c r="AC733">
        <v>0</v>
      </c>
      <c r="AE733">
        <v>0</v>
      </c>
      <c r="AF733">
        <v>0</v>
      </c>
      <c r="AG733" s="2">
        <v>2443.56</v>
      </c>
      <c r="AH733">
        <v>0</v>
      </c>
      <c r="AI733" s="2">
        <v>2443.56</v>
      </c>
      <c r="AJ733">
        <v>723.59</v>
      </c>
      <c r="AK733">
        <v>723.59</v>
      </c>
      <c r="AL733" t="str">
        <f>"$"</f>
        <v>$</v>
      </c>
    </row>
    <row r="734" spans="1:38" x14ac:dyDescent="0.3">
      <c r="A734" t="str">
        <f>"SO20000523"</f>
        <v>SO20000523</v>
      </c>
      <c r="B734" t="str">
        <f>"E000325831"</f>
        <v>E000325831</v>
      </c>
      <c r="C734" t="str">
        <f>"בוצעה"</f>
        <v>בוצעה</v>
      </c>
      <c r="E734" s="3">
        <v>44147</v>
      </c>
      <c r="F734" s="3">
        <v>44265</v>
      </c>
      <c r="G734" t="str">
        <f>"700065"</f>
        <v>700065</v>
      </c>
      <c r="H734" t="str">
        <f>"אלתא מערכות בע""מ"</f>
        <v>אלתא מערכות בע"מ</v>
      </c>
      <c r="I734" t="str">
        <f>"ערן שלו"</f>
        <v>ערן שלו</v>
      </c>
      <c r="J734" t="str">
        <f>"OP-AR02075"</f>
        <v>OP-AR02075</v>
      </c>
      <c r="K734" s="1" t="str">
        <f>"1027H562-001/-  HARNESS WH002 - POWER TO MOTOR"</f>
        <v>1027H562-001/-  HARNESS WH002 - POWER TO MOTOR</v>
      </c>
      <c r="L734">
        <v>1</v>
      </c>
      <c r="M734" t="str">
        <f>"PR20000796"</f>
        <v>PR20000796</v>
      </c>
      <c r="N734" t="str">
        <f>"HARNESS WH001 - POWER TO PCU"</f>
        <v>HARNESS WH001 - POWER TO PCU</v>
      </c>
      <c r="O734">
        <v>606.66999999999996</v>
      </c>
      <c r="P734" t="str">
        <f>"$"</f>
        <v>$</v>
      </c>
      <c r="Q734" t="str">
        <f>"117"</f>
        <v>117</v>
      </c>
      <c r="R734" t="str">
        <f>"רתמות"</f>
        <v>רתמות</v>
      </c>
      <c r="S734" t="str">
        <f>"034"</f>
        <v>034</v>
      </c>
      <c r="T734" t="str">
        <f>"מוסקוביץ אולגה"</f>
        <v>מוסקוביץ אולגה</v>
      </c>
      <c r="U734">
        <v>0</v>
      </c>
      <c r="V734">
        <v>0</v>
      </c>
      <c r="W734">
        <v>606.66999999999996</v>
      </c>
      <c r="X734">
        <v>606.66999999999996</v>
      </c>
      <c r="Z734" t="str">
        <f>"Y"</f>
        <v>Y</v>
      </c>
      <c r="AA734">
        <v>0</v>
      </c>
      <c r="AC734">
        <v>0</v>
      </c>
      <c r="AE734">
        <v>0</v>
      </c>
      <c r="AF734">
        <v>0</v>
      </c>
      <c r="AG734" s="2">
        <v>2048.7199999999998</v>
      </c>
      <c r="AH734">
        <v>0</v>
      </c>
      <c r="AI734" s="2">
        <v>2048.7199999999998</v>
      </c>
      <c r="AJ734">
        <v>606.66999999999996</v>
      </c>
      <c r="AK734">
        <v>606.66999999999996</v>
      </c>
      <c r="AL734" t="str">
        <f>"$"</f>
        <v>$</v>
      </c>
    </row>
    <row r="735" spans="1:38" x14ac:dyDescent="0.3">
      <c r="A735" t="str">
        <f>"SO20000523"</f>
        <v>SO20000523</v>
      </c>
      <c r="B735" t="str">
        <f>"E000325831"</f>
        <v>E000325831</v>
      </c>
      <c r="C735" t="str">
        <f>"בוצעה"</f>
        <v>בוצעה</v>
      </c>
      <c r="E735" s="3">
        <v>44147</v>
      </c>
      <c r="F735" s="3">
        <v>44265</v>
      </c>
      <c r="G735" t="str">
        <f>"700065"</f>
        <v>700065</v>
      </c>
      <c r="H735" t="str">
        <f>"אלתא מערכות בע""מ"</f>
        <v>אלתא מערכות בע"מ</v>
      </c>
      <c r="I735" t="str">
        <f>"ערן שלו"</f>
        <v>ערן שלו</v>
      </c>
      <c r="J735" t="str">
        <f>"OP-AR02076"</f>
        <v>OP-AR02076</v>
      </c>
      <c r="K735" s="1" t="str">
        <f>"1027H563-001/-  HARNESS WH003 - DATA AND CONTROL"</f>
        <v>1027H563-001/-  HARNESS WH003 - DATA AND CONTROL</v>
      </c>
      <c r="L735">
        <v>1</v>
      </c>
      <c r="M735" t="str">
        <f>"PR20000796"</f>
        <v>PR20000796</v>
      </c>
      <c r="N735" t="str">
        <f>"HARNESS WH001 - POWER TO PCU"</f>
        <v>HARNESS WH001 - POWER TO PCU</v>
      </c>
      <c r="O735">
        <v>614</v>
      </c>
      <c r="P735" t="str">
        <f>"$"</f>
        <v>$</v>
      </c>
      <c r="Q735" t="str">
        <f>"117"</f>
        <v>117</v>
      </c>
      <c r="R735" t="str">
        <f>"רתמות"</f>
        <v>רתמות</v>
      </c>
      <c r="S735" t="str">
        <f>"034"</f>
        <v>034</v>
      </c>
      <c r="T735" t="str">
        <f>"מוסקוביץ אולגה"</f>
        <v>מוסקוביץ אולגה</v>
      </c>
      <c r="U735">
        <v>0</v>
      </c>
      <c r="V735">
        <v>0</v>
      </c>
      <c r="W735">
        <v>614</v>
      </c>
      <c r="X735">
        <v>614</v>
      </c>
      <c r="Z735" t="str">
        <f>"Y"</f>
        <v>Y</v>
      </c>
      <c r="AA735">
        <v>0</v>
      </c>
      <c r="AC735">
        <v>0</v>
      </c>
      <c r="AE735">
        <v>0</v>
      </c>
      <c r="AF735">
        <v>0</v>
      </c>
      <c r="AG735" s="2">
        <v>2073.48</v>
      </c>
      <c r="AH735">
        <v>0</v>
      </c>
      <c r="AI735" s="2">
        <v>2073.48</v>
      </c>
      <c r="AJ735">
        <v>614</v>
      </c>
      <c r="AK735">
        <v>614</v>
      </c>
      <c r="AL735" t="str">
        <f>"$"</f>
        <v>$</v>
      </c>
    </row>
    <row r="736" spans="1:38" x14ac:dyDescent="0.3">
      <c r="A736" t="str">
        <f>"SO20000523"</f>
        <v>SO20000523</v>
      </c>
      <c r="B736" t="str">
        <f>"E000325831"</f>
        <v>E000325831</v>
      </c>
      <c r="C736" t="str">
        <f>"בוצעה"</f>
        <v>בוצעה</v>
      </c>
      <c r="E736" s="3">
        <v>44147</v>
      </c>
      <c r="F736" s="3">
        <v>44265</v>
      </c>
      <c r="G736" t="str">
        <f>"700065"</f>
        <v>700065</v>
      </c>
      <c r="H736" t="str">
        <f>"אלתא מערכות בע""מ"</f>
        <v>אלתא מערכות בע"מ</v>
      </c>
      <c r="I736" t="str">
        <f>"ערן שלו"</f>
        <v>ערן שלו</v>
      </c>
      <c r="J736" t="str">
        <f>"OP-AR02077"</f>
        <v>OP-AR02077</v>
      </c>
      <c r="K736" s="1" t="str">
        <f>"1027H564-001/-  HARNESS WH004 - PCU TO MEASURING"</f>
        <v>1027H564-001/-  HARNESS WH004 - PCU TO MEASURING</v>
      </c>
      <c r="L736">
        <v>1</v>
      </c>
      <c r="M736" t="str">
        <f>"PR20000796"</f>
        <v>PR20000796</v>
      </c>
      <c r="N736" t="str">
        <f>"HARNESS WH001 - POWER TO PCU"</f>
        <v>HARNESS WH001 - POWER TO PCU</v>
      </c>
      <c r="O736">
        <v>539.36</v>
      </c>
      <c r="P736" t="str">
        <f>"$"</f>
        <v>$</v>
      </c>
      <c r="Q736" t="str">
        <f>"117"</f>
        <v>117</v>
      </c>
      <c r="R736" t="str">
        <f>"רתמות"</f>
        <v>רתמות</v>
      </c>
      <c r="S736" t="str">
        <f>"034"</f>
        <v>034</v>
      </c>
      <c r="T736" t="str">
        <f>"מוסקוביץ אולגה"</f>
        <v>מוסקוביץ אולגה</v>
      </c>
      <c r="U736">
        <v>0</v>
      </c>
      <c r="V736">
        <v>0</v>
      </c>
      <c r="W736">
        <v>539.36</v>
      </c>
      <c r="X736">
        <v>539.36</v>
      </c>
      <c r="Z736" t="str">
        <f>"Y"</f>
        <v>Y</v>
      </c>
      <c r="AA736">
        <v>0</v>
      </c>
      <c r="AC736">
        <v>0</v>
      </c>
      <c r="AE736">
        <v>0</v>
      </c>
      <c r="AF736">
        <v>0</v>
      </c>
      <c r="AG736" s="2">
        <v>1821.42</v>
      </c>
      <c r="AH736">
        <v>0</v>
      </c>
      <c r="AI736" s="2">
        <v>1821.42</v>
      </c>
      <c r="AJ736">
        <v>539.36</v>
      </c>
      <c r="AK736">
        <v>539.36</v>
      </c>
      <c r="AL736" t="str">
        <f>"$"</f>
        <v>$</v>
      </c>
    </row>
    <row r="737" spans="1:38" x14ac:dyDescent="0.3">
      <c r="A737" t="str">
        <f>"SO20000523"</f>
        <v>SO20000523</v>
      </c>
      <c r="B737" t="str">
        <f>"E000325831"</f>
        <v>E000325831</v>
      </c>
      <c r="C737" t="str">
        <f>"בוצעה"</f>
        <v>בוצעה</v>
      </c>
      <c r="E737" s="3">
        <v>44147</v>
      </c>
      <c r="F737" s="3">
        <v>44278</v>
      </c>
      <c r="G737" t="str">
        <f>"700065"</f>
        <v>700065</v>
      </c>
      <c r="H737" t="str">
        <f>"אלתא מערכות בע""מ"</f>
        <v>אלתא מערכות בע"מ</v>
      </c>
      <c r="I737" t="str">
        <f>"ערן שלו"</f>
        <v>ערן שלו</v>
      </c>
      <c r="J737" t="str">
        <f>"OP-AR02078"</f>
        <v>OP-AR02078</v>
      </c>
      <c r="K737" s="1" t="str">
        <f>"1027H565-001/-  HARNESS WH005 - ACP/ARP TO IFF/E"</f>
        <v>1027H565-001/-  HARNESS WH005 - ACP/ARP TO IFF/E</v>
      </c>
      <c r="L737">
        <v>1</v>
      </c>
      <c r="M737" t="str">
        <f>"PR20000796"</f>
        <v>PR20000796</v>
      </c>
      <c r="N737" t="str">
        <f>"HARNESS WH001 - POWER TO PCU"</f>
        <v>HARNESS WH001 - POWER TO PCU</v>
      </c>
      <c r="O737" s="2">
        <v>1845</v>
      </c>
      <c r="P737" t="str">
        <f>"$"</f>
        <v>$</v>
      </c>
      <c r="Q737" t="str">
        <f>"117"</f>
        <v>117</v>
      </c>
      <c r="R737" t="str">
        <f>"רתמות"</f>
        <v>רתמות</v>
      </c>
      <c r="S737" t="str">
        <f>"034"</f>
        <v>034</v>
      </c>
      <c r="T737" t="str">
        <f>"מוסקוביץ אולגה"</f>
        <v>מוסקוביץ אולגה</v>
      </c>
      <c r="U737">
        <v>0</v>
      </c>
      <c r="V737">
        <v>0</v>
      </c>
      <c r="W737" s="2">
        <v>1845</v>
      </c>
      <c r="X737" s="2">
        <v>1845</v>
      </c>
      <c r="Z737" t="str">
        <f>"Y"</f>
        <v>Y</v>
      </c>
      <c r="AA737">
        <v>0</v>
      </c>
      <c r="AC737">
        <v>0</v>
      </c>
      <c r="AE737">
        <v>0</v>
      </c>
      <c r="AF737">
        <v>0</v>
      </c>
      <c r="AG737" s="2">
        <v>6230.57</v>
      </c>
      <c r="AH737">
        <v>0</v>
      </c>
      <c r="AI737" s="2">
        <v>6230.57</v>
      </c>
      <c r="AJ737" s="2">
        <v>1845</v>
      </c>
      <c r="AK737" s="2">
        <v>1845</v>
      </c>
      <c r="AL737" t="str">
        <f>"$"</f>
        <v>$</v>
      </c>
    </row>
    <row r="738" spans="1:38" x14ac:dyDescent="0.3">
      <c r="A738" t="str">
        <f>"SO20000523"</f>
        <v>SO20000523</v>
      </c>
      <c r="B738" t="str">
        <f>"E000325831"</f>
        <v>E000325831</v>
      </c>
      <c r="C738" t="str">
        <f>"בוצעה"</f>
        <v>בוצעה</v>
      </c>
      <c r="E738" s="3">
        <v>44147</v>
      </c>
      <c r="F738" s="3">
        <v>44278</v>
      </c>
      <c r="G738" t="str">
        <f>"700065"</f>
        <v>700065</v>
      </c>
      <c r="H738" t="str">
        <f>"אלתא מערכות בע""מ"</f>
        <v>אלתא מערכות בע"מ</v>
      </c>
      <c r="I738" t="str">
        <f>"ערן שלו"</f>
        <v>ערן שלו</v>
      </c>
      <c r="J738" t="str">
        <f>"OP-AR02079"</f>
        <v>OP-AR02079</v>
      </c>
      <c r="K738" s="1" t="str">
        <f>"1027H566-001/-  HARNESS WH006 - PCU ETH TO SHELT"</f>
        <v>1027H566-001/-  HARNESS WH006 - PCU ETH TO SHELT</v>
      </c>
      <c r="L738">
        <v>1</v>
      </c>
      <c r="M738" t="str">
        <f>"PR20000796"</f>
        <v>PR20000796</v>
      </c>
      <c r="N738" t="str">
        <f>"HARNESS WH001 - POWER TO PCU"</f>
        <v>HARNESS WH001 - POWER TO PCU</v>
      </c>
      <c r="O738" s="2">
        <v>2079.6799999999998</v>
      </c>
      <c r="P738" t="str">
        <f>"$"</f>
        <v>$</v>
      </c>
      <c r="Q738" t="str">
        <f>"117"</f>
        <v>117</v>
      </c>
      <c r="R738" t="str">
        <f>"רתמות"</f>
        <v>רתמות</v>
      </c>
      <c r="S738" t="str">
        <f>"034"</f>
        <v>034</v>
      </c>
      <c r="T738" t="str">
        <f>"מוסקוביץ אולגה"</f>
        <v>מוסקוביץ אולגה</v>
      </c>
      <c r="U738">
        <v>0</v>
      </c>
      <c r="V738">
        <v>0</v>
      </c>
      <c r="W738" s="2">
        <v>2079.6799999999998</v>
      </c>
      <c r="X738" s="2">
        <v>2079.6799999999998</v>
      </c>
      <c r="Z738" t="str">
        <f>"Y"</f>
        <v>Y</v>
      </c>
      <c r="AA738">
        <v>0</v>
      </c>
      <c r="AC738">
        <v>0</v>
      </c>
      <c r="AE738">
        <v>0</v>
      </c>
      <c r="AF738">
        <v>0</v>
      </c>
      <c r="AG738" s="2">
        <v>7023.08</v>
      </c>
      <c r="AH738">
        <v>0</v>
      </c>
      <c r="AI738" s="2">
        <v>7023.08</v>
      </c>
      <c r="AJ738" s="2">
        <v>2079.6799999999998</v>
      </c>
      <c r="AK738" s="2">
        <v>2079.6799999999998</v>
      </c>
      <c r="AL738" t="str">
        <f>"$"</f>
        <v>$</v>
      </c>
    </row>
    <row r="739" spans="1:38" x14ac:dyDescent="0.3">
      <c r="A739" t="str">
        <f>"SO20000523"</f>
        <v>SO20000523</v>
      </c>
      <c r="B739" t="str">
        <f>"E000325831"</f>
        <v>E000325831</v>
      </c>
      <c r="C739" t="str">
        <f>"בוצעה"</f>
        <v>בוצעה</v>
      </c>
      <c r="E739" s="3">
        <v>44147</v>
      </c>
      <c r="F739" s="3">
        <v>44265</v>
      </c>
      <c r="G739" t="str">
        <f>"700065"</f>
        <v>700065</v>
      </c>
      <c r="H739" t="str">
        <f>"אלתא מערכות בע""מ"</f>
        <v>אלתא מערכות בע"מ</v>
      </c>
      <c r="I739" t="str">
        <f>"ערן שלו"</f>
        <v>ערן שלו</v>
      </c>
      <c r="J739" t="str">
        <f>"OP-AR02080"</f>
        <v>OP-AR02080</v>
      </c>
      <c r="K739" s="1" t="str">
        <f>"1027H568-001/-  HARNESS WH008 - IFF INTEREGRATOR"</f>
        <v>1027H568-001/-  HARNESS WH008 - IFF INTEREGRATOR</v>
      </c>
      <c r="L739">
        <v>1</v>
      </c>
      <c r="M739" t="str">
        <f>"PR20000796"</f>
        <v>PR20000796</v>
      </c>
      <c r="N739" t="str">
        <f>"HARNESS WH001 - POWER TO PCU"</f>
        <v>HARNESS WH001 - POWER TO PCU</v>
      </c>
      <c r="O739">
        <v>543</v>
      </c>
      <c r="P739" t="str">
        <f>"$"</f>
        <v>$</v>
      </c>
      <c r="Q739" t="str">
        <f>"117"</f>
        <v>117</v>
      </c>
      <c r="R739" t="str">
        <f>"רתמות"</f>
        <v>רתמות</v>
      </c>
      <c r="S739" t="str">
        <f>"034"</f>
        <v>034</v>
      </c>
      <c r="T739" t="str">
        <f>"מוסקוביץ אולגה"</f>
        <v>מוסקוביץ אולגה</v>
      </c>
      <c r="U739">
        <v>0</v>
      </c>
      <c r="V739">
        <v>0</v>
      </c>
      <c r="W739">
        <v>543</v>
      </c>
      <c r="X739">
        <v>543</v>
      </c>
      <c r="Z739" t="str">
        <f>"Y"</f>
        <v>Y</v>
      </c>
      <c r="AA739">
        <v>0</v>
      </c>
      <c r="AC739">
        <v>0</v>
      </c>
      <c r="AE739">
        <v>0</v>
      </c>
      <c r="AF739">
        <v>0</v>
      </c>
      <c r="AG739" s="2">
        <v>1833.71</v>
      </c>
      <c r="AH739">
        <v>0</v>
      </c>
      <c r="AI739" s="2">
        <v>1833.71</v>
      </c>
      <c r="AJ739">
        <v>543</v>
      </c>
      <c r="AK739">
        <v>543</v>
      </c>
      <c r="AL739" t="str">
        <f>"$"</f>
        <v>$</v>
      </c>
    </row>
    <row r="740" spans="1:38" x14ac:dyDescent="0.3">
      <c r="A740" t="str">
        <f>"SO20000523"</f>
        <v>SO20000523</v>
      </c>
      <c r="B740" t="str">
        <f>"E000325831"</f>
        <v>E000325831</v>
      </c>
      <c r="C740" t="str">
        <f>"בוצעה"</f>
        <v>בוצעה</v>
      </c>
      <c r="E740" s="3">
        <v>44147</v>
      </c>
      <c r="F740" s="3">
        <v>44265</v>
      </c>
      <c r="G740" t="str">
        <f>"700065"</f>
        <v>700065</v>
      </c>
      <c r="H740" t="str">
        <f>"אלתא מערכות בע""מ"</f>
        <v>אלתא מערכות בע"מ</v>
      </c>
      <c r="I740" t="str">
        <f>"ערן שלו"</f>
        <v>ערן שלו</v>
      </c>
      <c r="J740" t="str">
        <f>"OP-AR02081"</f>
        <v>OP-AR02081</v>
      </c>
      <c r="K740" s="1" t="str">
        <f>"1027H569-001/-  HARNESS WH009 - IFF POWER"</f>
        <v>1027H569-001/-  HARNESS WH009 - IFF POWER</v>
      </c>
      <c r="L740">
        <v>1</v>
      </c>
      <c r="M740" t="str">
        <f>"PR20000796"</f>
        <v>PR20000796</v>
      </c>
      <c r="N740" t="str">
        <f>"HARNESS WH001 - POWER TO PCU"</f>
        <v>HARNESS WH001 - POWER TO PCU</v>
      </c>
      <c r="O740">
        <v>251.51</v>
      </c>
      <c r="P740" t="str">
        <f>"$"</f>
        <v>$</v>
      </c>
      <c r="Q740" t="str">
        <f>"117"</f>
        <v>117</v>
      </c>
      <c r="R740" t="str">
        <f>"רתמות"</f>
        <v>רתמות</v>
      </c>
      <c r="S740" t="str">
        <f>"034"</f>
        <v>034</v>
      </c>
      <c r="T740" t="str">
        <f>"מוסקוביץ אולגה"</f>
        <v>מוסקוביץ אולגה</v>
      </c>
      <c r="U740">
        <v>0</v>
      </c>
      <c r="V740">
        <v>0</v>
      </c>
      <c r="W740">
        <v>251.51</v>
      </c>
      <c r="X740">
        <v>251.51</v>
      </c>
      <c r="Z740" t="str">
        <f>"Y"</f>
        <v>Y</v>
      </c>
      <c r="AA740">
        <v>0</v>
      </c>
      <c r="AC740">
        <v>0</v>
      </c>
      <c r="AE740">
        <v>0</v>
      </c>
      <c r="AF740">
        <v>0</v>
      </c>
      <c r="AG740">
        <v>849.35</v>
      </c>
      <c r="AH740">
        <v>0</v>
      </c>
      <c r="AI740">
        <v>849.35</v>
      </c>
      <c r="AJ740">
        <v>251.51</v>
      </c>
      <c r="AK740">
        <v>251.51</v>
      </c>
      <c r="AL740" t="str">
        <f>"$"</f>
        <v>$</v>
      </c>
    </row>
    <row r="741" spans="1:38" x14ac:dyDescent="0.3">
      <c r="A741" t="str">
        <f>"SO20000523"</f>
        <v>SO20000523</v>
      </c>
      <c r="B741" t="str">
        <f>"E000325831"</f>
        <v>E000325831</v>
      </c>
      <c r="C741" t="str">
        <f>"בוצעה"</f>
        <v>בוצעה</v>
      </c>
      <c r="E741" s="3">
        <v>44147</v>
      </c>
      <c r="F741" s="3">
        <v>44265</v>
      </c>
      <c r="G741" t="str">
        <f>"700065"</f>
        <v>700065</v>
      </c>
      <c r="H741" t="str">
        <f>"אלתא מערכות בע""מ"</f>
        <v>אלתא מערכות בע"מ</v>
      </c>
      <c r="I741" t="str">
        <f>"ערן שלו"</f>
        <v>ערן שלו</v>
      </c>
      <c r="J741" t="str">
        <f>"OP-AR02082"</f>
        <v>OP-AR02082</v>
      </c>
      <c r="K741" s="1" t="str">
        <f>"1027H570-001/-  HARNESS WH010 - IFF POWER"</f>
        <v>1027H570-001/-  HARNESS WH010 - IFF POWER</v>
      </c>
      <c r="L741">
        <v>1</v>
      </c>
      <c r="M741" t="str">
        <f>"PR20000796"</f>
        <v>PR20000796</v>
      </c>
      <c r="N741" t="str">
        <f>"HARNESS WH001 - POWER TO PCU"</f>
        <v>HARNESS WH001 - POWER TO PCU</v>
      </c>
      <c r="O741">
        <v>245.33</v>
      </c>
      <c r="P741" t="str">
        <f>"$"</f>
        <v>$</v>
      </c>
      <c r="Q741" t="str">
        <f>"117"</f>
        <v>117</v>
      </c>
      <c r="R741" t="str">
        <f>"רתמות"</f>
        <v>רתמות</v>
      </c>
      <c r="S741" t="str">
        <f>"034"</f>
        <v>034</v>
      </c>
      <c r="T741" t="str">
        <f>"מוסקוביץ אולגה"</f>
        <v>מוסקוביץ אולגה</v>
      </c>
      <c r="U741">
        <v>0</v>
      </c>
      <c r="V741">
        <v>0</v>
      </c>
      <c r="W741">
        <v>245.33</v>
      </c>
      <c r="X741">
        <v>245.33</v>
      </c>
      <c r="Z741" t="str">
        <f>"Y"</f>
        <v>Y</v>
      </c>
      <c r="AA741">
        <v>0</v>
      </c>
      <c r="AC741">
        <v>0</v>
      </c>
      <c r="AE741">
        <v>0</v>
      </c>
      <c r="AF741">
        <v>0</v>
      </c>
      <c r="AG741">
        <v>828.48</v>
      </c>
      <c r="AH741">
        <v>0</v>
      </c>
      <c r="AI741">
        <v>828.48</v>
      </c>
      <c r="AJ741">
        <v>245.33</v>
      </c>
      <c r="AK741">
        <v>245.33</v>
      </c>
      <c r="AL741" t="str">
        <f>"$"</f>
        <v>$</v>
      </c>
    </row>
    <row r="742" spans="1:38" x14ac:dyDescent="0.3">
      <c r="A742" t="str">
        <f>"SO20000523"</f>
        <v>SO20000523</v>
      </c>
      <c r="B742" t="str">
        <f>"E000325831"</f>
        <v>E000325831</v>
      </c>
      <c r="C742" t="str">
        <f>"בוצעה"</f>
        <v>בוצעה</v>
      </c>
      <c r="E742" s="3">
        <v>44147</v>
      </c>
      <c r="F742" s="3">
        <v>43900</v>
      </c>
      <c r="G742" t="str">
        <f>"700065"</f>
        <v>700065</v>
      </c>
      <c r="H742" t="str">
        <f>"אלתא מערכות בע""מ"</f>
        <v>אלתא מערכות בע"מ</v>
      </c>
      <c r="I742" t="str">
        <f>"ערן שלו"</f>
        <v>ערן שלו</v>
      </c>
      <c r="J742" t="str">
        <f>"OP-AR02083"</f>
        <v>OP-AR02083</v>
      </c>
      <c r="K742" s="1" t="str">
        <f>"1027H571-001/-  HARNESS WH011 - IFF ETH TO PEDES"</f>
        <v>1027H571-001/-  HARNESS WH011 - IFF ETH TO PEDES</v>
      </c>
      <c r="L742">
        <v>1</v>
      </c>
      <c r="M742" t="str">
        <f>"PR20000796"</f>
        <v>PR20000796</v>
      </c>
      <c r="N742" t="str">
        <f>"HARNESS WH001 - POWER TO PCU"</f>
        <v>HARNESS WH001 - POWER TO PCU</v>
      </c>
      <c r="O742">
        <v>271.39</v>
      </c>
      <c r="P742" t="str">
        <f>"$"</f>
        <v>$</v>
      </c>
      <c r="Q742" t="str">
        <f>"117"</f>
        <v>117</v>
      </c>
      <c r="R742" t="str">
        <f>"רתמות"</f>
        <v>רתמות</v>
      </c>
      <c r="S742" t="str">
        <f>"034"</f>
        <v>034</v>
      </c>
      <c r="T742" t="str">
        <f>"מוסקוביץ אולגה"</f>
        <v>מוסקוביץ אולגה</v>
      </c>
      <c r="U742">
        <v>0</v>
      </c>
      <c r="V742">
        <v>0</v>
      </c>
      <c r="W742">
        <v>271.39</v>
      </c>
      <c r="X742">
        <v>271.39</v>
      </c>
      <c r="Z742" t="str">
        <f>"Y"</f>
        <v>Y</v>
      </c>
      <c r="AA742">
        <v>0</v>
      </c>
      <c r="AC742">
        <v>0</v>
      </c>
      <c r="AE742">
        <v>0</v>
      </c>
      <c r="AF742">
        <v>0</v>
      </c>
      <c r="AG742">
        <v>916.48</v>
      </c>
      <c r="AH742">
        <v>0</v>
      </c>
      <c r="AI742">
        <v>916.48</v>
      </c>
      <c r="AJ742">
        <v>271.39</v>
      </c>
      <c r="AK742">
        <v>271.39</v>
      </c>
      <c r="AL742" t="str">
        <f>"$"</f>
        <v>$</v>
      </c>
    </row>
    <row r="743" spans="1:38" x14ac:dyDescent="0.3">
      <c r="A743" t="str">
        <f>"SO20000523"</f>
        <v>SO20000523</v>
      </c>
      <c r="B743" t="str">
        <f>"E000325831"</f>
        <v>E000325831</v>
      </c>
      <c r="C743" t="str">
        <f>"בוצעה"</f>
        <v>בוצעה</v>
      </c>
      <c r="E743" s="3">
        <v>44147</v>
      </c>
      <c r="F743" s="3">
        <v>44296</v>
      </c>
      <c r="G743" t="str">
        <f>"700065"</f>
        <v>700065</v>
      </c>
      <c r="H743" t="str">
        <f>"אלתא מערכות בע""מ"</f>
        <v>אלתא מערכות בע"מ</v>
      </c>
      <c r="I743" t="str">
        <f>"ערן שלו"</f>
        <v>ערן שלו</v>
      </c>
      <c r="J743" t="str">
        <f>"OP-AR02084"</f>
        <v>OP-AR02084</v>
      </c>
      <c r="K743" s="1" t="str">
        <f>"1027H572-001/-  HARNESS WH012 - IFF CONTROL"</f>
        <v>1027H572-001/-  HARNESS WH012 - IFF CONTROL</v>
      </c>
      <c r="L743">
        <v>1</v>
      </c>
      <c r="M743" t="str">
        <f>"PR20000796"</f>
        <v>PR20000796</v>
      </c>
      <c r="N743" t="str">
        <f>"HARNESS WH001 - POWER TO PCU"</f>
        <v>HARNESS WH001 - POWER TO PCU</v>
      </c>
      <c r="O743">
        <v>794.68</v>
      </c>
      <c r="P743" t="str">
        <f>"$"</f>
        <v>$</v>
      </c>
      <c r="Q743" t="str">
        <f>"117"</f>
        <v>117</v>
      </c>
      <c r="R743" t="str">
        <f>"רתמות"</f>
        <v>רתמות</v>
      </c>
      <c r="S743" t="str">
        <f>"034"</f>
        <v>034</v>
      </c>
      <c r="T743" t="str">
        <f>"מוסקוביץ אולגה"</f>
        <v>מוסקוביץ אולגה</v>
      </c>
      <c r="U743">
        <v>0</v>
      </c>
      <c r="V743">
        <v>0</v>
      </c>
      <c r="W743">
        <v>794.68</v>
      </c>
      <c r="X743">
        <v>794.68</v>
      </c>
      <c r="Z743" t="str">
        <f>"Y"</f>
        <v>Y</v>
      </c>
      <c r="AA743">
        <v>0</v>
      </c>
      <c r="AC743">
        <v>0</v>
      </c>
      <c r="AE743">
        <v>0</v>
      </c>
      <c r="AF743">
        <v>0</v>
      </c>
      <c r="AG743" s="2">
        <v>2683.63</v>
      </c>
      <c r="AH743">
        <v>0</v>
      </c>
      <c r="AI743" s="2">
        <v>2683.63</v>
      </c>
      <c r="AJ743">
        <v>794.68</v>
      </c>
      <c r="AK743">
        <v>794.68</v>
      </c>
      <c r="AL743" t="str">
        <f>"$"</f>
        <v>$</v>
      </c>
    </row>
    <row r="744" spans="1:38" x14ac:dyDescent="0.3">
      <c r="A744" t="str">
        <f>"SO20000523"</f>
        <v>SO20000523</v>
      </c>
      <c r="B744" t="str">
        <f>"E000325831"</f>
        <v>E000325831</v>
      </c>
      <c r="C744" t="str">
        <f>"בוצעה"</f>
        <v>בוצעה</v>
      </c>
      <c r="E744" s="3">
        <v>44147</v>
      </c>
      <c r="F744" s="3">
        <v>44265</v>
      </c>
      <c r="G744" t="str">
        <f>"700065"</f>
        <v>700065</v>
      </c>
      <c r="H744" t="str">
        <f>"אלתא מערכות בע""מ"</f>
        <v>אלתא מערכות בע"מ</v>
      </c>
      <c r="I744" t="str">
        <f>"ערן שלו"</f>
        <v>ערן שלו</v>
      </c>
      <c r="J744" t="str">
        <f>"PA1001677"</f>
        <v>PA1001677</v>
      </c>
      <c r="K744" s="1" t="str">
        <f>"BL5SRM14033XW  BACKSHELL AMPHNOL"</f>
        <v>BL5SRM14033XW  BACKSHELL AMPHNOL</v>
      </c>
      <c r="L744">
        <v>9</v>
      </c>
      <c r="M744" t="str">
        <f>"PR20000796"</f>
        <v>PR20000796</v>
      </c>
      <c r="N744" t="str">
        <f>"HARNESS WH001 - POWER TO PCU"</f>
        <v>HARNESS WH001 - POWER TO PCU</v>
      </c>
      <c r="O744">
        <v>67.23</v>
      </c>
      <c r="P744" t="str">
        <f>"$"</f>
        <v>$</v>
      </c>
      <c r="Q744" t="str">
        <f>"117"</f>
        <v>117</v>
      </c>
      <c r="R744" t="str">
        <f>"רתמות"</f>
        <v>רתמות</v>
      </c>
      <c r="S744" t="str">
        <f>"034"</f>
        <v>034</v>
      </c>
      <c r="T744" t="str">
        <f>"מוסקוביץ אולגה"</f>
        <v>מוסקוביץ אולגה</v>
      </c>
      <c r="U744">
        <v>0</v>
      </c>
      <c r="V744">
        <v>0</v>
      </c>
      <c r="W744">
        <v>67.23</v>
      </c>
      <c r="X744">
        <v>605.07000000000005</v>
      </c>
      <c r="Z744" t="str">
        <f>"Y"</f>
        <v>Y</v>
      </c>
      <c r="AA744">
        <v>0</v>
      </c>
      <c r="AC744">
        <v>0</v>
      </c>
      <c r="AE744">
        <v>0</v>
      </c>
      <c r="AF744">
        <v>0</v>
      </c>
      <c r="AG744">
        <v>227.04</v>
      </c>
      <c r="AH744">
        <v>0</v>
      </c>
      <c r="AI744" s="2">
        <v>2043.32</v>
      </c>
      <c r="AJ744">
        <v>605.07000000000005</v>
      </c>
      <c r="AK744">
        <v>605.07000000000005</v>
      </c>
      <c r="AL744" t="str">
        <f>"$"</f>
        <v>$</v>
      </c>
    </row>
    <row r="745" spans="1:38" x14ac:dyDescent="0.3">
      <c r="A745" t="str">
        <f>"SO20000523"</f>
        <v>SO20000523</v>
      </c>
      <c r="B745" t="str">
        <f>"E000325831"</f>
        <v>E000325831</v>
      </c>
      <c r="C745" t="str">
        <f>"בוצעה"</f>
        <v>בוצעה</v>
      </c>
      <c r="E745" s="3">
        <v>44147</v>
      </c>
      <c r="F745" s="3">
        <v>44265</v>
      </c>
      <c r="G745" t="str">
        <f>"700065"</f>
        <v>700065</v>
      </c>
      <c r="H745" t="str">
        <f>"אלתא מערכות בע""מ"</f>
        <v>אלתא מערכות בע"מ</v>
      </c>
      <c r="I745" t="str">
        <f>"ערן שלו"</f>
        <v>ערן שלו</v>
      </c>
      <c r="J745" t="str">
        <f>"PA1001678"</f>
        <v>PA1001678</v>
      </c>
      <c r="K745" s="1" t="str">
        <f>"BL5SRM16333XW BACKSHELL AMPHNOL"</f>
        <v>BL5SRM16333XW BACKSHELL AMPHNOL</v>
      </c>
      <c r="L745">
        <v>9</v>
      </c>
      <c r="M745" t="str">
        <f>"PR20000796"</f>
        <v>PR20000796</v>
      </c>
      <c r="N745" t="str">
        <f>"HARNESS WH001 - POWER TO PCU"</f>
        <v>HARNESS WH001 - POWER TO PCU</v>
      </c>
      <c r="O745">
        <v>67.23</v>
      </c>
      <c r="P745" t="str">
        <f>"$"</f>
        <v>$</v>
      </c>
      <c r="Q745" t="str">
        <f>"117"</f>
        <v>117</v>
      </c>
      <c r="R745" t="str">
        <f>"רתמות"</f>
        <v>רתמות</v>
      </c>
      <c r="S745" t="str">
        <f>"034"</f>
        <v>034</v>
      </c>
      <c r="T745" t="str">
        <f>"מוסקוביץ אולגה"</f>
        <v>מוסקוביץ אולגה</v>
      </c>
      <c r="U745">
        <v>0</v>
      </c>
      <c r="V745">
        <v>0</v>
      </c>
      <c r="W745">
        <v>67.23</v>
      </c>
      <c r="X745">
        <v>605.07000000000005</v>
      </c>
      <c r="Z745" t="str">
        <f>"Y"</f>
        <v>Y</v>
      </c>
      <c r="AA745">
        <v>0</v>
      </c>
      <c r="AC745">
        <v>0</v>
      </c>
      <c r="AE745">
        <v>0</v>
      </c>
      <c r="AF745">
        <v>0</v>
      </c>
      <c r="AG745">
        <v>227.04</v>
      </c>
      <c r="AH745">
        <v>0</v>
      </c>
      <c r="AI745" s="2">
        <v>2043.32</v>
      </c>
      <c r="AJ745">
        <v>605.07000000000005</v>
      </c>
      <c r="AK745">
        <v>605.07000000000005</v>
      </c>
      <c r="AL745" t="str">
        <f>"$"</f>
        <v>$</v>
      </c>
    </row>
    <row r="746" spans="1:38" x14ac:dyDescent="0.3">
      <c r="A746" t="str">
        <f>"SO20000525"</f>
        <v>SO20000525</v>
      </c>
      <c r="B746" t="str">
        <f>"E000325995"</f>
        <v>E000325995</v>
      </c>
      <c r="C746" t="str">
        <f>"בוצעה"</f>
        <v>בוצעה</v>
      </c>
      <c r="E746" s="3">
        <v>44150</v>
      </c>
      <c r="F746" s="3">
        <v>44175</v>
      </c>
      <c r="G746" t="str">
        <f>"700065"</f>
        <v>700065</v>
      </c>
      <c r="H746" t="str">
        <f>"אלתא מערכות בע""מ"</f>
        <v>אלתא מערכות בע"מ</v>
      </c>
      <c r="I746" t="str">
        <f>"ערן שלו"</f>
        <v>ערן שלו</v>
      </c>
      <c r="J746" t="str">
        <f>"OP-AR02091"</f>
        <v>OP-AR02091</v>
      </c>
      <c r="K746" s="1" t="str">
        <f>"1034L739-001/-  CU RCU ANT LAB CABEL"</f>
        <v>1034L739-001/-  CU RCU ANT LAB CABEL</v>
      </c>
      <c r="L746">
        <v>1</v>
      </c>
      <c r="M746" t="str">
        <f>"PR20000799"</f>
        <v>PR20000799</v>
      </c>
      <c r="N746" t="str">
        <f>"CU RCU ANT LAB CABEL"</f>
        <v>CU RCU ANT LAB CABEL</v>
      </c>
      <c r="O746" s="2">
        <v>2407.64</v>
      </c>
      <c r="P746" t="str">
        <f>"$"</f>
        <v>$</v>
      </c>
      <c r="Q746" t="str">
        <f>"000"</f>
        <v>000</v>
      </c>
      <c r="R746" t="str">
        <f>"כללית"</f>
        <v>כללית</v>
      </c>
      <c r="S746" t="str">
        <f>"034"</f>
        <v>034</v>
      </c>
      <c r="T746" t="str">
        <f>"מוסקוביץ אולגה"</f>
        <v>מוסקוביץ אולגה</v>
      </c>
      <c r="U746">
        <v>0</v>
      </c>
      <c r="V746">
        <v>0</v>
      </c>
      <c r="W746" s="2">
        <v>2407.64</v>
      </c>
      <c r="X746" s="2">
        <v>2407.64</v>
      </c>
      <c r="Z746" t="str">
        <f>"Y"</f>
        <v>Y</v>
      </c>
      <c r="AA746">
        <v>0</v>
      </c>
      <c r="AC746">
        <v>0</v>
      </c>
      <c r="AE746">
        <v>0</v>
      </c>
      <c r="AF746">
        <v>0</v>
      </c>
      <c r="AG746" s="2">
        <v>8094.49</v>
      </c>
      <c r="AH746">
        <v>0</v>
      </c>
      <c r="AI746" s="2">
        <v>8094.49</v>
      </c>
      <c r="AJ746" s="2">
        <v>2407.64</v>
      </c>
      <c r="AK746" s="2">
        <v>2407.64</v>
      </c>
      <c r="AL746" t="str">
        <f>"$"</f>
        <v>$</v>
      </c>
    </row>
    <row r="747" spans="1:38" x14ac:dyDescent="0.3">
      <c r="A747" t="str">
        <f>"SO20000525"</f>
        <v>SO20000525</v>
      </c>
      <c r="B747" t="str">
        <f>"E000325995"</f>
        <v>E000325995</v>
      </c>
      <c r="C747" t="str">
        <f>"בוצעה"</f>
        <v>בוצעה</v>
      </c>
      <c r="E747" s="3">
        <v>44150</v>
      </c>
      <c r="F747" s="3">
        <v>44175</v>
      </c>
      <c r="G747" t="str">
        <f>"700065"</f>
        <v>700065</v>
      </c>
      <c r="H747" t="str">
        <f>"אלתא מערכות בע""מ"</f>
        <v>אלתא מערכות בע"מ</v>
      </c>
      <c r="I747" t="str">
        <f>"ערן שלו"</f>
        <v>ערן שלו</v>
      </c>
      <c r="J747" t="str">
        <f>"OP-AR02092"</f>
        <v>OP-AR02092</v>
      </c>
      <c r="K747" s="1" t="str">
        <f>"1034L740-001/-  CU POWER CABLE"</f>
        <v>1034L740-001/-  CU POWER CABLE</v>
      </c>
      <c r="L747">
        <v>1</v>
      </c>
      <c r="M747" t="str">
        <f>"PR20000799"</f>
        <v>PR20000799</v>
      </c>
      <c r="N747" t="str">
        <f>"CU RCU ANT LAB CABEL"</f>
        <v>CU RCU ANT LAB CABEL</v>
      </c>
      <c r="O747">
        <v>339.86</v>
      </c>
      <c r="P747" t="str">
        <f>"$"</f>
        <v>$</v>
      </c>
      <c r="Q747" t="str">
        <f>"000"</f>
        <v>000</v>
      </c>
      <c r="R747" t="str">
        <f>"כללית"</f>
        <v>כללית</v>
      </c>
      <c r="S747" t="str">
        <f>"034"</f>
        <v>034</v>
      </c>
      <c r="T747" t="str">
        <f>"מוסקוביץ אולגה"</f>
        <v>מוסקוביץ אולגה</v>
      </c>
      <c r="U747">
        <v>0</v>
      </c>
      <c r="V747">
        <v>0</v>
      </c>
      <c r="W747">
        <v>339.86</v>
      </c>
      <c r="X747">
        <v>339.86</v>
      </c>
      <c r="Z747" t="str">
        <f>"Y"</f>
        <v>Y</v>
      </c>
      <c r="AA747">
        <v>0</v>
      </c>
      <c r="AC747">
        <v>0</v>
      </c>
      <c r="AE747">
        <v>0</v>
      </c>
      <c r="AF747">
        <v>0</v>
      </c>
      <c r="AG747" s="2">
        <v>1142.6099999999999</v>
      </c>
      <c r="AH747">
        <v>0</v>
      </c>
      <c r="AI747" s="2">
        <v>1142.6099999999999</v>
      </c>
      <c r="AJ747">
        <v>339.86</v>
      </c>
      <c r="AK747">
        <v>339.86</v>
      </c>
      <c r="AL747" t="str">
        <f>"$"</f>
        <v>$</v>
      </c>
    </row>
    <row r="748" spans="1:38" x14ac:dyDescent="0.3">
      <c r="A748" t="str">
        <f>"SO20000525"</f>
        <v>SO20000525</v>
      </c>
      <c r="B748" t="str">
        <f>"E000325995"</f>
        <v>E000325995</v>
      </c>
      <c r="C748" t="str">
        <f>"בוצעה"</f>
        <v>בוצעה</v>
      </c>
      <c r="E748" s="3">
        <v>44150</v>
      </c>
      <c r="F748" s="3">
        <v>44175</v>
      </c>
      <c r="G748" t="str">
        <f>"700065"</f>
        <v>700065</v>
      </c>
      <c r="H748" t="str">
        <f>"אלתא מערכות בע""מ"</f>
        <v>אלתא מערכות בע"מ</v>
      </c>
      <c r="I748" t="str">
        <f>"ערן שלו"</f>
        <v>ערן שלו</v>
      </c>
      <c r="J748" t="str">
        <f>"OP-AR02093"</f>
        <v>OP-AR02093</v>
      </c>
      <c r="K748" s="1" t="str">
        <f>"1034L745-001/-  TCG LAB CABLE"</f>
        <v>1034L745-001/-  TCG LAB CABLE</v>
      </c>
      <c r="L748">
        <v>1</v>
      </c>
      <c r="M748" t="str">
        <f>"PR20000799"</f>
        <v>PR20000799</v>
      </c>
      <c r="N748" t="str">
        <f>"CU RCU ANT LAB CABEL"</f>
        <v>CU RCU ANT LAB CABEL</v>
      </c>
      <c r="O748">
        <v>223.62</v>
      </c>
      <c r="P748" t="str">
        <f>"$"</f>
        <v>$</v>
      </c>
      <c r="Q748" t="str">
        <f>"000"</f>
        <v>000</v>
      </c>
      <c r="R748" t="str">
        <f>"כללית"</f>
        <v>כללית</v>
      </c>
      <c r="S748" t="str">
        <f>"034"</f>
        <v>034</v>
      </c>
      <c r="T748" t="str">
        <f>"מוסקוביץ אולגה"</f>
        <v>מוסקוביץ אולגה</v>
      </c>
      <c r="U748">
        <v>0</v>
      </c>
      <c r="V748">
        <v>0</v>
      </c>
      <c r="W748">
        <v>223.62</v>
      </c>
      <c r="X748">
        <v>223.62</v>
      </c>
      <c r="Z748" t="str">
        <f>"Y"</f>
        <v>Y</v>
      </c>
      <c r="AA748">
        <v>0</v>
      </c>
      <c r="AC748">
        <v>0</v>
      </c>
      <c r="AE748">
        <v>0</v>
      </c>
      <c r="AF748">
        <v>0</v>
      </c>
      <c r="AG748">
        <v>751.81</v>
      </c>
      <c r="AH748">
        <v>0</v>
      </c>
      <c r="AI748">
        <v>751.81</v>
      </c>
      <c r="AJ748">
        <v>223.62</v>
      </c>
      <c r="AK748">
        <v>223.62</v>
      </c>
      <c r="AL748" t="str">
        <f>"$"</f>
        <v>$</v>
      </c>
    </row>
    <row r="749" spans="1:38" x14ac:dyDescent="0.3">
      <c r="A749" t="str">
        <f>"SO20000525"</f>
        <v>SO20000525</v>
      </c>
      <c r="B749" t="str">
        <f>"E000325995"</f>
        <v>E000325995</v>
      </c>
      <c r="C749" t="str">
        <f>"בוצעה"</f>
        <v>בוצעה</v>
      </c>
      <c r="E749" s="3">
        <v>44150</v>
      </c>
      <c r="F749" s="3">
        <v>44175</v>
      </c>
      <c r="G749" t="str">
        <f>"700065"</f>
        <v>700065</v>
      </c>
      <c r="H749" t="str">
        <f>"אלתא מערכות בע""מ"</f>
        <v>אלתא מערכות בע"מ</v>
      </c>
      <c r="I749" t="str">
        <f>"ערן שלו"</f>
        <v>ערן שלו</v>
      </c>
      <c r="J749" t="str">
        <f>"OP-AR02094"</f>
        <v>OP-AR02094</v>
      </c>
      <c r="K749" s="1" t="str">
        <f>"1034L746-001/-   RCU POWER CABLE"</f>
        <v>1034L746-001/-   RCU POWER CABLE</v>
      </c>
      <c r="L749">
        <v>1</v>
      </c>
      <c r="M749" t="str">
        <f>"PR20000799"</f>
        <v>PR20000799</v>
      </c>
      <c r="N749" t="str">
        <f>"CU RCU ANT LAB CABEL"</f>
        <v>CU RCU ANT LAB CABEL</v>
      </c>
      <c r="O749">
        <v>339.86</v>
      </c>
      <c r="P749" t="str">
        <f>"$"</f>
        <v>$</v>
      </c>
      <c r="Q749" t="str">
        <f>"000"</f>
        <v>000</v>
      </c>
      <c r="R749" t="str">
        <f>"כללית"</f>
        <v>כללית</v>
      </c>
      <c r="S749" t="str">
        <f>"034"</f>
        <v>034</v>
      </c>
      <c r="T749" t="str">
        <f>"מוסקוביץ אולגה"</f>
        <v>מוסקוביץ אולגה</v>
      </c>
      <c r="U749">
        <v>0</v>
      </c>
      <c r="V749">
        <v>0</v>
      </c>
      <c r="W749">
        <v>339.86</v>
      </c>
      <c r="X749">
        <v>339.86</v>
      </c>
      <c r="Z749" t="str">
        <f>"Y"</f>
        <v>Y</v>
      </c>
      <c r="AA749">
        <v>0</v>
      </c>
      <c r="AC749">
        <v>0</v>
      </c>
      <c r="AE749">
        <v>0</v>
      </c>
      <c r="AF749">
        <v>0</v>
      </c>
      <c r="AG749" s="2">
        <v>1142.6099999999999</v>
      </c>
      <c r="AH749">
        <v>0</v>
      </c>
      <c r="AI749" s="2">
        <v>1142.6099999999999</v>
      </c>
      <c r="AJ749">
        <v>339.86</v>
      </c>
      <c r="AK749">
        <v>339.86</v>
      </c>
      <c r="AL749" t="str">
        <f>"$"</f>
        <v>$</v>
      </c>
    </row>
    <row r="750" spans="1:38" x14ac:dyDescent="0.3">
      <c r="A750" t="str">
        <f>"SO20000525"</f>
        <v>SO20000525</v>
      </c>
      <c r="B750" t="str">
        <f>"E000325995"</f>
        <v>E000325995</v>
      </c>
      <c r="C750" t="str">
        <f>"בוצעה"</f>
        <v>בוצעה</v>
      </c>
      <c r="E750" s="3">
        <v>44150</v>
      </c>
      <c r="F750" s="3">
        <v>44175</v>
      </c>
      <c r="G750" t="str">
        <f>"700065"</f>
        <v>700065</v>
      </c>
      <c r="H750" t="str">
        <f>"אלתא מערכות בע""מ"</f>
        <v>אלתא מערכות בע"מ</v>
      </c>
      <c r="I750" t="str">
        <f>"ערן שלו"</f>
        <v>ערן שלו</v>
      </c>
      <c r="J750" t="str">
        <f>"OP-AR02095"</f>
        <v>OP-AR02095</v>
      </c>
      <c r="K750" s="1" t="str">
        <f>"1034L747-001/-  GPS RCU ETH PS CABLE LAB"</f>
        <v>1034L747-001/-  GPS RCU ETH PS CABLE LAB</v>
      </c>
      <c r="L750">
        <v>1</v>
      </c>
      <c r="M750" t="str">
        <f>"PR20000799"</f>
        <v>PR20000799</v>
      </c>
      <c r="N750" t="str">
        <f>"CU RCU ANT LAB CABEL"</f>
        <v>CU RCU ANT LAB CABEL</v>
      </c>
      <c r="O750" s="2">
        <v>1128.95</v>
      </c>
      <c r="P750" t="str">
        <f>"$"</f>
        <v>$</v>
      </c>
      <c r="Q750" t="str">
        <f>"000"</f>
        <v>000</v>
      </c>
      <c r="R750" t="str">
        <f>"כללית"</f>
        <v>כללית</v>
      </c>
      <c r="S750" t="str">
        <f>"034"</f>
        <v>034</v>
      </c>
      <c r="T750" t="str">
        <f>"מוסקוביץ אולגה"</f>
        <v>מוסקוביץ אולגה</v>
      </c>
      <c r="U750">
        <v>0</v>
      </c>
      <c r="V750">
        <v>0</v>
      </c>
      <c r="W750" s="2">
        <v>1128.95</v>
      </c>
      <c r="X750" s="2">
        <v>1128.95</v>
      </c>
      <c r="Z750" t="str">
        <f>"Y"</f>
        <v>Y</v>
      </c>
      <c r="AA750">
        <v>0</v>
      </c>
      <c r="AC750">
        <v>0</v>
      </c>
      <c r="AE750">
        <v>0</v>
      </c>
      <c r="AF750">
        <v>0</v>
      </c>
      <c r="AG750" s="2">
        <v>3795.53</v>
      </c>
      <c r="AH750">
        <v>0</v>
      </c>
      <c r="AI750" s="2">
        <v>3795.53</v>
      </c>
      <c r="AJ750" s="2">
        <v>1128.95</v>
      </c>
      <c r="AK750" s="2">
        <v>1128.95</v>
      </c>
      <c r="AL750" t="str">
        <f>"$"</f>
        <v>$</v>
      </c>
    </row>
    <row r="751" spans="1:38" x14ac:dyDescent="0.3">
      <c r="A751" t="str">
        <f>"SO20000525"</f>
        <v>SO20000525</v>
      </c>
      <c r="B751" t="str">
        <f>"E000325995"</f>
        <v>E000325995</v>
      </c>
      <c r="C751" t="str">
        <f>"בוצעה"</f>
        <v>בוצעה</v>
      </c>
      <c r="E751" s="3">
        <v>44150</v>
      </c>
      <c r="F751" s="3">
        <v>44175</v>
      </c>
      <c r="G751" t="str">
        <f>"700065"</f>
        <v>700065</v>
      </c>
      <c r="H751" t="str">
        <f>"אלתא מערכות בע""מ"</f>
        <v>אלתא מערכות בע"מ</v>
      </c>
      <c r="I751" t="str">
        <f>"ערן שלו"</f>
        <v>ערן שלו</v>
      </c>
      <c r="J751" t="str">
        <f>"OP-AR02096"</f>
        <v>OP-AR02096</v>
      </c>
      <c r="K751" s="1" t="str">
        <f>"1034L748-001/-   RCU ETH CABLE LAB"</f>
        <v>1034L748-001/-   RCU ETH CABLE LAB</v>
      </c>
      <c r="L751">
        <v>1</v>
      </c>
      <c r="M751" t="str">
        <f>"PR20000799"</f>
        <v>PR20000799</v>
      </c>
      <c r="N751" t="str">
        <f>"CU RCU ANT LAB CABEL"</f>
        <v>CU RCU ANT LAB CABEL</v>
      </c>
      <c r="O751">
        <v>616.09</v>
      </c>
      <c r="P751" t="str">
        <f>"$"</f>
        <v>$</v>
      </c>
      <c r="Q751" t="str">
        <f>"000"</f>
        <v>000</v>
      </c>
      <c r="R751" t="str">
        <f>"כללית"</f>
        <v>כללית</v>
      </c>
      <c r="S751" t="str">
        <f>"034"</f>
        <v>034</v>
      </c>
      <c r="T751" t="str">
        <f>"מוסקוביץ אולגה"</f>
        <v>מוסקוביץ אולגה</v>
      </c>
      <c r="U751">
        <v>0</v>
      </c>
      <c r="V751">
        <v>0</v>
      </c>
      <c r="W751">
        <v>616.09</v>
      </c>
      <c r="X751">
        <v>616.09</v>
      </c>
      <c r="Z751" t="str">
        <f>"Y"</f>
        <v>Y</v>
      </c>
      <c r="AA751">
        <v>0</v>
      </c>
      <c r="AC751">
        <v>0</v>
      </c>
      <c r="AE751">
        <v>0</v>
      </c>
      <c r="AF751">
        <v>0</v>
      </c>
      <c r="AG751" s="2">
        <v>2071.29</v>
      </c>
      <c r="AH751">
        <v>0</v>
      </c>
      <c r="AI751" s="2">
        <v>2071.29</v>
      </c>
      <c r="AJ751">
        <v>616.09</v>
      </c>
      <c r="AK751">
        <v>616.09</v>
      </c>
      <c r="AL751" t="str">
        <f>"$"</f>
        <v>$</v>
      </c>
    </row>
    <row r="752" spans="1:38" x14ac:dyDescent="0.3">
      <c r="A752" t="str">
        <f>"SO20000526"</f>
        <v>SO20000526</v>
      </c>
      <c r="B752" t="str">
        <f>"E000326026"</f>
        <v>E000326026</v>
      </c>
      <c r="C752" t="str">
        <f>"בוצעה"</f>
        <v>בוצעה</v>
      </c>
      <c r="E752" s="3">
        <v>44151</v>
      </c>
      <c r="F752" s="3">
        <v>44170</v>
      </c>
      <c r="G752" t="str">
        <f>"700065"</f>
        <v>700065</v>
      </c>
      <c r="H752" t="str">
        <f>"אלתא מערכות בע""מ"</f>
        <v>אלתא מערכות בע"מ</v>
      </c>
      <c r="I752" t="str">
        <f>"ערן שלו"</f>
        <v>ערן שלו</v>
      </c>
      <c r="J752" t="str">
        <f>"000"</f>
        <v>000</v>
      </c>
      <c r="K752" s="1" t="str">
        <f>"-מכאניקה עבור קוטמי מתח בPDB"</f>
        <v>-מכאניקה עבור קוטמי מתח בPDB</v>
      </c>
      <c r="L752">
        <v>1</v>
      </c>
      <c r="M752" t="str">
        <f>"PR20000696"</f>
        <v>PR20000696</v>
      </c>
      <c r="N752" t="str">
        <f>"שדרוג 4 מערכות DC גלקטיקה"</f>
        <v>שדרוג 4 מערכות DC גלקטיקה</v>
      </c>
      <c r="O752" s="2">
        <v>3555</v>
      </c>
      <c r="P752" t="str">
        <f>"$"</f>
        <v>$</v>
      </c>
      <c r="Q752" t="str">
        <f>"118"</f>
        <v>118</v>
      </c>
      <c r="R752" t="str">
        <f>"מערכות"</f>
        <v>מערכות</v>
      </c>
      <c r="S752" t="str">
        <f>"034"</f>
        <v>034</v>
      </c>
      <c r="T752" t="str">
        <f>"מוסקוביץ אולגה"</f>
        <v>מוסקוביץ אולגה</v>
      </c>
      <c r="U752">
        <v>0</v>
      </c>
      <c r="V752">
        <v>0</v>
      </c>
      <c r="W752" s="2">
        <v>3555</v>
      </c>
      <c r="X752" s="2">
        <v>3555</v>
      </c>
      <c r="Z752" t="str">
        <f>"Y"</f>
        <v>Y</v>
      </c>
      <c r="AA752">
        <v>1</v>
      </c>
      <c r="AC752">
        <v>0</v>
      </c>
      <c r="AE752">
        <v>0</v>
      </c>
      <c r="AF752">
        <v>0</v>
      </c>
      <c r="AG752" s="2">
        <v>11930.58</v>
      </c>
      <c r="AH752">
        <v>0</v>
      </c>
      <c r="AI752" s="2">
        <v>11930.58</v>
      </c>
      <c r="AJ752" s="2">
        <v>3555</v>
      </c>
      <c r="AK752" s="2">
        <v>3555</v>
      </c>
      <c r="AL752" t="str">
        <f>"$"</f>
        <v>$</v>
      </c>
    </row>
    <row r="753" spans="1:38" x14ac:dyDescent="0.3">
      <c r="A753" t="str">
        <f>"SO20000526"</f>
        <v>SO20000526</v>
      </c>
      <c r="B753" t="str">
        <f>"E000326026"</f>
        <v>E000326026</v>
      </c>
      <c r="C753" t="str">
        <f>"בוצעה"</f>
        <v>בוצעה</v>
      </c>
      <c r="E753" s="3">
        <v>44151</v>
      </c>
      <c r="F753" s="3">
        <v>44285</v>
      </c>
      <c r="G753" t="str">
        <f>"700065"</f>
        <v>700065</v>
      </c>
      <c r="H753" t="str">
        <f>"אלתא מערכות בע""מ"</f>
        <v>אלתא מערכות בע"מ</v>
      </c>
      <c r="I753" t="str">
        <f>"ערן שלו"</f>
        <v>ערן שלו</v>
      </c>
      <c r="J753" t="str">
        <f>"999"</f>
        <v>999</v>
      </c>
      <c r="K753" s="1" t="str">
        <f>"מכאניקה עבור קוטמי מתח בPDB"</f>
        <v>מכאניקה עבור קוטמי מתח בPDB</v>
      </c>
      <c r="L753">
        <v>1</v>
      </c>
      <c r="M753" t="str">
        <f>"PR20000696"</f>
        <v>PR20000696</v>
      </c>
      <c r="N753" t="str">
        <f>"שדרוג 4 מערכות DC גלקטיקה"</f>
        <v>שדרוג 4 מערכות DC גלקטיקה</v>
      </c>
      <c r="O753" s="2">
        <v>9800</v>
      </c>
      <c r="P753" t="str">
        <f>"$"</f>
        <v>$</v>
      </c>
      <c r="Q753" t="str">
        <f>"118"</f>
        <v>118</v>
      </c>
      <c r="R753" t="str">
        <f>"מערכות"</f>
        <v>מערכות</v>
      </c>
      <c r="S753" t="str">
        <f>"034"</f>
        <v>034</v>
      </c>
      <c r="T753" t="str">
        <f>"מוסקוביץ אולגה"</f>
        <v>מוסקוביץ אולגה</v>
      </c>
      <c r="U753">
        <v>0</v>
      </c>
      <c r="V753">
        <v>0</v>
      </c>
      <c r="W753" s="2">
        <v>9800</v>
      </c>
      <c r="X753" s="2">
        <v>9800</v>
      </c>
      <c r="Z753" t="str">
        <f>"Y"</f>
        <v>Y</v>
      </c>
      <c r="AA753">
        <v>1</v>
      </c>
      <c r="AC753">
        <v>0</v>
      </c>
      <c r="AE753">
        <v>0</v>
      </c>
      <c r="AF753">
        <v>0</v>
      </c>
      <c r="AG753" s="2">
        <v>32888.800000000003</v>
      </c>
      <c r="AH753">
        <v>0</v>
      </c>
      <c r="AI753" s="2">
        <v>32888.800000000003</v>
      </c>
      <c r="AJ753" s="2">
        <v>9800</v>
      </c>
      <c r="AK753" s="2">
        <v>9800</v>
      </c>
      <c r="AL753" t="str">
        <f>"$"</f>
        <v>$</v>
      </c>
    </row>
    <row r="754" spans="1:38" x14ac:dyDescent="0.3">
      <c r="A754" t="str">
        <f>"SO20000526"</f>
        <v>SO20000526</v>
      </c>
      <c r="B754" t="str">
        <f>"E000326026"</f>
        <v>E000326026</v>
      </c>
      <c r="C754" t="str">
        <f>"בוצעה"</f>
        <v>בוצעה</v>
      </c>
      <c r="E754" s="3">
        <v>44151</v>
      </c>
      <c r="F754" s="3">
        <v>44285</v>
      </c>
      <c r="G754" t="str">
        <f>"700065"</f>
        <v>700065</v>
      </c>
      <c r="H754" t="str">
        <f>"אלתא מערכות בע""מ"</f>
        <v>אלתא מערכות בע"מ</v>
      </c>
      <c r="I754" t="str">
        <f>"ערן שלו"</f>
        <v>ערן שלו</v>
      </c>
      <c r="J754" t="str">
        <f>"000"</f>
        <v>000</v>
      </c>
      <c r="K754" s="1" t="str">
        <f>"שדרוג באורנט"</f>
        <v>שדרוג באורנט</v>
      </c>
      <c r="L754">
        <v>1</v>
      </c>
      <c r="M754" t="str">
        <f>"PR20000696"</f>
        <v>PR20000696</v>
      </c>
      <c r="N754" t="str">
        <f>"שדרוג 4 מערכות DC גלקטיקה"</f>
        <v>שדרוג 4 מערכות DC גלקטיקה</v>
      </c>
      <c r="O754">
        <v>850</v>
      </c>
      <c r="P754" t="str">
        <f>"$"</f>
        <v>$</v>
      </c>
      <c r="Q754" t="str">
        <f>"118"</f>
        <v>118</v>
      </c>
      <c r="R754" t="str">
        <f>"מערכות"</f>
        <v>מערכות</v>
      </c>
      <c r="S754" t="str">
        <f>"034"</f>
        <v>034</v>
      </c>
      <c r="T754" t="str">
        <f>"מוסקוביץ אולגה"</f>
        <v>מוסקוביץ אולגה</v>
      </c>
      <c r="U754">
        <v>0</v>
      </c>
      <c r="V754">
        <v>0</v>
      </c>
      <c r="W754">
        <v>850</v>
      </c>
      <c r="X754">
        <v>850</v>
      </c>
      <c r="Z754" t="str">
        <f>"Y"</f>
        <v>Y</v>
      </c>
      <c r="AA754">
        <v>1</v>
      </c>
      <c r="AC754">
        <v>0</v>
      </c>
      <c r="AE754">
        <v>0</v>
      </c>
      <c r="AF754">
        <v>0</v>
      </c>
      <c r="AG754" s="2">
        <v>2852.6</v>
      </c>
      <c r="AH754">
        <v>0</v>
      </c>
      <c r="AI754" s="2">
        <v>2852.6</v>
      </c>
      <c r="AJ754">
        <v>850</v>
      </c>
      <c r="AK754">
        <v>850</v>
      </c>
      <c r="AL754" t="str">
        <f>"$"</f>
        <v>$</v>
      </c>
    </row>
    <row r="755" spans="1:38" x14ac:dyDescent="0.3">
      <c r="A755" t="str">
        <f>"SO20000526"</f>
        <v>SO20000526</v>
      </c>
      <c r="B755" t="str">
        <f>"E000326026"</f>
        <v>E000326026</v>
      </c>
      <c r="C755" t="str">
        <f>"בוצעה"</f>
        <v>בוצעה</v>
      </c>
      <c r="E755" s="3">
        <v>44151</v>
      </c>
      <c r="F755" s="3">
        <v>44285</v>
      </c>
      <c r="G755" t="str">
        <f>"700065"</f>
        <v>700065</v>
      </c>
      <c r="H755" t="str">
        <f>"אלתא מערכות בע""מ"</f>
        <v>אלתא מערכות בע"מ</v>
      </c>
      <c r="I755" t="str">
        <f>"ערן שלו"</f>
        <v>ערן שלו</v>
      </c>
      <c r="J755" t="str">
        <f>"000"</f>
        <v>000</v>
      </c>
      <c r="K755" s="1" t="str">
        <f>"שדרוג באלתא"</f>
        <v>שדרוג באלתא</v>
      </c>
      <c r="L755">
        <v>1</v>
      </c>
      <c r="M755" t="str">
        <f>"PR20000696"</f>
        <v>PR20000696</v>
      </c>
      <c r="N755" t="str">
        <f>"שדרוג 4 מערכות DC גלקטיקה"</f>
        <v>שדרוג 4 מערכות DC גלקטיקה</v>
      </c>
      <c r="O755" s="2">
        <v>1250</v>
      </c>
      <c r="P755" t="str">
        <f>"$"</f>
        <v>$</v>
      </c>
      <c r="Q755" t="str">
        <f>"118"</f>
        <v>118</v>
      </c>
      <c r="R755" t="str">
        <f>"מערכות"</f>
        <v>מערכות</v>
      </c>
      <c r="S755" t="str">
        <f>"034"</f>
        <v>034</v>
      </c>
      <c r="T755" t="str">
        <f>"מוסקוביץ אולגה"</f>
        <v>מוסקוביץ אולגה</v>
      </c>
      <c r="U755">
        <v>0</v>
      </c>
      <c r="V755">
        <v>0</v>
      </c>
      <c r="W755" s="2">
        <v>1250</v>
      </c>
      <c r="X755" s="2">
        <v>1250</v>
      </c>
      <c r="Z755" t="str">
        <f>"Y"</f>
        <v>Y</v>
      </c>
      <c r="AA755">
        <v>1</v>
      </c>
      <c r="AC755">
        <v>0</v>
      </c>
      <c r="AE755">
        <v>0</v>
      </c>
      <c r="AF755">
        <v>0</v>
      </c>
      <c r="AG755" s="2">
        <v>4195</v>
      </c>
      <c r="AH755">
        <v>0</v>
      </c>
      <c r="AI755" s="2">
        <v>4195</v>
      </c>
      <c r="AJ755" s="2">
        <v>1250</v>
      </c>
      <c r="AK755" s="2">
        <v>1250</v>
      </c>
      <c r="AL755" t="str">
        <f>"$"</f>
        <v>$</v>
      </c>
    </row>
    <row r="756" spans="1:38" x14ac:dyDescent="0.3">
      <c r="A756" t="str">
        <f>"SO20000526"</f>
        <v>SO20000526</v>
      </c>
      <c r="B756" t="str">
        <f>"E000326026"</f>
        <v>E000326026</v>
      </c>
      <c r="C756" t="str">
        <f>"בוצעה"</f>
        <v>בוצעה</v>
      </c>
      <c r="E756" s="3">
        <v>44151</v>
      </c>
      <c r="F756" s="3">
        <v>44285</v>
      </c>
      <c r="G756" t="str">
        <f>"700065"</f>
        <v>700065</v>
      </c>
      <c r="H756" t="str">
        <f>"אלתא מערכות בע""מ"</f>
        <v>אלתא מערכות בע"מ</v>
      </c>
      <c r="I756" t="str">
        <f>"ערן שלו"</f>
        <v>ערן שלו</v>
      </c>
      <c r="J756" t="str">
        <f>"000"</f>
        <v>000</v>
      </c>
      <c r="K756" s="1" t="str">
        <f>"עדכון שרטוטים"</f>
        <v>עדכון שרטוטים</v>
      </c>
      <c r="L756">
        <v>1</v>
      </c>
      <c r="M756" t="str">
        <f>"PR20000696"</f>
        <v>PR20000696</v>
      </c>
      <c r="N756" t="str">
        <f>"שדרוג 4 מערכות DC גלקטיקה"</f>
        <v>שדרוג 4 מערכות DC גלקטיקה</v>
      </c>
      <c r="O756" s="2">
        <v>2000</v>
      </c>
      <c r="P756" t="str">
        <f>"$"</f>
        <v>$</v>
      </c>
      <c r="Q756" t="str">
        <f>"118"</f>
        <v>118</v>
      </c>
      <c r="R756" t="str">
        <f>"מערכות"</f>
        <v>מערכות</v>
      </c>
      <c r="S756" t="str">
        <f>"034"</f>
        <v>034</v>
      </c>
      <c r="T756" t="str">
        <f>"מוסקוביץ אולגה"</f>
        <v>מוסקוביץ אולגה</v>
      </c>
      <c r="U756">
        <v>0</v>
      </c>
      <c r="V756">
        <v>0</v>
      </c>
      <c r="W756" s="2">
        <v>2000</v>
      </c>
      <c r="X756" s="2">
        <v>2000</v>
      </c>
      <c r="Z756" t="str">
        <f>"Y"</f>
        <v>Y</v>
      </c>
      <c r="AA756">
        <v>1</v>
      </c>
      <c r="AC756">
        <v>0</v>
      </c>
      <c r="AE756">
        <v>0</v>
      </c>
      <c r="AF756">
        <v>0</v>
      </c>
      <c r="AG756" s="2">
        <v>6712</v>
      </c>
      <c r="AH756">
        <v>0</v>
      </c>
      <c r="AI756" s="2">
        <v>6712</v>
      </c>
      <c r="AJ756" s="2">
        <v>2000</v>
      </c>
      <c r="AK756" s="2">
        <v>2000</v>
      </c>
      <c r="AL756" t="str">
        <f>"$"</f>
        <v>$</v>
      </c>
    </row>
    <row r="757" spans="1:38" x14ac:dyDescent="0.3">
      <c r="A757" t="str">
        <f>"SO20000532"</f>
        <v>SO20000532</v>
      </c>
      <c r="B757" t="str">
        <f>"E000321177"</f>
        <v>E000321177</v>
      </c>
      <c r="C757" t="str">
        <f>"בוצעה"</f>
        <v>בוצעה</v>
      </c>
      <c r="E757" s="3">
        <v>44155</v>
      </c>
      <c r="F757" s="3">
        <v>44378</v>
      </c>
      <c r="G757" t="str">
        <f>"700065"</f>
        <v>700065</v>
      </c>
      <c r="H757" t="str">
        <f>"אלתא מערכות בע""מ"</f>
        <v>אלתא מערכות בע"מ</v>
      </c>
      <c r="I757" t="str">
        <f>"ערן שלו"</f>
        <v>ערן שלו</v>
      </c>
      <c r="J757" t="str">
        <f>"OP-AR02102"</f>
        <v>OP-AR02102</v>
      </c>
      <c r="K757" s="1" t="str">
        <f>"1032F920-001/-   ETHERNET CABLE MFR-W920 - FILTE"</f>
        <v>1032F920-001/-   ETHERNET CABLE MFR-W920 - FILTE</v>
      </c>
      <c r="L757">
        <v>4</v>
      </c>
      <c r="M757" t="str">
        <f>"PR20000834"</f>
        <v>PR20000834</v>
      </c>
      <c r="N757" t="str">
        <f>"BEL"</f>
        <v>BEL</v>
      </c>
      <c r="O757">
        <v>174</v>
      </c>
      <c r="P757" t="str">
        <f>"$"</f>
        <v>$</v>
      </c>
      <c r="Q757" t="str">
        <f>"117"</f>
        <v>117</v>
      </c>
      <c r="R757" t="str">
        <f>"רתמות"</f>
        <v>רתמות</v>
      </c>
      <c r="S757" t="str">
        <f>"034"</f>
        <v>034</v>
      </c>
      <c r="T757" t="str">
        <f>"מוסקוביץ אולגה"</f>
        <v>מוסקוביץ אולגה</v>
      </c>
      <c r="U757">
        <v>0</v>
      </c>
      <c r="V757">
        <v>0</v>
      </c>
      <c r="W757">
        <v>174</v>
      </c>
      <c r="X757">
        <v>696</v>
      </c>
      <c r="Z757" t="str">
        <f>"Y"</f>
        <v>Y</v>
      </c>
      <c r="AA757">
        <v>0</v>
      </c>
      <c r="AC757">
        <v>0</v>
      </c>
      <c r="AE757">
        <v>0</v>
      </c>
      <c r="AF757">
        <v>0</v>
      </c>
      <c r="AG757">
        <v>581.86</v>
      </c>
      <c r="AH757">
        <v>0</v>
      </c>
      <c r="AI757" s="2">
        <v>2327.42</v>
      </c>
      <c r="AJ757">
        <v>696</v>
      </c>
      <c r="AK757">
        <v>696</v>
      </c>
      <c r="AL757" t="str">
        <f>"$"</f>
        <v>$</v>
      </c>
    </row>
    <row r="758" spans="1:38" x14ac:dyDescent="0.3">
      <c r="A758" t="str">
        <f>"SO20000532"</f>
        <v>SO20000532</v>
      </c>
      <c r="B758" t="str">
        <f>"E000321177"</f>
        <v>E000321177</v>
      </c>
      <c r="C758" t="str">
        <f>"בוצעה"</f>
        <v>בוצעה</v>
      </c>
      <c r="E758" s="3">
        <v>44155</v>
      </c>
      <c r="F758" s="3">
        <v>44378</v>
      </c>
      <c r="G758" t="str">
        <f>"700065"</f>
        <v>700065</v>
      </c>
      <c r="H758" t="str">
        <f>"אלתא מערכות בע""מ"</f>
        <v>אלתא מערכות בע"מ</v>
      </c>
      <c r="I758" t="str">
        <f>"ערן שלו"</f>
        <v>ערן שלו</v>
      </c>
      <c r="J758" t="str">
        <f>"OP-AR02102"</f>
        <v>OP-AR02102</v>
      </c>
      <c r="K758" s="1" t="str">
        <f>"1032F920-001/-   ETHERNET CABLE MFR-W920 - FILTE"</f>
        <v>1032F920-001/-   ETHERNET CABLE MFR-W920 - FILTE</v>
      </c>
      <c r="L758">
        <v>4</v>
      </c>
      <c r="M758" t="str">
        <f>"PR20000834"</f>
        <v>PR20000834</v>
      </c>
      <c r="N758" t="str">
        <f>"BEL"</f>
        <v>BEL</v>
      </c>
      <c r="O758">
        <v>174</v>
      </c>
      <c r="P758" t="str">
        <f>"$"</f>
        <v>$</v>
      </c>
      <c r="Q758" t="str">
        <f>"117"</f>
        <v>117</v>
      </c>
      <c r="R758" t="str">
        <f>"רתמות"</f>
        <v>רתמות</v>
      </c>
      <c r="S758" t="str">
        <f>"034"</f>
        <v>034</v>
      </c>
      <c r="T758" t="str">
        <f>"מוסקוביץ אולגה"</f>
        <v>מוסקוביץ אולגה</v>
      </c>
      <c r="U758">
        <v>0</v>
      </c>
      <c r="V758">
        <v>0</v>
      </c>
      <c r="W758">
        <v>174</v>
      </c>
      <c r="X758">
        <v>696</v>
      </c>
      <c r="Z758" t="str">
        <f>"Y"</f>
        <v>Y</v>
      </c>
      <c r="AA758">
        <v>0</v>
      </c>
      <c r="AC758">
        <v>0</v>
      </c>
      <c r="AE758">
        <v>0</v>
      </c>
      <c r="AF758">
        <v>0</v>
      </c>
      <c r="AG758">
        <v>581.86</v>
      </c>
      <c r="AH758">
        <v>0</v>
      </c>
      <c r="AI758" s="2">
        <v>2327.42</v>
      </c>
      <c r="AJ758">
        <v>696</v>
      </c>
      <c r="AK758">
        <v>696</v>
      </c>
      <c r="AL758" t="str">
        <f>"$"</f>
        <v>$</v>
      </c>
    </row>
    <row r="759" spans="1:38" x14ac:dyDescent="0.3">
      <c r="A759" t="str">
        <f>"SO20000532"</f>
        <v>SO20000532</v>
      </c>
      <c r="B759" t="str">
        <f>"E000321177"</f>
        <v>E000321177</v>
      </c>
      <c r="C759" t="str">
        <f>"בוצעה"</f>
        <v>בוצעה</v>
      </c>
      <c r="E759" s="3">
        <v>44155</v>
      </c>
      <c r="F759" s="3">
        <v>44593</v>
      </c>
      <c r="G759" t="str">
        <f>"700065"</f>
        <v>700065</v>
      </c>
      <c r="H759" t="str">
        <f>"אלתא מערכות בע""מ"</f>
        <v>אלתא מערכות בע"מ</v>
      </c>
      <c r="I759" t="str">
        <f>"ערן שלו"</f>
        <v>ערן שלו</v>
      </c>
      <c r="J759" t="str">
        <f>"OP-AR02102"</f>
        <v>OP-AR02102</v>
      </c>
      <c r="K759" s="1" t="str">
        <f>"1032F920-001/-   ETHERNET CABLE MFR-W920 - FILTE"</f>
        <v>1032F920-001/-   ETHERNET CABLE MFR-W920 - FILTE</v>
      </c>
      <c r="L759">
        <v>4</v>
      </c>
      <c r="M759" t="str">
        <f>"PR20000834"</f>
        <v>PR20000834</v>
      </c>
      <c r="N759" t="str">
        <f>"BEL"</f>
        <v>BEL</v>
      </c>
      <c r="O759">
        <v>174</v>
      </c>
      <c r="P759" t="str">
        <f>"$"</f>
        <v>$</v>
      </c>
      <c r="Q759" t="str">
        <f>"117"</f>
        <v>117</v>
      </c>
      <c r="R759" t="str">
        <f>"רתמות"</f>
        <v>רתמות</v>
      </c>
      <c r="S759" t="str">
        <f>"034"</f>
        <v>034</v>
      </c>
      <c r="T759" t="str">
        <f>"מוסקוביץ אולגה"</f>
        <v>מוסקוביץ אולגה</v>
      </c>
      <c r="U759">
        <v>0</v>
      </c>
      <c r="V759">
        <v>0</v>
      </c>
      <c r="W759">
        <v>174</v>
      </c>
      <c r="X759">
        <v>696</v>
      </c>
      <c r="Z759" t="str">
        <f>"Y"</f>
        <v>Y</v>
      </c>
      <c r="AA759">
        <v>0</v>
      </c>
      <c r="AC759">
        <v>0</v>
      </c>
      <c r="AE759">
        <v>0</v>
      </c>
      <c r="AF759">
        <v>0</v>
      </c>
      <c r="AG759">
        <v>581.86</v>
      </c>
      <c r="AH759">
        <v>0</v>
      </c>
      <c r="AI759" s="2">
        <v>2327.42</v>
      </c>
      <c r="AJ759">
        <v>696</v>
      </c>
      <c r="AK759">
        <v>696</v>
      </c>
      <c r="AL759" t="str">
        <f>"$"</f>
        <v>$</v>
      </c>
    </row>
    <row r="760" spans="1:38" x14ac:dyDescent="0.3">
      <c r="A760" t="str">
        <f>"SO20000532"</f>
        <v>SO20000532</v>
      </c>
      <c r="B760" t="str">
        <f>"E000321177"</f>
        <v>E000321177</v>
      </c>
      <c r="C760" t="str">
        <f>"בוצעה"</f>
        <v>בוצעה</v>
      </c>
      <c r="E760" s="3">
        <v>44155</v>
      </c>
      <c r="F760" s="3">
        <v>45047</v>
      </c>
      <c r="G760" t="str">
        <f>"700065"</f>
        <v>700065</v>
      </c>
      <c r="H760" t="str">
        <f>"אלתא מערכות בע""מ"</f>
        <v>אלתא מערכות בע"מ</v>
      </c>
      <c r="I760" t="str">
        <f>"ערן שלו"</f>
        <v>ערן שלו</v>
      </c>
      <c r="J760" t="str">
        <f>"OP-AR02102"</f>
        <v>OP-AR02102</v>
      </c>
      <c r="K760" s="1" t="str">
        <f>"1032F920-001/-   ETHERNET CABLE MFR-W920 - FILTE"</f>
        <v>1032F920-001/-   ETHERNET CABLE MFR-W920 - FILTE</v>
      </c>
      <c r="L760">
        <v>4</v>
      </c>
      <c r="M760" t="str">
        <f>"PR20000834"</f>
        <v>PR20000834</v>
      </c>
      <c r="N760" t="str">
        <f>"BEL"</f>
        <v>BEL</v>
      </c>
      <c r="O760">
        <v>174</v>
      </c>
      <c r="P760" t="str">
        <f>"$"</f>
        <v>$</v>
      </c>
      <c r="Q760" t="str">
        <f>"117"</f>
        <v>117</v>
      </c>
      <c r="R760" t="str">
        <f>"רתמות"</f>
        <v>רתמות</v>
      </c>
      <c r="S760" t="str">
        <f>"034"</f>
        <v>034</v>
      </c>
      <c r="T760" t="str">
        <f>"מוסקוביץ אולגה"</f>
        <v>מוסקוביץ אולגה</v>
      </c>
      <c r="U760">
        <v>0</v>
      </c>
      <c r="V760">
        <v>0</v>
      </c>
      <c r="W760">
        <v>174</v>
      </c>
      <c r="X760">
        <v>696</v>
      </c>
      <c r="Z760" t="str">
        <f>"Y"</f>
        <v>Y</v>
      </c>
      <c r="AA760">
        <v>0</v>
      </c>
      <c r="AC760">
        <v>0</v>
      </c>
      <c r="AE760">
        <v>0</v>
      </c>
      <c r="AF760">
        <v>0</v>
      </c>
      <c r="AG760">
        <v>581.86</v>
      </c>
      <c r="AH760">
        <v>0</v>
      </c>
      <c r="AI760" s="2">
        <v>2327.42</v>
      </c>
      <c r="AJ760">
        <v>696</v>
      </c>
      <c r="AK760">
        <v>696</v>
      </c>
      <c r="AL760" t="str">
        <f>"$"</f>
        <v>$</v>
      </c>
    </row>
    <row r="761" spans="1:38" x14ac:dyDescent="0.3">
      <c r="A761" t="str">
        <f>"SO20000532"</f>
        <v>SO20000532</v>
      </c>
      <c r="B761" t="str">
        <f>"E000321177"</f>
        <v>E000321177</v>
      </c>
      <c r="C761" t="str">
        <f>"בוצעה"</f>
        <v>בוצעה</v>
      </c>
      <c r="E761" s="3">
        <v>44155</v>
      </c>
      <c r="F761" s="3">
        <v>45047</v>
      </c>
      <c r="G761" t="str">
        <f>"700065"</f>
        <v>700065</v>
      </c>
      <c r="H761" t="str">
        <f>"אלתא מערכות בע""מ"</f>
        <v>אלתא מערכות בע"מ</v>
      </c>
      <c r="I761" t="str">
        <f>"ערן שלו"</f>
        <v>ערן שלו</v>
      </c>
      <c r="J761" t="str">
        <f>"OP-AR02102"</f>
        <v>OP-AR02102</v>
      </c>
      <c r="K761" s="1" t="str">
        <f>"1032F920-001/-   ETHERNET CABLE MFR-W920 - FILTE"</f>
        <v>1032F920-001/-   ETHERNET CABLE MFR-W920 - FILTE</v>
      </c>
      <c r="L761">
        <v>4</v>
      </c>
      <c r="M761" t="str">
        <f>"PR20000834"</f>
        <v>PR20000834</v>
      </c>
      <c r="N761" t="str">
        <f>"BEL"</f>
        <v>BEL</v>
      </c>
      <c r="O761">
        <v>174</v>
      </c>
      <c r="P761" t="str">
        <f>"$"</f>
        <v>$</v>
      </c>
      <c r="Q761" t="str">
        <f>"117"</f>
        <v>117</v>
      </c>
      <c r="R761" t="str">
        <f>"רתמות"</f>
        <v>רתמות</v>
      </c>
      <c r="S761" t="str">
        <f>"034"</f>
        <v>034</v>
      </c>
      <c r="T761" t="str">
        <f>"מוסקוביץ אולגה"</f>
        <v>מוסקוביץ אולגה</v>
      </c>
      <c r="U761">
        <v>0</v>
      </c>
      <c r="V761">
        <v>0</v>
      </c>
      <c r="W761">
        <v>174</v>
      </c>
      <c r="X761">
        <v>696</v>
      </c>
      <c r="Z761" t="str">
        <f>"Y"</f>
        <v>Y</v>
      </c>
      <c r="AA761">
        <v>0</v>
      </c>
      <c r="AC761">
        <v>0</v>
      </c>
      <c r="AE761">
        <v>0</v>
      </c>
      <c r="AF761">
        <v>0</v>
      </c>
      <c r="AG761">
        <v>581.86</v>
      </c>
      <c r="AH761">
        <v>0</v>
      </c>
      <c r="AI761" s="2">
        <v>2327.42</v>
      </c>
      <c r="AJ761">
        <v>696</v>
      </c>
      <c r="AK761">
        <v>696</v>
      </c>
      <c r="AL761" t="str">
        <f>"$"</f>
        <v>$</v>
      </c>
    </row>
    <row r="762" spans="1:38" x14ac:dyDescent="0.3">
      <c r="A762" t="str">
        <f>"SO20000532"</f>
        <v>SO20000532</v>
      </c>
      <c r="B762" t="str">
        <f>"E000321177"</f>
        <v>E000321177</v>
      </c>
      <c r="C762" t="str">
        <f>"בוצעה"</f>
        <v>בוצעה</v>
      </c>
      <c r="E762" s="3">
        <v>44155</v>
      </c>
      <c r="F762" s="3">
        <v>44378</v>
      </c>
      <c r="G762" t="str">
        <f>"700065"</f>
        <v>700065</v>
      </c>
      <c r="H762" t="str">
        <f>"אלתא מערכות בע""מ"</f>
        <v>אלתא מערכות בע"מ</v>
      </c>
      <c r="I762" t="str">
        <f>"ערן שלו"</f>
        <v>ערן שלו</v>
      </c>
      <c r="J762" t="str">
        <f>"OP-AR02104"</f>
        <v>OP-AR02104</v>
      </c>
      <c r="K762" s="1" t="str">
        <f>"1032F921-001/-   ETHERNET CABLE MFR-W921 - FILTE"</f>
        <v>1032F921-001/-   ETHERNET CABLE MFR-W921 - FILTE</v>
      </c>
      <c r="L762">
        <v>4</v>
      </c>
      <c r="M762" t="str">
        <f>"PR20000834"</f>
        <v>PR20000834</v>
      </c>
      <c r="N762" t="str">
        <f>"BEL"</f>
        <v>BEL</v>
      </c>
      <c r="O762">
        <v>174</v>
      </c>
      <c r="P762" t="str">
        <f>"$"</f>
        <v>$</v>
      </c>
      <c r="Q762" t="str">
        <f>"117"</f>
        <v>117</v>
      </c>
      <c r="R762" t="str">
        <f>"רתמות"</f>
        <v>רתמות</v>
      </c>
      <c r="S762" t="str">
        <f>"034"</f>
        <v>034</v>
      </c>
      <c r="T762" t="str">
        <f>"מוסקוביץ אולגה"</f>
        <v>מוסקוביץ אולגה</v>
      </c>
      <c r="U762">
        <v>0</v>
      </c>
      <c r="V762">
        <v>0</v>
      </c>
      <c r="W762">
        <v>174</v>
      </c>
      <c r="X762">
        <v>696</v>
      </c>
      <c r="Z762" t="str">
        <f>"Y"</f>
        <v>Y</v>
      </c>
      <c r="AA762">
        <v>0</v>
      </c>
      <c r="AC762">
        <v>0</v>
      </c>
      <c r="AE762">
        <v>0</v>
      </c>
      <c r="AF762">
        <v>0</v>
      </c>
      <c r="AG762">
        <v>581.86</v>
      </c>
      <c r="AH762">
        <v>0</v>
      </c>
      <c r="AI762" s="2">
        <v>2327.42</v>
      </c>
      <c r="AJ762">
        <v>696</v>
      </c>
      <c r="AK762">
        <v>696</v>
      </c>
      <c r="AL762" t="str">
        <f>"$"</f>
        <v>$</v>
      </c>
    </row>
    <row r="763" spans="1:38" x14ac:dyDescent="0.3">
      <c r="A763" t="str">
        <f>"SO20000532"</f>
        <v>SO20000532</v>
      </c>
      <c r="B763" t="str">
        <f>"E000321177"</f>
        <v>E000321177</v>
      </c>
      <c r="C763" t="str">
        <f>"בוצעה"</f>
        <v>בוצעה</v>
      </c>
      <c r="E763" s="3">
        <v>44155</v>
      </c>
      <c r="F763" s="3">
        <v>44378</v>
      </c>
      <c r="G763" t="str">
        <f>"700065"</f>
        <v>700065</v>
      </c>
      <c r="H763" t="str">
        <f>"אלתא מערכות בע""מ"</f>
        <v>אלתא מערכות בע"מ</v>
      </c>
      <c r="I763" t="str">
        <f>"ערן שלו"</f>
        <v>ערן שלו</v>
      </c>
      <c r="J763" t="str">
        <f>"OP-AR02104"</f>
        <v>OP-AR02104</v>
      </c>
      <c r="K763" s="1" t="str">
        <f>"1032F921-001/-   ETHERNET CABLE MFR-W921 - FILTE"</f>
        <v>1032F921-001/-   ETHERNET CABLE MFR-W921 - FILTE</v>
      </c>
      <c r="L763">
        <v>4</v>
      </c>
      <c r="M763" t="str">
        <f>"PR20000834"</f>
        <v>PR20000834</v>
      </c>
      <c r="N763" t="str">
        <f>"BEL"</f>
        <v>BEL</v>
      </c>
      <c r="O763">
        <v>174</v>
      </c>
      <c r="P763" t="str">
        <f>"$"</f>
        <v>$</v>
      </c>
      <c r="Q763" t="str">
        <f>"117"</f>
        <v>117</v>
      </c>
      <c r="R763" t="str">
        <f>"רתמות"</f>
        <v>רתמות</v>
      </c>
      <c r="S763" t="str">
        <f>"034"</f>
        <v>034</v>
      </c>
      <c r="T763" t="str">
        <f>"מוסקוביץ אולגה"</f>
        <v>מוסקוביץ אולגה</v>
      </c>
      <c r="U763">
        <v>0</v>
      </c>
      <c r="V763">
        <v>0</v>
      </c>
      <c r="W763">
        <v>174</v>
      </c>
      <c r="X763">
        <v>696</v>
      </c>
      <c r="Z763" t="str">
        <f>"Y"</f>
        <v>Y</v>
      </c>
      <c r="AA763">
        <v>0</v>
      </c>
      <c r="AC763">
        <v>0</v>
      </c>
      <c r="AE763">
        <v>0</v>
      </c>
      <c r="AF763">
        <v>0</v>
      </c>
      <c r="AG763">
        <v>581.86</v>
      </c>
      <c r="AH763">
        <v>0</v>
      </c>
      <c r="AI763" s="2">
        <v>2327.42</v>
      </c>
      <c r="AJ763">
        <v>696</v>
      </c>
      <c r="AK763">
        <v>696</v>
      </c>
      <c r="AL763" t="str">
        <f>"$"</f>
        <v>$</v>
      </c>
    </row>
    <row r="764" spans="1:38" x14ac:dyDescent="0.3">
      <c r="A764" t="str">
        <f>"SO20000532"</f>
        <v>SO20000532</v>
      </c>
      <c r="B764" t="str">
        <f>"E000321177"</f>
        <v>E000321177</v>
      </c>
      <c r="C764" t="str">
        <f>"בוצעה"</f>
        <v>בוצעה</v>
      </c>
      <c r="E764" s="3">
        <v>44155</v>
      </c>
      <c r="F764" s="3">
        <v>44593</v>
      </c>
      <c r="G764" t="str">
        <f>"700065"</f>
        <v>700065</v>
      </c>
      <c r="H764" t="str">
        <f>"אלתא מערכות בע""מ"</f>
        <v>אלתא מערכות בע"מ</v>
      </c>
      <c r="I764" t="str">
        <f>"ערן שלו"</f>
        <v>ערן שלו</v>
      </c>
      <c r="J764" t="str">
        <f>"OP-AR02104"</f>
        <v>OP-AR02104</v>
      </c>
      <c r="K764" s="1" t="str">
        <f>"1032F921-001/-   ETHERNET CABLE MFR-W921 - FILTE"</f>
        <v>1032F921-001/-   ETHERNET CABLE MFR-W921 - FILTE</v>
      </c>
      <c r="L764">
        <v>4</v>
      </c>
      <c r="M764" t="str">
        <f>"PR20000834"</f>
        <v>PR20000834</v>
      </c>
      <c r="N764" t="str">
        <f>"BEL"</f>
        <v>BEL</v>
      </c>
      <c r="O764">
        <v>174</v>
      </c>
      <c r="P764" t="str">
        <f>"$"</f>
        <v>$</v>
      </c>
      <c r="Q764" t="str">
        <f>"117"</f>
        <v>117</v>
      </c>
      <c r="R764" t="str">
        <f>"רתמות"</f>
        <v>רתמות</v>
      </c>
      <c r="S764" t="str">
        <f>"034"</f>
        <v>034</v>
      </c>
      <c r="T764" t="str">
        <f>"מוסקוביץ אולגה"</f>
        <v>מוסקוביץ אולגה</v>
      </c>
      <c r="U764">
        <v>0</v>
      </c>
      <c r="V764">
        <v>0</v>
      </c>
      <c r="W764">
        <v>174</v>
      </c>
      <c r="X764">
        <v>696</v>
      </c>
      <c r="Z764" t="str">
        <f>"Y"</f>
        <v>Y</v>
      </c>
      <c r="AA764">
        <v>0</v>
      </c>
      <c r="AC764">
        <v>0</v>
      </c>
      <c r="AE764">
        <v>0</v>
      </c>
      <c r="AF764">
        <v>0</v>
      </c>
      <c r="AG764">
        <v>581.86</v>
      </c>
      <c r="AH764">
        <v>0</v>
      </c>
      <c r="AI764" s="2">
        <v>2327.42</v>
      </c>
      <c r="AJ764">
        <v>696</v>
      </c>
      <c r="AK764">
        <v>696</v>
      </c>
      <c r="AL764" t="str">
        <f>"$"</f>
        <v>$</v>
      </c>
    </row>
    <row r="765" spans="1:38" x14ac:dyDescent="0.3">
      <c r="A765" t="str">
        <f>"SO20000532"</f>
        <v>SO20000532</v>
      </c>
      <c r="B765" t="str">
        <f>"E000321177"</f>
        <v>E000321177</v>
      </c>
      <c r="C765" t="str">
        <f>"בוצעה"</f>
        <v>בוצעה</v>
      </c>
      <c r="E765" s="3">
        <v>44155</v>
      </c>
      <c r="F765" s="3">
        <v>45047</v>
      </c>
      <c r="G765" t="str">
        <f>"700065"</f>
        <v>700065</v>
      </c>
      <c r="H765" t="str">
        <f>"אלתא מערכות בע""מ"</f>
        <v>אלתא מערכות בע"מ</v>
      </c>
      <c r="I765" t="str">
        <f>"ערן שלו"</f>
        <v>ערן שלו</v>
      </c>
      <c r="J765" t="str">
        <f>"OP-AR02104"</f>
        <v>OP-AR02104</v>
      </c>
      <c r="K765" s="1" t="str">
        <f>"1032F921-001/-   ETHERNET CABLE MFR-W921 - FILTE"</f>
        <v>1032F921-001/-   ETHERNET CABLE MFR-W921 - FILTE</v>
      </c>
      <c r="L765">
        <v>4</v>
      </c>
      <c r="M765" t="str">
        <f>"PR20000834"</f>
        <v>PR20000834</v>
      </c>
      <c r="N765" t="str">
        <f>"BEL"</f>
        <v>BEL</v>
      </c>
      <c r="O765">
        <v>174</v>
      </c>
      <c r="P765" t="str">
        <f>"$"</f>
        <v>$</v>
      </c>
      <c r="Q765" t="str">
        <f>"117"</f>
        <v>117</v>
      </c>
      <c r="R765" t="str">
        <f>"רתמות"</f>
        <v>רתמות</v>
      </c>
      <c r="S765" t="str">
        <f>"034"</f>
        <v>034</v>
      </c>
      <c r="T765" t="str">
        <f>"מוסקוביץ אולגה"</f>
        <v>מוסקוביץ אולגה</v>
      </c>
      <c r="U765">
        <v>0</v>
      </c>
      <c r="V765">
        <v>0</v>
      </c>
      <c r="W765">
        <v>174</v>
      </c>
      <c r="X765">
        <v>696</v>
      </c>
      <c r="Z765" t="str">
        <f>"Y"</f>
        <v>Y</v>
      </c>
      <c r="AA765">
        <v>0</v>
      </c>
      <c r="AC765">
        <v>0</v>
      </c>
      <c r="AE765">
        <v>0</v>
      </c>
      <c r="AF765">
        <v>0</v>
      </c>
      <c r="AG765">
        <v>581.86</v>
      </c>
      <c r="AH765">
        <v>0</v>
      </c>
      <c r="AI765" s="2">
        <v>2327.42</v>
      </c>
      <c r="AJ765">
        <v>696</v>
      </c>
      <c r="AK765">
        <v>696</v>
      </c>
      <c r="AL765" t="str">
        <f>"$"</f>
        <v>$</v>
      </c>
    </row>
    <row r="766" spans="1:38" x14ac:dyDescent="0.3">
      <c r="A766" t="str">
        <f>"SO20000532"</f>
        <v>SO20000532</v>
      </c>
      <c r="B766" t="str">
        <f>"E000321177"</f>
        <v>E000321177</v>
      </c>
      <c r="C766" t="str">
        <f>"בוצעה"</f>
        <v>בוצעה</v>
      </c>
      <c r="E766" s="3">
        <v>44155</v>
      </c>
      <c r="F766" s="3">
        <v>45047</v>
      </c>
      <c r="G766" t="str">
        <f>"700065"</f>
        <v>700065</v>
      </c>
      <c r="H766" t="str">
        <f>"אלתא מערכות בע""מ"</f>
        <v>אלתא מערכות בע"מ</v>
      </c>
      <c r="I766" t="str">
        <f>"ערן שלו"</f>
        <v>ערן שלו</v>
      </c>
      <c r="J766" t="str">
        <f>"OP-AR02104"</f>
        <v>OP-AR02104</v>
      </c>
      <c r="K766" s="1" t="str">
        <f>"1032F921-001/-   ETHERNET CABLE MFR-W921 - FILTE"</f>
        <v>1032F921-001/-   ETHERNET CABLE MFR-W921 - FILTE</v>
      </c>
      <c r="L766">
        <v>4</v>
      </c>
      <c r="M766" t="str">
        <f>"PR20000834"</f>
        <v>PR20000834</v>
      </c>
      <c r="N766" t="str">
        <f>"BEL"</f>
        <v>BEL</v>
      </c>
      <c r="O766">
        <v>174</v>
      </c>
      <c r="P766" t="str">
        <f>"$"</f>
        <v>$</v>
      </c>
      <c r="Q766" t="str">
        <f>"117"</f>
        <v>117</v>
      </c>
      <c r="R766" t="str">
        <f>"רתמות"</f>
        <v>רתמות</v>
      </c>
      <c r="S766" t="str">
        <f>"034"</f>
        <v>034</v>
      </c>
      <c r="T766" t="str">
        <f>"מוסקוביץ אולגה"</f>
        <v>מוסקוביץ אולגה</v>
      </c>
      <c r="U766">
        <v>0</v>
      </c>
      <c r="V766">
        <v>0</v>
      </c>
      <c r="W766">
        <v>174</v>
      </c>
      <c r="X766">
        <v>696</v>
      </c>
      <c r="Z766" t="str">
        <f>"Y"</f>
        <v>Y</v>
      </c>
      <c r="AA766">
        <v>0</v>
      </c>
      <c r="AC766">
        <v>0</v>
      </c>
      <c r="AE766">
        <v>0</v>
      </c>
      <c r="AF766">
        <v>0</v>
      </c>
      <c r="AG766">
        <v>581.86</v>
      </c>
      <c r="AH766">
        <v>0</v>
      </c>
      <c r="AI766" s="2">
        <v>2327.42</v>
      </c>
      <c r="AJ766">
        <v>696</v>
      </c>
      <c r="AK766">
        <v>696</v>
      </c>
      <c r="AL766" t="str">
        <f>"$"</f>
        <v>$</v>
      </c>
    </row>
    <row r="767" spans="1:38" x14ac:dyDescent="0.3">
      <c r="A767" t="str">
        <f>"SO20000532"</f>
        <v>SO20000532</v>
      </c>
      <c r="B767" t="str">
        <f>"E000321177"</f>
        <v>E000321177</v>
      </c>
      <c r="C767" t="str">
        <f>"בוצעה"</f>
        <v>בוצעה</v>
      </c>
      <c r="E767" s="3">
        <v>44155</v>
      </c>
      <c r="F767" s="3">
        <v>44242</v>
      </c>
      <c r="G767" t="str">
        <f>"700065"</f>
        <v>700065</v>
      </c>
      <c r="H767" t="str">
        <f>"אלתא מערכות בע""מ"</f>
        <v>אלתא מערכות בע"מ</v>
      </c>
      <c r="I767" t="str">
        <f>"ערן שלו"</f>
        <v>ערן שלו</v>
      </c>
      <c r="J767" t="str">
        <f>"OP-AR02105"</f>
        <v>OP-AR02105</v>
      </c>
      <c r="K767" s="1" t="str">
        <f>"1032F922-001/-   ETHERNET CABLE MFR-W922 - FILTE"</f>
        <v>1032F922-001/-   ETHERNET CABLE MFR-W922 - FILTE</v>
      </c>
      <c r="L767">
        <v>8</v>
      </c>
      <c r="M767" t="str">
        <f>"PR20000834"</f>
        <v>PR20000834</v>
      </c>
      <c r="N767" t="str">
        <f>"BEL"</f>
        <v>BEL</v>
      </c>
      <c r="O767">
        <v>174</v>
      </c>
      <c r="P767" t="str">
        <f>"$"</f>
        <v>$</v>
      </c>
      <c r="Q767" t="str">
        <f>"117"</f>
        <v>117</v>
      </c>
      <c r="R767" t="str">
        <f>"רתמות"</f>
        <v>רתמות</v>
      </c>
      <c r="S767" t="str">
        <f>"034"</f>
        <v>034</v>
      </c>
      <c r="T767" t="str">
        <f>"מוסקוביץ אולגה"</f>
        <v>מוסקוביץ אולגה</v>
      </c>
      <c r="U767">
        <v>0</v>
      </c>
      <c r="V767">
        <v>0</v>
      </c>
      <c r="W767">
        <v>174</v>
      </c>
      <c r="X767" s="2">
        <v>1392</v>
      </c>
      <c r="Z767" t="str">
        <f>"Y"</f>
        <v>Y</v>
      </c>
      <c r="AA767">
        <v>0</v>
      </c>
      <c r="AC767">
        <v>0</v>
      </c>
      <c r="AE767">
        <v>0</v>
      </c>
      <c r="AF767">
        <v>0</v>
      </c>
      <c r="AG767">
        <v>581.86</v>
      </c>
      <c r="AH767">
        <v>0</v>
      </c>
      <c r="AI767" s="2">
        <v>4654.8500000000004</v>
      </c>
      <c r="AJ767" s="2">
        <v>1392</v>
      </c>
      <c r="AK767" s="2">
        <v>1392</v>
      </c>
      <c r="AL767" t="str">
        <f>"$"</f>
        <v>$</v>
      </c>
    </row>
    <row r="768" spans="1:38" x14ac:dyDescent="0.3">
      <c r="A768" t="str">
        <f>"SO20000532"</f>
        <v>SO20000532</v>
      </c>
      <c r="B768" t="str">
        <f>"E000321177"</f>
        <v>E000321177</v>
      </c>
      <c r="C768" t="str">
        <f>"בוצעה"</f>
        <v>בוצעה</v>
      </c>
      <c r="E768" s="3">
        <v>44155</v>
      </c>
      <c r="F768" s="3">
        <v>44378</v>
      </c>
      <c r="G768" t="str">
        <f>"700065"</f>
        <v>700065</v>
      </c>
      <c r="H768" t="str">
        <f>"אלתא מערכות בע""מ"</f>
        <v>אלתא מערכות בע"מ</v>
      </c>
      <c r="I768" t="str">
        <f>"ערן שלו"</f>
        <v>ערן שלו</v>
      </c>
      <c r="J768" t="str">
        <f>"OP-AR02105"</f>
        <v>OP-AR02105</v>
      </c>
      <c r="K768" s="1" t="str">
        <f>"1032F922-001/-   ETHERNET CABLE MFR-W922 - FILTE"</f>
        <v>1032F922-001/-   ETHERNET CABLE MFR-W922 - FILTE</v>
      </c>
      <c r="L768">
        <v>4</v>
      </c>
      <c r="M768" t="str">
        <f>"PR20000834"</f>
        <v>PR20000834</v>
      </c>
      <c r="N768" t="str">
        <f>"BEL"</f>
        <v>BEL</v>
      </c>
      <c r="O768">
        <v>174</v>
      </c>
      <c r="P768" t="str">
        <f>"$"</f>
        <v>$</v>
      </c>
      <c r="Q768" t="str">
        <f>"117"</f>
        <v>117</v>
      </c>
      <c r="R768" t="str">
        <f>"רתמות"</f>
        <v>רתמות</v>
      </c>
      <c r="S768" t="str">
        <f>"034"</f>
        <v>034</v>
      </c>
      <c r="T768" t="str">
        <f>"מוסקוביץ אולגה"</f>
        <v>מוסקוביץ אולגה</v>
      </c>
      <c r="U768">
        <v>0</v>
      </c>
      <c r="V768">
        <v>0</v>
      </c>
      <c r="W768">
        <v>174</v>
      </c>
      <c r="X768">
        <v>696</v>
      </c>
      <c r="Z768" t="str">
        <f>"Y"</f>
        <v>Y</v>
      </c>
      <c r="AA768">
        <v>0</v>
      </c>
      <c r="AC768">
        <v>0</v>
      </c>
      <c r="AE768">
        <v>0</v>
      </c>
      <c r="AF768">
        <v>0</v>
      </c>
      <c r="AG768">
        <v>581.86</v>
      </c>
      <c r="AH768">
        <v>0</v>
      </c>
      <c r="AI768" s="2">
        <v>2327.42</v>
      </c>
      <c r="AJ768">
        <v>696</v>
      </c>
      <c r="AK768">
        <v>696</v>
      </c>
      <c r="AL768" t="str">
        <f>"$"</f>
        <v>$</v>
      </c>
    </row>
    <row r="769" spans="1:38" x14ac:dyDescent="0.3">
      <c r="A769" t="str">
        <f>"SO20000532"</f>
        <v>SO20000532</v>
      </c>
      <c r="B769" t="str">
        <f>"E000321177"</f>
        <v>E000321177</v>
      </c>
      <c r="C769" t="str">
        <f>"בוצעה"</f>
        <v>בוצעה</v>
      </c>
      <c r="E769" s="3">
        <v>44155</v>
      </c>
      <c r="F769" s="3">
        <v>44378</v>
      </c>
      <c r="G769" t="str">
        <f>"700065"</f>
        <v>700065</v>
      </c>
      <c r="H769" t="str">
        <f>"אלתא מערכות בע""מ"</f>
        <v>אלתא מערכות בע"מ</v>
      </c>
      <c r="I769" t="str">
        <f>"ערן שלו"</f>
        <v>ערן שלו</v>
      </c>
      <c r="J769" t="str">
        <f>"OP-AR02105"</f>
        <v>OP-AR02105</v>
      </c>
      <c r="K769" s="1" t="str">
        <f>"1032F922-001/-   ETHERNET CABLE MFR-W922 - FILTE"</f>
        <v>1032F922-001/-   ETHERNET CABLE MFR-W922 - FILTE</v>
      </c>
      <c r="L769">
        <v>4</v>
      </c>
      <c r="M769" t="str">
        <f>"PR20000834"</f>
        <v>PR20000834</v>
      </c>
      <c r="N769" t="str">
        <f>"BEL"</f>
        <v>BEL</v>
      </c>
      <c r="O769">
        <v>174</v>
      </c>
      <c r="P769" t="str">
        <f>"$"</f>
        <v>$</v>
      </c>
      <c r="Q769" t="str">
        <f>"117"</f>
        <v>117</v>
      </c>
      <c r="R769" t="str">
        <f>"רתמות"</f>
        <v>רתמות</v>
      </c>
      <c r="S769" t="str">
        <f>"034"</f>
        <v>034</v>
      </c>
      <c r="T769" t="str">
        <f>"מוסקוביץ אולגה"</f>
        <v>מוסקוביץ אולגה</v>
      </c>
      <c r="U769">
        <v>0</v>
      </c>
      <c r="V769">
        <v>0</v>
      </c>
      <c r="W769">
        <v>174</v>
      </c>
      <c r="X769">
        <v>696</v>
      </c>
      <c r="Z769" t="str">
        <f>"Y"</f>
        <v>Y</v>
      </c>
      <c r="AA769">
        <v>0</v>
      </c>
      <c r="AC769">
        <v>0</v>
      </c>
      <c r="AE769">
        <v>0</v>
      </c>
      <c r="AF769">
        <v>0</v>
      </c>
      <c r="AG769">
        <v>581.86</v>
      </c>
      <c r="AH769">
        <v>0</v>
      </c>
      <c r="AI769" s="2">
        <v>2327.42</v>
      </c>
      <c r="AJ769">
        <v>696</v>
      </c>
      <c r="AK769">
        <v>696</v>
      </c>
      <c r="AL769" t="str">
        <f>"$"</f>
        <v>$</v>
      </c>
    </row>
    <row r="770" spans="1:38" x14ac:dyDescent="0.3">
      <c r="A770" t="str">
        <f>"SO20000532"</f>
        <v>SO20000532</v>
      </c>
      <c r="B770" t="str">
        <f>"E000321177"</f>
        <v>E000321177</v>
      </c>
      <c r="C770" t="str">
        <f>"בוצעה"</f>
        <v>בוצעה</v>
      </c>
      <c r="E770" s="3">
        <v>44155</v>
      </c>
      <c r="F770" s="3">
        <v>44593</v>
      </c>
      <c r="G770" t="str">
        <f>"700065"</f>
        <v>700065</v>
      </c>
      <c r="H770" t="str">
        <f>"אלתא מערכות בע""מ"</f>
        <v>אלתא מערכות בע"מ</v>
      </c>
      <c r="I770" t="str">
        <f>"ערן שלו"</f>
        <v>ערן שלו</v>
      </c>
      <c r="J770" t="str">
        <f>"OP-AR02105"</f>
        <v>OP-AR02105</v>
      </c>
      <c r="K770" s="1" t="str">
        <f>"1032F922-001/-   ETHERNET CABLE MFR-W922 - FILTE"</f>
        <v>1032F922-001/-   ETHERNET CABLE MFR-W922 - FILTE</v>
      </c>
      <c r="L770">
        <v>4</v>
      </c>
      <c r="M770" t="str">
        <f>"PR20000834"</f>
        <v>PR20000834</v>
      </c>
      <c r="N770" t="str">
        <f>"BEL"</f>
        <v>BEL</v>
      </c>
      <c r="O770">
        <v>174</v>
      </c>
      <c r="P770" t="str">
        <f>"$"</f>
        <v>$</v>
      </c>
      <c r="Q770" t="str">
        <f>"117"</f>
        <v>117</v>
      </c>
      <c r="R770" t="str">
        <f>"רתמות"</f>
        <v>רתמות</v>
      </c>
      <c r="S770" t="str">
        <f>"034"</f>
        <v>034</v>
      </c>
      <c r="T770" t="str">
        <f>"מוסקוביץ אולגה"</f>
        <v>מוסקוביץ אולגה</v>
      </c>
      <c r="U770">
        <v>0</v>
      </c>
      <c r="V770">
        <v>0</v>
      </c>
      <c r="W770">
        <v>174</v>
      </c>
      <c r="X770">
        <v>696</v>
      </c>
      <c r="Z770" t="str">
        <f>"Y"</f>
        <v>Y</v>
      </c>
      <c r="AA770">
        <v>0</v>
      </c>
      <c r="AC770">
        <v>0</v>
      </c>
      <c r="AE770">
        <v>0</v>
      </c>
      <c r="AF770">
        <v>0</v>
      </c>
      <c r="AG770">
        <v>581.86</v>
      </c>
      <c r="AH770">
        <v>0</v>
      </c>
      <c r="AI770" s="2">
        <v>2327.42</v>
      </c>
      <c r="AJ770">
        <v>696</v>
      </c>
      <c r="AK770">
        <v>696</v>
      </c>
      <c r="AL770" t="str">
        <f>"$"</f>
        <v>$</v>
      </c>
    </row>
    <row r="771" spans="1:38" x14ac:dyDescent="0.3">
      <c r="A771" t="str">
        <f>"SO20000532"</f>
        <v>SO20000532</v>
      </c>
      <c r="B771" t="str">
        <f>"E000321177"</f>
        <v>E000321177</v>
      </c>
      <c r="C771" t="str">
        <f>"בוצעה"</f>
        <v>בוצעה</v>
      </c>
      <c r="E771" s="3">
        <v>44155</v>
      </c>
      <c r="F771" s="3">
        <v>45047</v>
      </c>
      <c r="G771" t="str">
        <f>"700065"</f>
        <v>700065</v>
      </c>
      <c r="H771" t="str">
        <f>"אלתא מערכות בע""מ"</f>
        <v>אלתא מערכות בע"מ</v>
      </c>
      <c r="I771" t="str">
        <f>"ערן שלו"</f>
        <v>ערן שלו</v>
      </c>
      <c r="J771" t="str">
        <f>"OP-AR02105"</f>
        <v>OP-AR02105</v>
      </c>
      <c r="K771" s="1" t="str">
        <f>"1032F922-001/-   ETHERNET CABLE MFR-W922 - FILTE"</f>
        <v>1032F922-001/-   ETHERNET CABLE MFR-W922 - FILTE</v>
      </c>
      <c r="L771">
        <v>4</v>
      </c>
      <c r="M771" t="str">
        <f>"PR20000834"</f>
        <v>PR20000834</v>
      </c>
      <c r="N771" t="str">
        <f>"BEL"</f>
        <v>BEL</v>
      </c>
      <c r="O771">
        <v>174</v>
      </c>
      <c r="P771" t="str">
        <f>"$"</f>
        <v>$</v>
      </c>
      <c r="Q771" t="str">
        <f>"117"</f>
        <v>117</v>
      </c>
      <c r="R771" t="str">
        <f>"רתמות"</f>
        <v>רתמות</v>
      </c>
      <c r="S771" t="str">
        <f>"034"</f>
        <v>034</v>
      </c>
      <c r="T771" t="str">
        <f>"מוסקוביץ אולגה"</f>
        <v>מוסקוביץ אולגה</v>
      </c>
      <c r="U771">
        <v>0</v>
      </c>
      <c r="V771">
        <v>0</v>
      </c>
      <c r="W771">
        <v>174</v>
      </c>
      <c r="X771">
        <v>696</v>
      </c>
      <c r="Z771" t="str">
        <f>"Y"</f>
        <v>Y</v>
      </c>
      <c r="AA771">
        <v>0</v>
      </c>
      <c r="AC771">
        <v>0</v>
      </c>
      <c r="AE771">
        <v>0</v>
      </c>
      <c r="AF771">
        <v>0</v>
      </c>
      <c r="AG771">
        <v>581.86</v>
      </c>
      <c r="AH771">
        <v>0</v>
      </c>
      <c r="AI771" s="2">
        <v>2327.42</v>
      </c>
      <c r="AJ771">
        <v>696</v>
      </c>
      <c r="AK771">
        <v>696</v>
      </c>
      <c r="AL771" t="str">
        <f>"$"</f>
        <v>$</v>
      </c>
    </row>
    <row r="772" spans="1:38" x14ac:dyDescent="0.3">
      <c r="A772" t="str">
        <f>"SO20000532"</f>
        <v>SO20000532</v>
      </c>
      <c r="B772" t="str">
        <f>"E000321177"</f>
        <v>E000321177</v>
      </c>
      <c r="C772" t="str">
        <f>"בוצעה"</f>
        <v>בוצעה</v>
      </c>
      <c r="E772" s="3">
        <v>44155</v>
      </c>
      <c r="F772" s="3">
        <v>45047</v>
      </c>
      <c r="G772" t="str">
        <f>"700065"</f>
        <v>700065</v>
      </c>
      <c r="H772" t="str">
        <f>"אלתא מערכות בע""מ"</f>
        <v>אלתא מערכות בע"מ</v>
      </c>
      <c r="I772" t="str">
        <f>"ערן שלו"</f>
        <v>ערן שלו</v>
      </c>
      <c r="J772" t="str">
        <f>"OP-AR02105"</f>
        <v>OP-AR02105</v>
      </c>
      <c r="K772" s="1" t="str">
        <f>"1032F922-001/-   ETHERNET CABLE MFR-W922 - FILTE"</f>
        <v>1032F922-001/-   ETHERNET CABLE MFR-W922 - FILTE</v>
      </c>
      <c r="L772">
        <v>4</v>
      </c>
      <c r="M772" t="str">
        <f>"PR20000834"</f>
        <v>PR20000834</v>
      </c>
      <c r="N772" t="str">
        <f>"BEL"</f>
        <v>BEL</v>
      </c>
      <c r="O772">
        <v>174</v>
      </c>
      <c r="P772" t="str">
        <f>"$"</f>
        <v>$</v>
      </c>
      <c r="Q772" t="str">
        <f>"117"</f>
        <v>117</v>
      </c>
      <c r="R772" t="str">
        <f>"רתמות"</f>
        <v>רתמות</v>
      </c>
      <c r="S772" t="str">
        <f>"034"</f>
        <v>034</v>
      </c>
      <c r="T772" t="str">
        <f>"מוסקוביץ אולגה"</f>
        <v>מוסקוביץ אולגה</v>
      </c>
      <c r="U772">
        <v>0</v>
      </c>
      <c r="V772">
        <v>0</v>
      </c>
      <c r="W772">
        <v>174</v>
      </c>
      <c r="X772">
        <v>696</v>
      </c>
      <c r="Z772" t="str">
        <f>"Y"</f>
        <v>Y</v>
      </c>
      <c r="AA772">
        <v>0</v>
      </c>
      <c r="AC772">
        <v>0</v>
      </c>
      <c r="AE772">
        <v>0</v>
      </c>
      <c r="AF772">
        <v>0</v>
      </c>
      <c r="AG772">
        <v>581.86</v>
      </c>
      <c r="AH772">
        <v>0</v>
      </c>
      <c r="AI772" s="2">
        <v>2327.42</v>
      </c>
      <c r="AJ772">
        <v>696</v>
      </c>
      <c r="AK772">
        <v>696</v>
      </c>
      <c r="AL772" t="str">
        <f>"$"</f>
        <v>$</v>
      </c>
    </row>
    <row r="773" spans="1:38" x14ac:dyDescent="0.3">
      <c r="A773" t="str">
        <f>"SO20000532"</f>
        <v>SO20000532</v>
      </c>
      <c r="B773" t="str">
        <f>"E000321177"</f>
        <v>E000321177</v>
      </c>
      <c r="C773" t="str">
        <f>"בוצעה"</f>
        <v>בוצעה</v>
      </c>
      <c r="E773" s="3">
        <v>44155</v>
      </c>
      <c r="F773" s="3">
        <v>44242</v>
      </c>
      <c r="G773" t="str">
        <f>"700065"</f>
        <v>700065</v>
      </c>
      <c r="H773" t="str">
        <f>"אלתא מערכות בע""מ"</f>
        <v>אלתא מערכות בע"מ</v>
      </c>
      <c r="I773" t="str">
        <f>"ערן שלו"</f>
        <v>ערן שלו</v>
      </c>
      <c r="J773" t="str">
        <f>"OP-AR02106"</f>
        <v>OP-AR02106</v>
      </c>
      <c r="K773" s="1" t="str">
        <f>"1032F923-001/-   ETHERNET CABLE MFR-W923 - FILTE"</f>
        <v>1032F923-001/-   ETHERNET CABLE MFR-W923 - FILTE</v>
      </c>
      <c r="L773">
        <v>8</v>
      </c>
      <c r="M773" t="str">
        <f>"PR20000834"</f>
        <v>PR20000834</v>
      </c>
      <c r="N773" t="str">
        <f>"BEL"</f>
        <v>BEL</v>
      </c>
      <c r="O773">
        <v>174</v>
      </c>
      <c r="P773" t="str">
        <f>"$"</f>
        <v>$</v>
      </c>
      <c r="Q773" t="str">
        <f>"117"</f>
        <v>117</v>
      </c>
      <c r="R773" t="str">
        <f>"רתמות"</f>
        <v>רתמות</v>
      </c>
      <c r="S773" t="str">
        <f>"034"</f>
        <v>034</v>
      </c>
      <c r="T773" t="str">
        <f>"מוסקוביץ אולגה"</f>
        <v>מוסקוביץ אולגה</v>
      </c>
      <c r="U773">
        <v>0</v>
      </c>
      <c r="V773">
        <v>0</v>
      </c>
      <c r="W773">
        <v>174</v>
      </c>
      <c r="X773" s="2">
        <v>1392</v>
      </c>
      <c r="Z773" t="str">
        <f>"Y"</f>
        <v>Y</v>
      </c>
      <c r="AA773">
        <v>0</v>
      </c>
      <c r="AC773">
        <v>0</v>
      </c>
      <c r="AE773">
        <v>0</v>
      </c>
      <c r="AF773">
        <v>0</v>
      </c>
      <c r="AG773">
        <v>581.86</v>
      </c>
      <c r="AH773">
        <v>0</v>
      </c>
      <c r="AI773" s="2">
        <v>4654.8500000000004</v>
      </c>
      <c r="AJ773" s="2">
        <v>1392</v>
      </c>
      <c r="AK773" s="2">
        <v>1392</v>
      </c>
      <c r="AL773" t="str">
        <f>"$"</f>
        <v>$</v>
      </c>
    </row>
    <row r="774" spans="1:38" x14ac:dyDescent="0.3">
      <c r="A774" t="str">
        <f>"SO20000532"</f>
        <v>SO20000532</v>
      </c>
      <c r="B774" t="str">
        <f>"E000321177"</f>
        <v>E000321177</v>
      </c>
      <c r="C774" t="str">
        <f>"בוצעה"</f>
        <v>בוצעה</v>
      </c>
      <c r="E774" s="3">
        <v>44155</v>
      </c>
      <c r="F774" s="3">
        <v>44378</v>
      </c>
      <c r="G774" t="str">
        <f>"700065"</f>
        <v>700065</v>
      </c>
      <c r="H774" t="str">
        <f>"אלתא מערכות בע""מ"</f>
        <v>אלתא מערכות בע"מ</v>
      </c>
      <c r="I774" t="str">
        <f>"ערן שלו"</f>
        <v>ערן שלו</v>
      </c>
      <c r="J774" t="str">
        <f>"OP-AR02106"</f>
        <v>OP-AR02106</v>
      </c>
      <c r="K774" s="1" t="str">
        <f>"1032F923-001/-   ETHERNET CABLE MFR-W923 - FILTE"</f>
        <v>1032F923-001/-   ETHERNET CABLE MFR-W923 - FILTE</v>
      </c>
      <c r="L774">
        <v>4</v>
      </c>
      <c r="M774" t="str">
        <f>"PR20000834"</f>
        <v>PR20000834</v>
      </c>
      <c r="N774" t="str">
        <f>"BEL"</f>
        <v>BEL</v>
      </c>
      <c r="O774">
        <v>174</v>
      </c>
      <c r="P774" t="str">
        <f>"$"</f>
        <v>$</v>
      </c>
      <c r="Q774" t="str">
        <f>"117"</f>
        <v>117</v>
      </c>
      <c r="R774" t="str">
        <f>"רתמות"</f>
        <v>רתמות</v>
      </c>
      <c r="S774" t="str">
        <f>"034"</f>
        <v>034</v>
      </c>
      <c r="T774" t="str">
        <f>"מוסקוביץ אולגה"</f>
        <v>מוסקוביץ אולגה</v>
      </c>
      <c r="U774">
        <v>0</v>
      </c>
      <c r="V774">
        <v>0</v>
      </c>
      <c r="W774">
        <v>174</v>
      </c>
      <c r="X774">
        <v>696</v>
      </c>
      <c r="Z774" t="str">
        <f>"Y"</f>
        <v>Y</v>
      </c>
      <c r="AA774">
        <v>0</v>
      </c>
      <c r="AC774">
        <v>0</v>
      </c>
      <c r="AE774">
        <v>0</v>
      </c>
      <c r="AF774">
        <v>0</v>
      </c>
      <c r="AG774">
        <v>581.86</v>
      </c>
      <c r="AH774">
        <v>0</v>
      </c>
      <c r="AI774" s="2">
        <v>2327.42</v>
      </c>
      <c r="AJ774">
        <v>696</v>
      </c>
      <c r="AK774">
        <v>696</v>
      </c>
      <c r="AL774" t="str">
        <f>"$"</f>
        <v>$</v>
      </c>
    </row>
    <row r="775" spans="1:38" x14ac:dyDescent="0.3">
      <c r="A775" t="str">
        <f>"SO20000532"</f>
        <v>SO20000532</v>
      </c>
      <c r="B775" t="str">
        <f>"E000321177"</f>
        <v>E000321177</v>
      </c>
      <c r="C775" t="str">
        <f>"בוצעה"</f>
        <v>בוצעה</v>
      </c>
      <c r="E775" s="3">
        <v>44155</v>
      </c>
      <c r="F775" s="3">
        <v>44378</v>
      </c>
      <c r="G775" t="str">
        <f>"700065"</f>
        <v>700065</v>
      </c>
      <c r="H775" t="str">
        <f>"אלתא מערכות בע""מ"</f>
        <v>אלתא מערכות בע"מ</v>
      </c>
      <c r="I775" t="str">
        <f>"ערן שלו"</f>
        <v>ערן שלו</v>
      </c>
      <c r="J775" t="str">
        <f>"OP-AR02106"</f>
        <v>OP-AR02106</v>
      </c>
      <c r="K775" s="1" t="str">
        <f>"1032F923-001/-   ETHERNET CABLE MFR-W923 - FILTE"</f>
        <v>1032F923-001/-   ETHERNET CABLE MFR-W923 - FILTE</v>
      </c>
      <c r="L775">
        <v>4</v>
      </c>
      <c r="M775" t="str">
        <f>"PR20000834"</f>
        <v>PR20000834</v>
      </c>
      <c r="N775" t="str">
        <f>"BEL"</f>
        <v>BEL</v>
      </c>
      <c r="O775">
        <v>174</v>
      </c>
      <c r="P775" t="str">
        <f>"$"</f>
        <v>$</v>
      </c>
      <c r="Q775" t="str">
        <f>"117"</f>
        <v>117</v>
      </c>
      <c r="R775" t="str">
        <f>"רתמות"</f>
        <v>רתמות</v>
      </c>
      <c r="S775" t="str">
        <f>"034"</f>
        <v>034</v>
      </c>
      <c r="T775" t="str">
        <f>"מוסקוביץ אולגה"</f>
        <v>מוסקוביץ אולגה</v>
      </c>
      <c r="U775">
        <v>0</v>
      </c>
      <c r="V775">
        <v>0</v>
      </c>
      <c r="W775">
        <v>174</v>
      </c>
      <c r="X775">
        <v>696</v>
      </c>
      <c r="Z775" t="str">
        <f>"Y"</f>
        <v>Y</v>
      </c>
      <c r="AA775">
        <v>0</v>
      </c>
      <c r="AC775">
        <v>0</v>
      </c>
      <c r="AE775">
        <v>0</v>
      </c>
      <c r="AF775">
        <v>0</v>
      </c>
      <c r="AG775">
        <v>581.86</v>
      </c>
      <c r="AH775">
        <v>0</v>
      </c>
      <c r="AI775" s="2">
        <v>2327.42</v>
      </c>
      <c r="AJ775">
        <v>696</v>
      </c>
      <c r="AK775">
        <v>696</v>
      </c>
      <c r="AL775" t="str">
        <f>"$"</f>
        <v>$</v>
      </c>
    </row>
    <row r="776" spans="1:38" x14ac:dyDescent="0.3">
      <c r="A776" t="str">
        <f>"SO20000532"</f>
        <v>SO20000532</v>
      </c>
      <c r="B776" t="str">
        <f>"E000321177"</f>
        <v>E000321177</v>
      </c>
      <c r="C776" t="str">
        <f>"בוצעה"</f>
        <v>בוצעה</v>
      </c>
      <c r="E776" s="3">
        <v>44155</v>
      </c>
      <c r="F776" s="3">
        <v>44593</v>
      </c>
      <c r="G776" t="str">
        <f>"700065"</f>
        <v>700065</v>
      </c>
      <c r="H776" t="str">
        <f>"אלתא מערכות בע""מ"</f>
        <v>אלתא מערכות בע"מ</v>
      </c>
      <c r="I776" t="str">
        <f>"ערן שלו"</f>
        <v>ערן שלו</v>
      </c>
      <c r="J776" t="str">
        <f>"OP-AR02106"</f>
        <v>OP-AR02106</v>
      </c>
      <c r="K776" s="1" t="str">
        <f>"1032F923-001/-   ETHERNET CABLE MFR-W923 - FILTE"</f>
        <v>1032F923-001/-   ETHERNET CABLE MFR-W923 - FILTE</v>
      </c>
      <c r="L776">
        <v>4</v>
      </c>
      <c r="M776" t="str">
        <f>"PR20000834"</f>
        <v>PR20000834</v>
      </c>
      <c r="N776" t="str">
        <f>"BEL"</f>
        <v>BEL</v>
      </c>
      <c r="O776">
        <v>174</v>
      </c>
      <c r="P776" t="str">
        <f>"$"</f>
        <v>$</v>
      </c>
      <c r="Q776" t="str">
        <f>"117"</f>
        <v>117</v>
      </c>
      <c r="R776" t="str">
        <f>"רתמות"</f>
        <v>רתמות</v>
      </c>
      <c r="S776" t="str">
        <f>"034"</f>
        <v>034</v>
      </c>
      <c r="T776" t="str">
        <f>"מוסקוביץ אולגה"</f>
        <v>מוסקוביץ אולגה</v>
      </c>
      <c r="U776">
        <v>0</v>
      </c>
      <c r="V776">
        <v>0</v>
      </c>
      <c r="W776">
        <v>174</v>
      </c>
      <c r="X776">
        <v>696</v>
      </c>
      <c r="Z776" t="str">
        <f>"Y"</f>
        <v>Y</v>
      </c>
      <c r="AA776">
        <v>0</v>
      </c>
      <c r="AC776">
        <v>0</v>
      </c>
      <c r="AE776">
        <v>0</v>
      </c>
      <c r="AF776">
        <v>0</v>
      </c>
      <c r="AG776">
        <v>581.86</v>
      </c>
      <c r="AH776">
        <v>0</v>
      </c>
      <c r="AI776" s="2">
        <v>2327.42</v>
      </c>
      <c r="AJ776">
        <v>696</v>
      </c>
      <c r="AK776">
        <v>696</v>
      </c>
      <c r="AL776" t="str">
        <f>"$"</f>
        <v>$</v>
      </c>
    </row>
    <row r="777" spans="1:38" x14ac:dyDescent="0.3">
      <c r="A777" t="str">
        <f>"SO20000532"</f>
        <v>SO20000532</v>
      </c>
      <c r="B777" t="str">
        <f>"E000321177"</f>
        <v>E000321177</v>
      </c>
      <c r="C777" t="str">
        <f>"בוצעה"</f>
        <v>בוצעה</v>
      </c>
      <c r="E777" s="3">
        <v>44155</v>
      </c>
      <c r="F777" s="3">
        <v>45047</v>
      </c>
      <c r="G777" t="str">
        <f>"700065"</f>
        <v>700065</v>
      </c>
      <c r="H777" t="str">
        <f>"אלתא מערכות בע""מ"</f>
        <v>אלתא מערכות בע"מ</v>
      </c>
      <c r="I777" t="str">
        <f>"ערן שלו"</f>
        <v>ערן שלו</v>
      </c>
      <c r="J777" t="str">
        <f>"OP-AR02106"</f>
        <v>OP-AR02106</v>
      </c>
      <c r="K777" s="1" t="str">
        <f>"1032F923-001/-   ETHERNET CABLE MFR-W923 - FILTE"</f>
        <v>1032F923-001/-   ETHERNET CABLE MFR-W923 - FILTE</v>
      </c>
      <c r="L777">
        <v>4</v>
      </c>
      <c r="M777" t="str">
        <f>"PR20000834"</f>
        <v>PR20000834</v>
      </c>
      <c r="N777" t="str">
        <f>"BEL"</f>
        <v>BEL</v>
      </c>
      <c r="O777">
        <v>174</v>
      </c>
      <c r="P777" t="str">
        <f>"$"</f>
        <v>$</v>
      </c>
      <c r="Q777" t="str">
        <f>"117"</f>
        <v>117</v>
      </c>
      <c r="R777" t="str">
        <f>"רתמות"</f>
        <v>רתמות</v>
      </c>
      <c r="S777" t="str">
        <f>"034"</f>
        <v>034</v>
      </c>
      <c r="T777" t="str">
        <f>"מוסקוביץ אולגה"</f>
        <v>מוסקוביץ אולגה</v>
      </c>
      <c r="U777">
        <v>0</v>
      </c>
      <c r="V777">
        <v>0</v>
      </c>
      <c r="W777">
        <v>174</v>
      </c>
      <c r="X777">
        <v>696</v>
      </c>
      <c r="Z777" t="str">
        <f>"Y"</f>
        <v>Y</v>
      </c>
      <c r="AA777">
        <v>0</v>
      </c>
      <c r="AC777">
        <v>0</v>
      </c>
      <c r="AE777">
        <v>0</v>
      </c>
      <c r="AF777">
        <v>0</v>
      </c>
      <c r="AG777">
        <v>581.86</v>
      </c>
      <c r="AH777">
        <v>0</v>
      </c>
      <c r="AI777" s="2">
        <v>2327.42</v>
      </c>
      <c r="AJ777">
        <v>696</v>
      </c>
      <c r="AK777">
        <v>696</v>
      </c>
      <c r="AL777" t="str">
        <f>"$"</f>
        <v>$</v>
      </c>
    </row>
    <row r="778" spans="1:38" x14ac:dyDescent="0.3">
      <c r="A778" t="str">
        <f>"SO20000532"</f>
        <v>SO20000532</v>
      </c>
      <c r="B778" t="str">
        <f>"E000321177"</f>
        <v>E000321177</v>
      </c>
      <c r="C778" t="str">
        <f>"בוצעה"</f>
        <v>בוצעה</v>
      </c>
      <c r="E778" s="3">
        <v>44155</v>
      </c>
      <c r="F778" s="3">
        <v>45047</v>
      </c>
      <c r="G778" t="str">
        <f>"700065"</f>
        <v>700065</v>
      </c>
      <c r="H778" t="str">
        <f>"אלתא מערכות בע""מ"</f>
        <v>אלתא מערכות בע"מ</v>
      </c>
      <c r="I778" t="str">
        <f>"ערן שלו"</f>
        <v>ערן שלו</v>
      </c>
      <c r="J778" t="str">
        <f>"OP-AR02106"</f>
        <v>OP-AR02106</v>
      </c>
      <c r="K778" s="1" t="str">
        <f>"1032F923-001/-   ETHERNET CABLE MFR-W923 - FILTE"</f>
        <v>1032F923-001/-   ETHERNET CABLE MFR-W923 - FILTE</v>
      </c>
      <c r="L778">
        <v>4</v>
      </c>
      <c r="M778" t="str">
        <f>"PR20000834"</f>
        <v>PR20000834</v>
      </c>
      <c r="N778" t="str">
        <f>"BEL"</f>
        <v>BEL</v>
      </c>
      <c r="O778">
        <v>174</v>
      </c>
      <c r="P778" t="str">
        <f>"$"</f>
        <v>$</v>
      </c>
      <c r="Q778" t="str">
        <f>"117"</f>
        <v>117</v>
      </c>
      <c r="R778" t="str">
        <f>"רתמות"</f>
        <v>רתמות</v>
      </c>
      <c r="S778" t="str">
        <f>"034"</f>
        <v>034</v>
      </c>
      <c r="T778" t="str">
        <f>"מוסקוביץ אולגה"</f>
        <v>מוסקוביץ אולגה</v>
      </c>
      <c r="U778">
        <v>0</v>
      </c>
      <c r="V778">
        <v>0</v>
      </c>
      <c r="W778">
        <v>174</v>
      </c>
      <c r="X778">
        <v>696</v>
      </c>
      <c r="Z778" t="str">
        <f>"Y"</f>
        <v>Y</v>
      </c>
      <c r="AA778">
        <v>0</v>
      </c>
      <c r="AC778">
        <v>0</v>
      </c>
      <c r="AE778">
        <v>0</v>
      </c>
      <c r="AF778">
        <v>0</v>
      </c>
      <c r="AG778">
        <v>581.86</v>
      </c>
      <c r="AH778">
        <v>0</v>
      </c>
      <c r="AI778" s="2">
        <v>2327.42</v>
      </c>
      <c r="AJ778">
        <v>696</v>
      </c>
      <c r="AK778">
        <v>696</v>
      </c>
      <c r="AL778" t="str">
        <f>"$"</f>
        <v>$</v>
      </c>
    </row>
    <row r="779" spans="1:38" x14ac:dyDescent="0.3">
      <c r="A779" t="str">
        <f>"SO20000532"</f>
        <v>SO20000532</v>
      </c>
      <c r="B779" t="str">
        <f>"E000321177"</f>
        <v>E000321177</v>
      </c>
      <c r="C779" t="str">
        <f>"בוצעה"</f>
        <v>בוצעה</v>
      </c>
      <c r="E779" s="3">
        <v>44155</v>
      </c>
      <c r="F779" s="3">
        <v>44242</v>
      </c>
      <c r="G779" t="str">
        <f>"700065"</f>
        <v>700065</v>
      </c>
      <c r="H779" t="str">
        <f>"אלתא מערכות בע""מ"</f>
        <v>אלתא מערכות בע"מ</v>
      </c>
      <c r="I779" t="str">
        <f>"ערן שלו"</f>
        <v>ערן שלו</v>
      </c>
      <c r="J779" t="str">
        <f>"OP-AR02107"</f>
        <v>OP-AR02107</v>
      </c>
      <c r="K779" s="1" t="str">
        <f>"1032F924-001/-   ETHERNET CABLE MFR-W924 - FILTE"</f>
        <v>1032F924-001/-   ETHERNET CABLE MFR-W924 - FILTE</v>
      </c>
      <c r="L779">
        <v>8</v>
      </c>
      <c r="M779" t="str">
        <f>"PR20000834"</f>
        <v>PR20000834</v>
      </c>
      <c r="N779" t="str">
        <f>"BEL"</f>
        <v>BEL</v>
      </c>
      <c r="O779">
        <v>174</v>
      </c>
      <c r="P779" t="str">
        <f>"$"</f>
        <v>$</v>
      </c>
      <c r="Q779" t="str">
        <f>"117"</f>
        <v>117</v>
      </c>
      <c r="R779" t="str">
        <f>"רתמות"</f>
        <v>רתמות</v>
      </c>
      <c r="S779" t="str">
        <f>"034"</f>
        <v>034</v>
      </c>
      <c r="T779" t="str">
        <f>"מוסקוביץ אולגה"</f>
        <v>מוסקוביץ אולגה</v>
      </c>
      <c r="U779">
        <v>0</v>
      </c>
      <c r="V779">
        <v>0</v>
      </c>
      <c r="W779">
        <v>174</v>
      </c>
      <c r="X779" s="2">
        <v>1392</v>
      </c>
      <c r="Z779" t="str">
        <f>"Y"</f>
        <v>Y</v>
      </c>
      <c r="AA779">
        <v>0</v>
      </c>
      <c r="AC779">
        <v>0</v>
      </c>
      <c r="AE779">
        <v>0</v>
      </c>
      <c r="AF779">
        <v>0</v>
      </c>
      <c r="AG779">
        <v>581.86</v>
      </c>
      <c r="AH779">
        <v>0</v>
      </c>
      <c r="AI779" s="2">
        <v>4654.8500000000004</v>
      </c>
      <c r="AJ779" s="2">
        <v>1392</v>
      </c>
      <c r="AK779" s="2">
        <v>1392</v>
      </c>
      <c r="AL779" t="str">
        <f>"$"</f>
        <v>$</v>
      </c>
    </row>
    <row r="780" spans="1:38" x14ac:dyDescent="0.3">
      <c r="A780" t="str">
        <f>"SO20000532"</f>
        <v>SO20000532</v>
      </c>
      <c r="B780" t="str">
        <f>"E000321177"</f>
        <v>E000321177</v>
      </c>
      <c r="C780" t="str">
        <f>"בוצעה"</f>
        <v>בוצעה</v>
      </c>
      <c r="E780" s="3">
        <v>44155</v>
      </c>
      <c r="F780" s="3">
        <v>44378</v>
      </c>
      <c r="G780" t="str">
        <f>"700065"</f>
        <v>700065</v>
      </c>
      <c r="H780" t="str">
        <f>"אלתא מערכות בע""מ"</f>
        <v>אלתא מערכות בע"מ</v>
      </c>
      <c r="I780" t="str">
        <f>"ערן שלו"</f>
        <v>ערן שלו</v>
      </c>
      <c r="J780" t="str">
        <f>"OP-AR02107"</f>
        <v>OP-AR02107</v>
      </c>
      <c r="K780" s="1" t="str">
        <f>"1032F924-001/-   ETHERNET CABLE MFR-W924 - FILTE"</f>
        <v>1032F924-001/-   ETHERNET CABLE MFR-W924 - FILTE</v>
      </c>
      <c r="L780">
        <v>4</v>
      </c>
      <c r="M780" t="str">
        <f>"PR20000834"</f>
        <v>PR20000834</v>
      </c>
      <c r="N780" t="str">
        <f>"BEL"</f>
        <v>BEL</v>
      </c>
      <c r="O780">
        <v>174</v>
      </c>
      <c r="P780" t="str">
        <f>"$"</f>
        <v>$</v>
      </c>
      <c r="Q780" t="str">
        <f>"117"</f>
        <v>117</v>
      </c>
      <c r="R780" t="str">
        <f>"רתמות"</f>
        <v>רתמות</v>
      </c>
      <c r="S780" t="str">
        <f>"034"</f>
        <v>034</v>
      </c>
      <c r="T780" t="str">
        <f>"מוסקוביץ אולגה"</f>
        <v>מוסקוביץ אולגה</v>
      </c>
      <c r="U780">
        <v>0</v>
      </c>
      <c r="V780">
        <v>0</v>
      </c>
      <c r="W780">
        <v>174</v>
      </c>
      <c r="X780">
        <v>696</v>
      </c>
      <c r="Z780" t="str">
        <f>"Y"</f>
        <v>Y</v>
      </c>
      <c r="AA780">
        <v>0</v>
      </c>
      <c r="AC780">
        <v>0</v>
      </c>
      <c r="AE780">
        <v>0</v>
      </c>
      <c r="AF780">
        <v>0</v>
      </c>
      <c r="AG780">
        <v>581.86</v>
      </c>
      <c r="AH780">
        <v>0</v>
      </c>
      <c r="AI780" s="2">
        <v>2327.42</v>
      </c>
      <c r="AJ780">
        <v>696</v>
      </c>
      <c r="AK780">
        <v>696</v>
      </c>
      <c r="AL780" t="str">
        <f>"$"</f>
        <v>$</v>
      </c>
    </row>
    <row r="781" spans="1:38" x14ac:dyDescent="0.3">
      <c r="A781" t="str">
        <f>"SO20000532"</f>
        <v>SO20000532</v>
      </c>
      <c r="B781" t="str">
        <f>"E000321177"</f>
        <v>E000321177</v>
      </c>
      <c r="C781" t="str">
        <f>"בוצעה"</f>
        <v>בוצעה</v>
      </c>
      <c r="E781" s="3">
        <v>44155</v>
      </c>
      <c r="F781" s="3">
        <v>44378</v>
      </c>
      <c r="G781" t="str">
        <f>"700065"</f>
        <v>700065</v>
      </c>
      <c r="H781" t="str">
        <f>"אלתא מערכות בע""מ"</f>
        <v>אלתא מערכות בע"מ</v>
      </c>
      <c r="I781" t="str">
        <f>"ערן שלו"</f>
        <v>ערן שלו</v>
      </c>
      <c r="J781" t="str">
        <f>"OP-AR02107"</f>
        <v>OP-AR02107</v>
      </c>
      <c r="K781" s="1" t="str">
        <f>"1032F924-001/-   ETHERNET CABLE MFR-W924 - FILTE"</f>
        <v>1032F924-001/-   ETHERNET CABLE MFR-W924 - FILTE</v>
      </c>
      <c r="L781">
        <v>4</v>
      </c>
      <c r="M781" t="str">
        <f>"PR20000834"</f>
        <v>PR20000834</v>
      </c>
      <c r="N781" t="str">
        <f>"BEL"</f>
        <v>BEL</v>
      </c>
      <c r="O781">
        <v>174</v>
      </c>
      <c r="P781" t="str">
        <f>"$"</f>
        <v>$</v>
      </c>
      <c r="Q781" t="str">
        <f>"117"</f>
        <v>117</v>
      </c>
      <c r="R781" t="str">
        <f>"רתמות"</f>
        <v>רתמות</v>
      </c>
      <c r="S781" t="str">
        <f>"034"</f>
        <v>034</v>
      </c>
      <c r="T781" t="str">
        <f>"מוסקוביץ אולגה"</f>
        <v>מוסקוביץ אולגה</v>
      </c>
      <c r="U781">
        <v>0</v>
      </c>
      <c r="V781">
        <v>0</v>
      </c>
      <c r="W781">
        <v>174</v>
      </c>
      <c r="X781">
        <v>696</v>
      </c>
      <c r="Z781" t="str">
        <f>"Y"</f>
        <v>Y</v>
      </c>
      <c r="AA781">
        <v>0</v>
      </c>
      <c r="AC781">
        <v>0</v>
      </c>
      <c r="AE781">
        <v>0</v>
      </c>
      <c r="AF781">
        <v>0</v>
      </c>
      <c r="AG781">
        <v>581.86</v>
      </c>
      <c r="AH781">
        <v>0</v>
      </c>
      <c r="AI781" s="2">
        <v>2327.42</v>
      </c>
      <c r="AJ781">
        <v>696</v>
      </c>
      <c r="AK781">
        <v>696</v>
      </c>
      <c r="AL781" t="str">
        <f>"$"</f>
        <v>$</v>
      </c>
    </row>
    <row r="782" spans="1:38" x14ac:dyDescent="0.3">
      <c r="A782" t="str">
        <f>"SO20000532"</f>
        <v>SO20000532</v>
      </c>
      <c r="B782" t="str">
        <f>"E000321177"</f>
        <v>E000321177</v>
      </c>
      <c r="C782" t="str">
        <f>"בוצעה"</f>
        <v>בוצעה</v>
      </c>
      <c r="E782" s="3">
        <v>44155</v>
      </c>
      <c r="F782" s="3">
        <v>44593</v>
      </c>
      <c r="G782" t="str">
        <f>"700065"</f>
        <v>700065</v>
      </c>
      <c r="H782" t="str">
        <f>"אלתא מערכות בע""מ"</f>
        <v>אלתא מערכות בע"מ</v>
      </c>
      <c r="I782" t="str">
        <f>"ערן שלו"</f>
        <v>ערן שלו</v>
      </c>
      <c r="J782" t="str">
        <f>"OP-AR02107"</f>
        <v>OP-AR02107</v>
      </c>
      <c r="K782" s="1" t="str">
        <f>"1032F924-001/-   ETHERNET CABLE MFR-W924 - FILTE"</f>
        <v>1032F924-001/-   ETHERNET CABLE MFR-W924 - FILTE</v>
      </c>
      <c r="L782">
        <v>4</v>
      </c>
      <c r="M782" t="str">
        <f>"PR20000834"</f>
        <v>PR20000834</v>
      </c>
      <c r="N782" t="str">
        <f>"BEL"</f>
        <v>BEL</v>
      </c>
      <c r="O782">
        <v>174</v>
      </c>
      <c r="P782" t="str">
        <f>"$"</f>
        <v>$</v>
      </c>
      <c r="Q782" t="str">
        <f>"117"</f>
        <v>117</v>
      </c>
      <c r="R782" t="str">
        <f>"רתמות"</f>
        <v>רתמות</v>
      </c>
      <c r="S782" t="str">
        <f>"034"</f>
        <v>034</v>
      </c>
      <c r="T782" t="str">
        <f>"מוסקוביץ אולגה"</f>
        <v>מוסקוביץ אולגה</v>
      </c>
      <c r="U782">
        <v>0</v>
      </c>
      <c r="V782">
        <v>0</v>
      </c>
      <c r="W782">
        <v>174</v>
      </c>
      <c r="X782">
        <v>696</v>
      </c>
      <c r="Z782" t="str">
        <f>"Y"</f>
        <v>Y</v>
      </c>
      <c r="AA782">
        <v>0</v>
      </c>
      <c r="AC782">
        <v>0</v>
      </c>
      <c r="AE782">
        <v>0</v>
      </c>
      <c r="AF782">
        <v>0</v>
      </c>
      <c r="AG782">
        <v>581.86</v>
      </c>
      <c r="AH782">
        <v>0</v>
      </c>
      <c r="AI782" s="2">
        <v>2327.42</v>
      </c>
      <c r="AJ782">
        <v>696</v>
      </c>
      <c r="AK782">
        <v>696</v>
      </c>
      <c r="AL782" t="str">
        <f>"$"</f>
        <v>$</v>
      </c>
    </row>
    <row r="783" spans="1:38" x14ac:dyDescent="0.3">
      <c r="A783" t="str">
        <f>"SO20000532"</f>
        <v>SO20000532</v>
      </c>
      <c r="B783" t="str">
        <f>"E000321177"</f>
        <v>E000321177</v>
      </c>
      <c r="C783" t="str">
        <f>"בוצעה"</f>
        <v>בוצעה</v>
      </c>
      <c r="E783" s="3">
        <v>44155</v>
      </c>
      <c r="F783" s="3">
        <v>45047</v>
      </c>
      <c r="G783" t="str">
        <f>"700065"</f>
        <v>700065</v>
      </c>
      <c r="H783" t="str">
        <f>"אלתא מערכות בע""מ"</f>
        <v>אלתא מערכות בע"מ</v>
      </c>
      <c r="I783" t="str">
        <f>"ערן שלו"</f>
        <v>ערן שלו</v>
      </c>
      <c r="J783" t="str">
        <f>"OP-AR02107"</f>
        <v>OP-AR02107</v>
      </c>
      <c r="K783" s="1" t="str">
        <f>"1032F924-001/-   ETHERNET CABLE MFR-W924 - FILTE"</f>
        <v>1032F924-001/-   ETHERNET CABLE MFR-W924 - FILTE</v>
      </c>
      <c r="L783">
        <v>4</v>
      </c>
      <c r="M783" t="str">
        <f>"PR20000834"</f>
        <v>PR20000834</v>
      </c>
      <c r="N783" t="str">
        <f>"BEL"</f>
        <v>BEL</v>
      </c>
      <c r="O783">
        <v>174</v>
      </c>
      <c r="P783" t="str">
        <f>"$"</f>
        <v>$</v>
      </c>
      <c r="Q783" t="str">
        <f>"117"</f>
        <v>117</v>
      </c>
      <c r="R783" t="str">
        <f>"רתמות"</f>
        <v>רתמות</v>
      </c>
      <c r="S783" t="str">
        <f>"034"</f>
        <v>034</v>
      </c>
      <c r="T783" t="str">
        <f>"מוסקוביץ אולגה"</f>
        <v>מוסקוביץ אולגה</v>
      </c>
      <c r="U783">
        <v>0</v>
      </c>
      <c r="V783">
        <v>0</v>
      </c>
      <c r="W783">
        <v>174</v>
      </c>
      <c r="X783">
        <v>696</v>
      </c>
      <c r="Z783" t="str">
        <f>"Y"</f>
        <v>Y</v>
      </c>
      <c r="AA783">
        <v>0</v>
      </c>
      <c r="AC783">
        <v>0</v>
      </c>
      <c r="AE783">
        <v>0</v>
      </c>
      <c r="AF783">
        <v>0</v>
      </c>
      <c r="AG783">
        <v>581.86</v>
      </c>
      <c r="AH783">
        <v>0</v>
      </c>
      <c r="AI783" s="2">
        <v>2327.42</v>
      </c>
      <c r="AJ783">
        <v>696</v>
      </c>
      <c r="AK783">
        <v>696</v>
      </c>
      <c r="AL783" t="str">
        <f>"$"</f>
        <v>$</v>
      </c>
    </row>
    <row r="784" spans="1:38" x14ac:dyDescent="0.3">
      <c r="A784" t="str">
        <f>"SO20000532"</f>
        <v>SO20000532</v>
      </c>
      <c r="B784" t="str">
        <f>"E000321177"</f>
        <v>E000321177</v>
      </c>
      <c r="C784" t="str">
        <f>"בוצעה"</f>
        <v>בוצעה</v>
      </c>
      <c r="E784" s="3">
        <v>44155</v>
      </c>
      <c r="F784" s="3">
        <v>45047</v>
      </c>
      <c r="G784" t="str">
        <f>"700065"</f>
        <v>700065</v>
      </c>
      <c r="H784" t="str">
        <f>"אלתא מערכות בע""מ"</f>
        <v>אלתא מערכות בע"מ</v>
      </c>
      <c r="I784" t="str">
        <f>"ערן שלו"</f>
        <v>ערן שלו</v>
      </c>
      <c r="J784" t="str">
        <f>"OP-AR02107"</f>
        <v>OP-AR02107</v>
      </c>
      <c r="K784" s="1" t="str">
        <f>"1032F924-001/-   ETHERNET CABLE MFR-W924 - FILTE"</f>
        <v>1032F924-001/-   ETHERNET CABLE MFR-W924 - FILTE</v>
      </c>
      <c r="L784">
        <v>4</v>
      </c>
      <c r="M784" t="str">
        <f>"PR20000834"</f>
        <v>PR20000834</v>
      </c>
      <c r="N784" t="str">
        <f>"BEL"</f>
        <v>BEL</v>
      </c>
      <c r="O784">
        <v>174</v>
      </c>
      <c r="P784" t="str">
        <f>"$"</f>
        <v>$</v>
      </c>
      <c r="Q784" t="str">
        <f>"117"</f>
        <v>117</v>
      </c>
      <c r="R784" t="str">
        <f>"רתמות"</f>
        <v>רתמות</v>
      </c>
      <c r="S784" t="str">
        <f>"034"</f>
        <v>034</v>
      </c>
      <c r="T784" t="str">
        <f>"מוסקוביץ אולגה"</f>
        <v>מוסקוביץ אולגה</v>
      </c>
      <c r="U784">
        <v>0</v>
      </c>
      <c r="V784">
        <v>0</v>
      </c>
      <c r="W784">
        <v>174</v>
      </c>
      <c r="X784">
        <v>696</v>
      </c>
      <c r="Z784" t="str">
        <f>"Y"</f>
        <v>Y</v>
      </c>
      <c r="AA784">
        <v>0</v>
      </c>
      <c r="AC784">
        <v>0</v>
      </c>
      <c r="AE784">
        <v>0</v>
      </c>
      <c r="AF784">
        <v>0</v>
      </c>
      <c r="AG784">
        <v>581.86</v>
      </c>
      <c r="AH784">
        <v>0</v>
      </c>
      <c r="AI784" s="2">
        <v>2327.42</v>
      </c>
      <c r="AJ784">
        <v>696</v>
      </c>
      <c r="AK784">
        <v>696</v>
      </c>
      <c r="AL784" t="str">
        <f>"$"</f>
        <v>$</v>
      </c>
    </row>
    <row r="785" spans="1:38" x14ac:dyDescent="0.3">
      <c r="A785" t="str">
        <f>"SO20000532"</f>
        <v>SO20000532</v>
      </c>
      <c r="B785" t="str">
        <f>"E000321177"</f>
        <v>E000321177</v>
      </c>
      <c r="C785" t="str">
        <f>"בוצעה"</f>
        <v>בוצעה</v>
      </c>
      <c r="E785" s="3">
        <v>44155</v>
      </c>
      <c r="F785" s="3">
        <v>44242</v>
      </c>
      <c r="G785" t="str">
        <f>"700065"</f>
        <v>700065</v>
      </c>
      <c r="H785" t="str">
        <f>"אלתא מערכות בע""מ"</f>
        <v>אלתא מערכות בע"מ</v>
      </c>
      <c r="I785" t="str">
        <f>"ערן שלו"</f>
        <v>ערן שלו</v>
      </c>
      <c r="J785" t="str">
        <f>"OP-AR02108"</f>
        <v>OP-AR02108</v>
      </c>
      <c r="K785" s="1" t="str">
        <f>"1032F925-001/-   ETHERNET CABLE MFR-W925 - FILTE"</f>
        <v>1032F925-001/-   ETHERNET CABLE MFR-W925 - FILTE</v>
      </c>
      <c r="L785">
        <v>8</v>
      </c>
      <c r="M785" t="str">
        <f>"PR20000834"</f>
        <v>PR20000834</v>
      </c>
      <c r="N785" t="str">
        <f>"BEL"</f>
        <v>BEL</v>
      </c>
      <c r="O785">
        <v>174</v>
      </c>
      <c r="P785" t="str">
        <f>"$"</f>
        <v>$</v>
      </c>
      <c r="Q785" t="str">
        <f>"117"</f>
        <v>117</v>
      </c>
      <c r="R785" t="str">
        <f>"רתמות"</f>
        <v>רתמות</v>
      </c>
      <c r="S785" t="str">
        <f>"034"</f>
        <v>034</v>
      </c>
      <c r="T785" t="str">
        <f>"מוסקוביץ אולגה"</f>
        <v>מוסקוביץ אולגה</v>
      </c>
      <c r="U785">
        <v>0</v>
      </c>
      <c r="V785">
        <v>0</v>
      </c>
      <c r="W785">
        <v>174</v>
      </c>
      <c r="X785" s="2">
        <v>1392</v>
      </c>
      <c r="Z785" t="str">
        <f>"Y"</f>
        <v>Y</v>
      </c>
      <c r="AA785">
        <v>0</v>
      </c>
      <c r="AC785">
        <v>0</v>
      </c>
      <c r="AE785">
        <v>0</v>
      </c>
      <c r="AF785">
        <v>0</v>
      </c>
      <c r="AG785">
        <v>581.86</v>
      </c>
      <c r="AH785">
        <v>0</v>
      </c>
      <c r="AI785" s="2">
        <v>4654.8500000000004</v>
      </c>
      <c r="AJ785" s="2">
        <v>1392</v>
      </c>
      <c r="AK785" s="2">
        <v>1392</v>
      </c>
      <c r="AL785" t="str">
        <f>"$"</f>
        <v>$</v>
      </c>
    </row>
    <row r="786" spans="1:38" x14ac:dyDescent="0.3">
      <c r="A786" t="str">
        <f>"SO20000532"</f>
        <v>SO20000532</v>
      </c>
      <c r="B786" t="str">
        <f>"E000321177"</f>
        <v>E000321177</v>
      </c>
      <c r="C786" t="str">
        <f>"בוצעה"</f>
        <v>בוצעה</v>
      </c>
      <c r="E786" s="3">
        <v>44155</v>
      </c>
      <c r="F786" s="3">
        <v>44378</v>
      </c>
      <c r="G786" t="str">
        <f>"700065"</f>
        <v>700065</v>
      </c>
      <c r="H786" t="str">
        <f>"אלתא מערכות בע""מ"</f>
        <v>אלתא מערכות בע"מ</v>
      </c>
      <c r="I786" t="str">
        <f>"ערן שלו"</f>
        <v>ערן שלו</v>
      </c>
      <c r="J786" t="str">
        <f>"OP-AR02108"</f>
        <v>OP-AR02108</v>
      </c>
      <c r="K786" s="1" t="str">
        <f>"1032F925-001/-   ETHERNET CABLE MFR-W925 - FILTE"</f>
        <v>1032F925-001/-   ETHERNET CABLE MFR-W925 - FILTE</v>
      </c>
      <c r="L786">
        <v>4</v>
      </c>
      <c r="M786" t="str">
        <f>"PR20000834"</f>
        <v>PR20000834</v>
      </c>
      <c r="N786" t="str">
        <f>"BEL"</f>
        <v>BEL</v>
      </c>
      <c r="O786">
        <v>174</v>
      </c>
      <c r="P786" t="str">
        <f>"$"</f>
        <v>$</v>
      </c>
      <c r="Q786" t="str">
        <f>"117"</f>
        <v>117</v>
      </c>
      <c r="R786" t="str">
        <f>"רתמות"</f>
        <v>רתמות</v>
      </c>
      <c r="S786" t="str">
        <f>"034"</f>
        <v>034</v>
      </c>
      <c r="T786" t="str">
        <f>"מוסקוביץ אולגה"</f>
        <v>מוסקוביץ אולגה</v>
      </c>
      <c r="U786">
        <v>0</v>
      </c>
      <c r="V786">
        <v>0</v>
      </c>
      <c r="W786">
        <v>174</v>
      </c>
      <c r="X786">
        <v>696</v>
      </c>
      <c r="Z786" t="str">
        <f>"Y"</f>
        <v>Y</v>
      </c>
      <c r="AA786">
        <v>0</v>
      </c>
      <c r="AC786">
        <v>0</v>
      </c>
      <c r="AE786">
        <v>0</v>
      </c>
      <c r="AF786">
        <v>0</v>
      </c>
      <c r="AG786">
        <v>581.86</v>
      </c>
      <c r="AH786">
        <v>0</v>
      </c>
      <c r="AI786" s="2">
        <v>2327.42</v>
      </c>
      <c r="AJ786">
        <v>696</v>
      </c>
      <c r="AK786">
        <v>696</v>
      </c>
      <c r="AL786" t="str">
        <f>"$"</f>
        <v>$</v>
      </c>
    </row>
    <row r="787" spans="1:38" x14ac:dyDescent="0.3">
      <c r="A787" t="str">
        <f>"SO20000532"</f>
        <v>SO20000532</v>
      </c>
      <c r="B787" t="str">
        <f>"E000321177"</f>
        <v>E000321177</v>
      </c>
      <c r="C787" t="str">
        <f>"בוצעה"</f>
        <v>בוצעה</v>
      </c>
      <c r="E787" s="3">
        <v>44155</v>
      </c>
      <c r="F787" s="3">
        <v>44378</v>
      </c>
      <c r="G787" t="str">
        <f>"700065"</f>
        <v>700065</v>
      </c>
      <c r="H787" t="str">
        <f>"אלתא מערכות בע""מ"</f>
        <v>אלתא מערכות בע"מ</v>
      </c>
      <c r="I787" t="str">
        <f>"ערן שלו"</f>
        <v>ערן שלו</v>
      </c>
      <c r="J787" t="str">
        <f>"OP-AR02108"</f>
        <v>OP-AR02108</v>
      </c>
      <c r="K787" s="1" t="str">
        <f>"1032F925-001/-   ETHERNET CABLE MFR-W925 - FILTE"</f>
        <v>1032F925-001/-   ETHERNET CABLE MFR-W925 - FILTE</v>
      </c>
      <c r="L787">
        <v>4</v>
      </c>
      <c r="M787" t="str">
        <f>"PR20000834"</f>
        <v>PR20000834</v>
      </c>
      <c r="N787" t="str">
        <f>"BEL"</f>
        <v>BEL</v>
      </c>
      <c r="O787">
        <v>174</v>
      </c>
      <c r="P787" t="str">
        <f>"$"</f>
        <v>$</v>
      </c>
      <c r="Q787" t="str">
        <f>"117"</f>
        <v>117</v>
      </c>
      <c r="R787" t="str">
        <f>"רתמות"</f>
        <v>רתמות</v>
      </c>
      <c r="S787" t="str">
        <f>"034"</f>
        <v>034</v>
      </c>
      <c r="T787" t="str">
        <f>"מוסקוביץ אולגה"</f>
        <v>מוסקוביץ אולגה</v>
      </c>
      <c r="U787">
        <v>0</v>
      </c>
      <c r="V787">
        <v>0</v>
      </c>
      <c r="W787">
        <v>174</v>
      </c>
      <c r="X787">
        <v>696</v>
      </c>
      <c r="Z787" t="str">
        <f>"Y"</f>
        <v>Y</v>
      </c>
      <c r="AA787">
        <v>0</v>
      </c>
      <c r="AC787">
        <v>0</v>
      </c>
      <c r="AE787">
        <v>0</v>
      </c>
      <c r="AF787">
        <v>0</v>
      </c>
      <c r="AG787">
        <v>581.86</v>
      </c>
      <c r="AH787">
        <v>0</v>
      </c>
      <c r="AI787" s="2">
        <v>2327.42</v>
      </c>
      <c r="AJ787">
        <v>696</v>
      </c>
      <c r="AK787">
        <v>696</v>
      </c>
      <c r="AL787" t="str">
        <f>"$"</f>
        <v>$</v>
      </c>
    </row>
    <row r="788" spans="1:38" x14ac:dyDescent="0.3">
      <c r="A788" t="str">
        <f>"SO20000532"</f>
        <v>SO20000532</v>
      </c>
      <c r="B788" t="str">
        <f>"E000321177"</f>
        <v>E000321177</v>
      </c>
      <c r="C788" t="str">
        <f>"בוצעה"</f>
        <v>בוצעה</v>
      </c>
      <c r="E788" s="3">
        <v>44155</v>
      </c>
      <c r="F788" s="3">
        <v>44593</v>
      </c>
      <c r="G788" t="str">
        <f>"700065"</f>
        <v>700065</v>
      </c>
      <c r="H788" t="str">
        <f>"אלתא מערכות בע""מ"</f>
        <v>אלתא מערכות בע"מ</v>
      </c>
      <c r="I788" t="str">
        <f>"ערן שלו"</f>
        <v>ערן שלו</v>
      </c>
      <c r="J788" t="str">
        <f>"OP-AR02108"</f>
        <v>OP-AR02108</v>
      </c>
      <c r="K788" s="1" t="str">
        <f>"1032F925-001/-   ETHERNET CABLE MFR-W925 - FILTE"</f>
        <v>1032F925-001/-   ETHERNET CABLE MFR-W925 - FILTE</v>
      </c>
      <c r="L788">
        <v>4</v>
      </c>
      <c r="M788" t="str">
        <f>"PR20000834"</f>
        <v>PR20000834</v>
      </c>
      <c r="N788" t="str">
        <f>"BEL"</f>
        <v>BEL</v>
      </c>
      <c r="O788">
        <v>174</v>
      </c>
      <c r="P788" t="str">
        <f>"$"</f>
        <v>$</v>
      </c>
      <c r="Q788" t="str">
        <f>"117"</f>
        <v>117</v>
      </c>
      <c r="R788" t="str">
        <f>"רתמות"</f>
        <v>רתמות</v>
      </c>
      <c r="S788" t="str">
        <f>"034"</f>
        <v>034</v>
      </c>
      <c r="T788" t="str">
        <f>"מוסקוביץ אולגה"</f>
        <v>מוסקוביץ אולגה</v>
      </c>
      <c r="U788">
        <v>0</v>
      </c>
      <c r="V788">
        <v>0</v>
      </c>
      <c r="W788">
        <v>174</v>
      </c>
      <c r="X788">
        <v>696</v>
      </c>
      <c r="Z788" t="str">
        <f>"Y"</f>
        <v>Y</v>
      </c>
      <c r="AA788">
        <v>0</v>
      </c>
      <c r="AC788">
        <v>0</v>
      </c>
      <c r="AE788">
        <v>0</v>
      </c>
      <c r="AF788">
        <v>0</v>
      </c>
      <c r="AG788">
        <v>581.86</v>
      </c>
      <c r="AH788">
        <v>0</v>
      </c>
      <c r="AI788" s="2">
        <v>2327.42</v>
      </c>
      <c r="AJ788">
        <v>696</v>
      </c>
      <c r="AK788">
        <v>696</v>
      </c>
      <c r="AL788" t="str">
        <f>"$"</f>
        <v>$</v>
      </c>
    </row>
    <row r="789" spans="1:38" x14ac:dyDescent="0.3">
      <c r="A789" t="str">
        <f>"SO20000532"</f>
        <v>SO20000532</v>
      </c>
      <c r="B789" t="str">
        <f>"E000321177"</f>
        <v>E000321177</v>
      </c>
      <c r="C789" t="str">
        <f>"בוצעה"</f>
        <v>בוצעה</v>
      </c>
      <c r="E789" s="3">
        <v>44155</v>
      </c>
      <c r="F789" s="3">
        <v>45047</v>
      </c>
      <c r="G789" t="str">
        <f>"700065"</f>
        <v>700065</v>
      </c>
      <c r="H789" t="str">
        <f>"אלתא מערכות בע""מ"</f>
        <v>אלתא מערכות בע"מ</v>
      </c>
      <c r="I789" t="str">
        <f>"ערן שלו"</f>
        <v>ערן שלו</v>
      </c>
      <c r="J789" t="str">
        <f>"OP-AR02108"</f>
        <v>OP-AR02108</v>
      </c>
      <c r="K789" s="1" t="str">
        <f>"1032F925-001/-   ETHERNET CABLE MFR-W925 - FILTE"</f>
        <v>1032F925-001/-   ETHERNET CABLE MFR-W925 - FILTE</v>
      </c>
      <c r="L789">
        <v>4</v>
      </c>
      <c r="M789" t="str">
        <f>"PR20000834"</f>
        <v>PR20000834</v>
      </c>
      <c r="N789" t="str">
        <f>"BEL"</f>
        <v>BEL</v>
      </c>
      <c r="O789">
        <v>174</v>
      </c>
      <c r="P789" t="str">
        <f>"$"</f>
        <v>$</v>
      </c>
      <c r="Q789" t="str">
        <f>"117"</f>
        <v>117</v>
      </c>
      <c r="R789" t="str">
        <f>"רתמות"</f>
        <v>רתמות</v>
      </c>
      <c r="S789" t="str">
        <f>"034"</f>
        <v>034</v>
      </c>
      <c r="T789" t="str">
        <f>"מוסקוביץ אולגה"</f>
        <v>מוסקוביץ אולגה</v>
      </c>
      <c r="U789">
        <v>0</v>
      </c>
      <c r="V789">
        <v>0</v>
      </c>
      <c r="W789">
        <v>174</v>
      </c>
      <c r="X789">
        <v>696</v>
      </c>
      <c r="Z789" t="str">
        <f>"Y"</f>
        <v>Y</v>
      </c>
      <c r="AA789">
        <v>0</v>
      </c>
      <c r="AC789">
        <v>0</v>
      </c>
      <c r="AE789">
        <v>0</v>
      </c>
      <c r="AF789">
        <v>0</v>
      </c>
      <c r="AG789">
        <v>581.86</v>
      </c>
      <c r="AH789">
        <v>0</v>
      </c>
      <c r="AI789" s="2">
        <v>2327.42</v>
      </c>
      <c r="AJ789">
        <v>696</v>
      </c>
      <c r="AK789">
        <v>696</v>
      </c>
      <c r="AL789" t="str">
        <f>"$"</f>
        <v>$</v>
      </c>
    </row>
    <row r="790" spans="1:38" x14ac:dyDescent="0.3">
      <c r="A790" t="str">
        <f>"SO20000532"</f>
        <v>SO20000532</v>
      </c>
      <c r="B790" t="str">
        <f>"E000321177"</f>
        <v>E000321177</v>
      </c>
      <c r="C790" t="str">
        <f>"בוצעה"</f>
        <v>בוצעה</v>
      </c>
      <c r="E790" s="3">
        <v>44155</v>
      </c>
      <c r="F790" s="3">
        <v>45047</v>
      </c>
      <c r="G790" t="str">
        <f>"700065"</f>
        <v>700065</v>
      </c>
      <c r="H790" t="str">
        <f>"אלתא מערכות בע""מ"</f>
        <v>אלתא מערכות בע"מ</v>
      </c>
      <c r="I790" t="str">
        <f>"ערן שלו"</f>
        <v>ערן שלו</v>
      </c>
      <c r="J790" t="str">
        <f>"OP-AR02108"</f>
        <v>OP-AR02108</v>
      </c>
      <c r="K790" s="1" t="str">
        <f>"1032F925-001/-   ETHERNET CABLE MFR-W925 - FILTE"</f>
        <v>1032F925-001/-   ETHERNET CABLE MFR-W925 - FILTE</v>
      </c>
      <c r="L790">
        <v>4</v>
      </c>
      <c r="M790" t="str">
        <f>"PR20000834"</f>
        <v>PR20000834</v>
      </c>
      <c r="N790" t="str">
        <f>"BEL"</f>
        <v>BEL</v>
      </c>
      <c r="O790">
        <v>174</v>
      </c>
      <c r="P790" t="str">
        <f>"$"</f>
        <v>$</v>
      </c>
      <c r="Q790" t="str">
        <f>"117"</f>
        <v>117</v>
      </c>
      <c r="R790" t="str">
        <f>"רתמות"</f>
        <v>רתמות</v>
      </c>
      <c r="S790" t="str">
        <f>"034"</f>
        <v>034</v>
      </c>
      <c r="T790" t="str">
        <f>"מוסקוביץ אולגה"</f>
        <v>מוסקוביץ אולגה</v>
      </c>
      <c r="U790">
        <v>0</v>
      </c>
      <c r="V790">
        <v>0</v>
      </c>
      <c r="W790">
        <v>174</v>
      </c>
      <c r="X790">
        <v>696</v>
      </c>
      <c r="Z790" t="str">
        <f>"Y"</f>
        <v>Y</v>
      </c>
      <c r="AA790">
        <v>0</v>
      </c>
      <c r="AC790">
        <v>0</v>
      </c>
      <c r="AE790">
        <v>0</v>
      </c>
      <c r="AF790">
        <v>0</v>
      </c>
      <c r="AG790">
        <v>581.86</v>
      </c>
      <c r="AH790">
        <v>0</v>
      </c>
      <c r="AI790" s="2">
        <v>2327.42</v>
      </c>
      <c r="AJ790">
        <v>696</v>
      </c>
      <c r="AK790">
        <v>696</v>
      </c>
      <c r="AL790" t="str">
        <f>"$"</f>
        <v>$</v>
      </c>
    </row>
    <row r="791" spans="1:38" x14ac:dyDescent="0.3">
      <c r="A791" t="str">
        <f>"SO20000532"</f>
        <v>SO20000532</v>
      </c>
      <c r="B791" t="str">
        <f>"E000321177"</f>
        <v>E000321177</v>
      </c>
      <c r="C791" t="str">
        <f>"בוצעה"</f>
        <v>בוצעה</v>
      </c>
      <c r="E791" s="3">
        <v>44155</v>
      </c>
      <c r="F791" s="3">
        <v>44242</v>
      </c>
      <c r="G791" t="str">
        <f>"700065"</f>
        <v>700065</v>
      </c>
      <c r="H791" t="str">
        <f>"אלתא מערכות בע""מ"</f>
        <v>אלתא מערכות בע"מ</v>
      </c>
      <c r="I791" t="str">
        <f>"ערן שלו"</f>
        <v>ערן שלו</v>
      </c>
      <c r="J791" t="str">
        <f>"OP-AR02109"</f>
        <v>OP-AR02109</v>
      </c>
      <c r="K791" s="1" t="str">
        <f>"1032F926-001/-   ETHERNET CABLE MFR-W926 - FILTE"</f>
        <v>1032F926-001/-   ETHERNET CABLE MFR-W926 - FILTE</v>
      </c>
      <c r="L791">
        <v>8</v>
      </c>
      <c r="M791" t="str">
        <f>"PR20000834"</f>
        <v>PR20000834</v>
      </c>
      <c r="N791" t="str">
        <f>"BEL"</f>
        <v>BEL</v>
      </c>
      <c r="O791">
        <v>174</v>
      </c>
      <c r="P791" t="str">
        <f>"$"</f>
        <v>$</v>
      </c>
      <c r="Q791" t="str">
        <f>"117"</f>
        <v>117</v>
      </c>
      <c r="R791" t="str">
        <f>"רתמות"</f>
        <v>רתמות</v>
      </c>
      <c r="S791" t="str">
        <f>"034"</f>
        <v>034</v>
      </c>
      <c r="T791" t="str">
        <f>"מוסקוביץ אולגה"</f>
        <v>מוסקוביץ אולגה</v>
      </c>
      <c r="U791">
        <v>0</v>
      </c>
      <c r="V791">
        <v>0</v>
      </c>
      <c r="W791">
        <v>174</v>
      </c>
      <c r="X791" s="2">
        <v>1392</v>
      </c>
      <c r="Z791" t="str">
        <f>"Y"</f>
        <v>Y</v>
      </c>
      <c r="AA791">
        <v>0</v>
      </c>
      <c r="AC791">
        <v>0</v>
      </c>
      <c r="AE791">
        <v>0</v>
      </c>
      <c r="AF791">
        <v>0</v>
      </c>
      <c r="AG791">
        <v>581.86</v>
      </c>
      <c r="AH791">
        <v>0</v>
      </c>
      <c r="AI791" s="2">
        <v>4654.8500000000004</v>
      </c>
      <c r="AJ791" s="2">
        <v>1392</v>
      </c>
      <c r="AK791" s="2">
        <v>1392</v>
      </c>
      <c r="AL791" t="str">
        <f>"$"</f>
        <v>$</v>
      </c>
    </row>
    <row r="792" spans="1:38" x14ac:dyDescent="0.3">
      <c r="A792" t="str">
        <f>"SO20000532"</f>
        <v>SO20000532</v>
      </c>
      <c r="B792" t="str">
        <f>"E000321177"</f>
        <v>E000321177</v>
      </c>
      <c r="C792" t="str">
        <f>"בוצעה"</f>
        <v>בוצעה</v>
      </c>
      <c r="E792" s="3">
        <v>44155</v>
      </c>
      <c r="F792" s="3">
        <v>44378</v>
      </c>
      <c r="G792" t="str">
        <f>"700065"</f>
        <v>700065</v>
      </c>
      <c r="H792" t="str">
        <f>"אלתא מערכות בע""מ"</f>
        <v>אלתא מערכות בע"מ</v>
      </c>
      <c r="I792" t="str">
        <f>"ערן שלו"</f>
        <v>ערן שלו</v>
      </c>
      <c r="J792" t="str">
        <f>"OP-AR02109"</f>
        <v>OP-AR02109</v>
      </c>
      <c r="K792" s="1" t="str">
        <f>"1032F926-001/-   ETHERNET CABLE MFR-W926 - FILTE"</f>
        <v>1032F926-001/-   ETHERNET CABLE MFR-W926 - FILTE</v>
      </c>
      <c r="L792">
        <v>4</v>
      </c>
      <c r="M792" t="str">
        <f>"PR20000834"</f>
        <v>PR20000834</v>
      </c>
      <c r="N792" t="str">
        <f>"BEL"</f>
        <v>BEL</v>
      </c>
      <c r="O792">
        <v>174</v>
      </c>
      <c r="P792" t="str">
        <f>"$"</f>
        <v>$</v>
      </c>
      <c r="Q792" t="str">
        <f>"117"</f>
        <v>117</v>
      </c>
      <c r="R792" t="str">
        <f>"רתמות"</f>
        <v>רתמות</v>
      </c>
      <c r="S792" t="str">
        <f>"034"</f>
        <v>034</v>
      </c>
      <c r="T792" t="str">
        <f>"מוסקוביץ אולגה"</f>
        <v>מוסקוביץ אולגה</v>
      </c>
      <c r="U792">
        <v>0</v>
      </c>
      <c r="V792">
        <v>0</v>
      </c>
      <c r="W792">
        <v>174</v>
      </c>
      <c r="X792">
        <v>696</v>
      </c>
      <c r="Z792" t="str">
        <f>"Y"</f>
        <v>Y</v>
      </c>
      <c r="AA792">
        <v>0</v>
      </c>
      <c r="AC792">
        <v>0</v>
      </c>
      <c r="AE792">
        <v>0</v>
      </c>
      <c r="AF792">
        <v>0</v>
      </c>
      <c r="AG792">
        <v>581.86</v>
      </c>
      <c r="AH792">
        <v>0</v>
      </c>
      <c r="AI792" s="2">
        <v>2327.42</v>
      </c>
      <c r="AJ792">
        <v>696</v>
      </c>
      <c r="AK792">
        <v>696</v>
      </c>
      <c r="AL792" t="str">
        <f>"$"</f>
        <v>$</v>
      </c>
    </row>
    <row r="793" spans="1:38" x14ac:dyDescent="0.3">
      <c r="A793" t="str">
        <f>"SO20000532"</f>
        <v>SO20000532</v>
      </c>
      <c r="B793" t="str">
        <f>"E000321177"</f>
        <v>E000321177</v>
      </c>
      <c r="C793" t="str">
        <f>"בוצעה"</f>
        <v>בוצעה</v>
      </c>
      <c r="E793" s="3">
        <v>44155</v>
      </c>
      <c r="F793" s="3">
        <v>44378</v>
      </c>
      <c r="G793" t="str">
        <f>"700065"</f>
        <v>700065</v>
      </c>
      <c r="H793" t="str">
        <f>"אלתא מערכות בע""מ"</f>
        <v>אלתא מערכות בע"מ</v>
      </c>
      <c r="I793" t="str">
        <f>"ערן שלו"</f>
        <v>ערן שלו</v>
      </c>
      <c r="J793" t="str">
        <f>"OP-AR02109"</f>
        <v>OP-AR02109</v>
      </c>
      <c r="K793" s="1" t="str">
        <f>"1032F926-001/-   ETHERNET CABLE MFR-W926 - FILTE"</f>
        <v>1032F926-001/-   ETHERNET CABLE MFR-W926 - FILTE</v>
      </c>
      <c r="L793">
        <v>4</v>
      </c>
      <c r="M793" t="str">
        <f>"PR20000834"</f>
        <v>PR20000834</v>
      </c>
      <c r="N793" t="str">
        <f>"BEL"</f>
        <v>BEL</v>
      </c>
      <c r="O793">
        <v>174</v>
      </c>
      <c r="P793" t="str">
        <f>"$"</f>
        <v>$</v>
      </c>
      <c r="Q793" t="str">
        <f>"117"</f>
        <v>117</v>
      </c>
      <c r="R793" t="str">
        <f>"רתמות"</f>
        <v>רתמות</v>
      </c>
      <c r="S793" t="str">
        <f>"034"</f>
        <v>034</v>
      </c>
      <c r="T793" t="str">
        <f>"מוסקוביץ אולגה"</f>
        <v>מוסקוביץ אולגה</v>
      </c>
      <c r="U793">
        <v>0</v>
      </c>
      <c r="V793">
        <v>0</v>
      </c>
      <c r="W793">
        <v>174</v>
      </c>
      <c r="X793">
        <v>696</v>
      </c>
      <c r="Z793" t="str">
        <f>"Y"</f>
        <v>Y</v>
      </c>
      <c r="AA793">
        <v>0</v>
      </c>
      <c r="AC793">
        <v>0</v>
      </c>
      <c r="AE793">
        <v>0</v>
      </c>
      <c r="AF793">
        <v>0</v>
      </c>
      <c r="AG793">
        <v>581.86</v>
      </c>
      <c r="AH793">
        <v>0</v>
      </c>
      <c r="AI793" s="2">
        <v>2327.42</v>
      </c>
      <c r="AJ793">
        <v>696</v>
      </c>
      <c r="AK793">
        <v>696</v>
      </c>
      <c r="AL793" t="str">
        <f>"$"</f>
        <v>$</v>
      </c>
    </row>
    <row r="794" spans="1:38" x14ac:dyDescent="0.3">
      <c r="A794" t="str">
        <f>"SO20000532"</f>
        <v>SO20000532</v>
      </c>
      <c r="B794" t="str">
        <f>"E000321177"</f>
        <v>E000321177</v>
      </c>
      <c r="C794" t="str">
        <f>"בוצעה"</f>
        <v>בוצעה</v>
      </c>
      <c r="E794" s="3">
        <v>44155</v>
      </c>
      <c r="F794" s="3">
        <v>44593</v>
      </c>
      <c r="G794" t="str">
        <f>"700065"</f>
        <v>700065</v>
      </c>
      <c r="H794" t="str">
        <f>"אלתא מערכות בע""מ"</f>
        <v>אלתא מערכות בע"מ</v>
      </c>
      <c r="I794" t="str">
        <f>"ערן שלו"</f>
        <v>ערן שלו</v>
      </c>
      <c r="J794" t="str">
        <f>"OP-AR02109"</f>
        <v>OP-AR02109</v>
      </c>
      <c r="K794" s="1" t="str">
        <f>"1032F926-001/-   ETHERNET CABLE MFR-W926 - FILTE"</f>
        <v>1032F926-001/-   ETHERNET CABLE MFR-W926 - FILTE</v>
      </c>
      <c r="L794">
        <v>4</v>
      </c>
      <c r="M794" t="str">
        <f>"PR20000834"</f>
        <v>PR20000834</v>
      </c>
      <c r="N794" t="str">
        <f>"BEL"</f>
        <v>BEL</v>
      </c>
      <c r="O794">
        <v>174</v>
      </c>
      <c r="P794" t="str">
        <f>"$"</f>
        <v>$</v>
      </c>
      <c r="Q794" t="str">
        <f>"117"</f>
        <v>117</v>
      </c>
      <c r="R794" t="str">
        <f>"רתמות"</f>
        <v>רתמות</v>
      </c>
      <c r="S794" t="str">
        <f>"034"</f>
        <v>034</v>
      </c>
      <c r="T794" t="str">
        <f>"מוסקוביץ אולגה"</f>
        <v>מוסקוביץ אולגה</v>
      </c>
      <c r="U794">
        <v>0</v>
      </c>
      <c r="V794">
        <v>0</v>
      </c>
      <c r="W794">
        <v>174</v>
      </c>
      <c r="X794">
        <v>696</v>
      </c>
      <c r="Z794" t="str">
        <f>"Y"</f>
        <v>Y</v>
      </c>
      <c r="AA794">
        <v>0</v>
      </c>
      <c r="AC794">
        <v>0</v>
      </c>
      <c r="AE794">
        <v>0</v>
      </c>
      <c r="AF794">
        <v>0</v>
      </c>
      <c r="AG794">
        <v>581.86</v>
      </c>
      <c r="AH794">
        <v>0</v>
      </c>
      <c r="AI794" s="2">
        <v>2327.42</v>
      </c>
      <c r="AJ794">
        <v>696</v>
      </c>
      <c r="AK794">
        <v>696</v>
      </c>
      <c r="AL794" t="str">
        <f>"$"</f>
        <v>$</v>
      </c>
    </row>
    <row r="795" spans="1:38" x14ac:dyDescent="0.3">
      <c r="A795" t="str">
        <f>"SO20000532"</f>
        <v>SO20000532</v>
      </c>
      <c r="B795" t="str">
        <f>"E000321177"</f>
        <v>E000321177</v>
      </c>
      <c r="C795" t="str">
        <f>"בוצעה"</f>
        <v>בוצעה</v>
      </c>
      <c r="E795" s="3">
        <v>44155</v>
      </c>
      <c r="F795" s="3">
        <v>45047</v>
      </c>
      <c r="G795" t="str">
        <f>"700065"</f>
        <v>700065</v>
      </c>
      <c r="H795" t="str">
        <f>"אלתא מערכות בע""מ"</f>
        <v>אלתא מערכות בע"מ</v>
      </c>
      <c r="I795" t="str">
        <f>"ערן שלו"</f>
        <v>ערן שלו</v>
      </c>
      <c r="J795" t="str">
        <f>"OP-AR02109"</f>
        <v>OP-AR02109</v>
      </c>
      <c r="K795" s="1" t="str">
        <f>"1032F926-001/-   ETHERNET CABLE MFR-W926 - FILTE"</f>
        <v>1032F926-001/-   ETHERNET CABLE MFR-W926 - FILTE</v>
      </c>
      <c r="L795">
        <v>4</v>
      </c>
      <c r="M795" t="str">
        <f>"PR20000834"</f>
        <v>PR20000834</v>
      </c>
      <c r="N795" t="str">
        <f>"BEL"</f>
        <v>BEL</v>
      </c>
      <c r="O795">
        <v>174</v>
      </c>
      <c r="P795" t="str">
        <f>"$"</f>
        <v>$</v>
      </c>
      <c r="Q795" t="str">
        <f>"117"</f>
        <v>117</v>
      </c>
      <c r="R795" t="str">
        <f>"רתמות"</f>
        <v>רתמות</v>
      </c>
      <c r="S795" t="str">
        <f>"034"</f>
        <v>034</v>
      </c>
      <c r="T795" t="str">
        <f>"מוסקוביץ אולגה"</f>
        <v>מוסקוביץ אולגה</v>
      </c>
      <c r="U795">
        <v>0</v>
      </c>
      <c r="V795">
        <v>0</v>
      </c>
      <c r="W795">
        <v>174</v>
      </c>
      <c r="X795">
        <v>696</v>
      </c>
      <c r="Z795" t="str">
        <f>"Y"</f>
        <v>Y</v>
      </c>
      <c r="AA795">
        <v>0</v>
      </c>
      <c r="AC795">
        <v>0</v>
      </c>
      <c r="AE795">
        <v>0</v>
      </c>
      <c r="AF795">
        <v>0</v>
      </c>
      <c r="AG795">
        <v>581.86</v>
      </c>
      <c r="AH795">
        <v>0</v>
      </c>
      <c r="AI795" s="2">
        <v>2327.42</v>
      </c>
      <c r="AJ795">
        <v>696</v>
      </c>
      <c r="AK795">
        <v>696</v>
      </c>
      <c r="AL795" t="str">
        <f>"$"</f>
        <v>$</v>
      </c>
    </row>
    <row r="796" spans="1:38" x14ac:dyDescent="0.3">
      <c r="A796" t="str">
        <f>"SO20000532"</f>
        <v>SO20000532</v>
      </c>
      <c r="B796" t="str">
        <f>"E000321177"</f>
        <v>E000321177</v>
      </c>
      <c r="C796" t="str">
        <f>"בוצעה"</f>
        <v>בוצעה</v>
      </c>
      <c r="E796" s="3">
        <v>44155</v>
      </c>
      <c r="F796" s="3">
        <v>45047</v>
      </c>
      <c r="G796" t="str">
        <f>"700065"</f>
        <v>700065</v>
      </c>
      <c r="H796" t="str">
        <f>"אלתא מערכות בע""מ"</f>
        <v>אלתא מערכות בע"מ</v>
      </c>
      <c r="I796" t="str">
        <f>"ערן שלו"</f>
        <v>ערן שלו</v>
      </c>
      <c r="J796" t="str">
        <f>"OP-AR02109"</f>
        <v>OP-AR02109</v>
      </c>
      <c r="K796" s="1" t="str">
        <f>"1032F926-001/-   ETHERNET CABLE MFR-W926 - FILTE"</f>
        <v>1032F926-001/-   ETHERNET CABLE MFR-W926 - FILTE</v>
      </c>
      <c r="L796">
        <v>4</v>
      </c>
      <c r="M796" t="str">
        <f>"PR20000834"</f>
        <v>PR20000834</v>
      </c>
      <c r="N796" t="str">
        <f>"BEL"</f>
        <v>BEL</v>
      </c>
      <c r="O796">
        <v>174</v>
      </c>
      <c r="P796" t="str">
        <f>"$"</f>
        <v>$</v>
      </c>
      <c r="Q796" t="str">
        <f>"117"</f>
        <v>117</v>
      </c>
      <c r="R796" t="str">
        <f>"רתמות"</f>
        <v>רתמות</v>
      </c>
      <c r="S796" t="str">
        <f>"034"</f>
        <v>034</v>
      </c>
      <c r="T796" t="str">
        <f>"מוסקוביץ אולגה"</f>
        <v>מוסקוביץ אולגה</v>
      </c>
      <c r="U796">
        <v>0</v>
      </c>
      <c r="V796">
        <v>0</v>
      </c>
      <c r="W796">
        <v>174</v>
      </c>
      <c r="X796">
        <v>696</v>
      </c>
      <c r="Z796" t="str">
        <f>"Y"</f>
        <v>Y</v>
      </c>
      <c r="AA796">
        <v>0</v>
      </c>
      <c r="AC796">
        <v>0</v>
      </c>
      <c r="AE796">
        <v>0</v>
      </c>
      <c r="AF796">
        <v>0</v>
      </c>
      <c r="AG796">
        <v>581.86</v>
      </c>
      <c r="AH796">
        <v>0</v>
      </c>
      <c r="AI796" s="2">
        <v>2327.42</v>
      </c>
      <c r="AJ796">
        <v>696</v>
      </c>
      <c r="AK796">
        <v>696</v>
      </c>
      <c r="AL796" t="str">
        <f>"$"</f>
        <v>$</v>
      </c>
    </row>
    <row r="797" spans="1:38" x14ac:dyDescent="0.3">
      <c r="A797" t="str">
        <f>"SO20000532"</f>
        <v>SO20000532</v>
      </c>
      <c r="B797" t="str">
        <f>"E000321177"</f>
        <v>E000321177</v>
      </c>
      <c r="C797" t="str">
        <f>"בוצעה"</f>
        <v>בוצעה</v>
      </c>
      <c r="E797" s="3">
        <v>44155</v>
      </c>
      <c r="F797" s="3">
        <v>44242</v>
      </c>
      <c r="G797" t="str">
        <f>"700065"</f>
        <v>700065</v>
      </c>
      <c r="H797" t="str">
        <f>"אלתא מערכות בע""מ"</f>
        <v>אלתא מערכות בע"מ</v>
      </c>
      <c r="I797" t="str">
        <f>"ערן שלו"</f>
        <v>ערן שלו</v>
      </c>
      <c r="J797" t="str">
        <f>"OP-AR02110"</f>
        <v>OP-AR02110</v>
      </c>
      <c r="K797" s="1" t="str">
        <f>"1032F927-001/-   ETHERNET CABLE MFR-W927 - FILTE"</f>
        <v>1032F927-001/-   ETHERNET CABLE MFR-W927 - FILTE</v>
      </c>
      <c r="L797">
        <v>8</v>
      </c>
      <c r="M797" t="str">
        <f>"PR20000834"</f>
        <v>PR20000834</v>
      </c>
      <c r="N797" t="str">
        <f>"BEL"</f>
        <v>BEL</v>
      </c>
      <c r="O797">
        <v>174</v>
      </c>
      <c r="P797" t="str">
        <f>"$"</f>
        <v>$</v>
      </c>
      <c r="Q797" t="str">
        <f>"117"</f>
        <v>117</v>
      </c>
      <c r="R797" t="str">
        <f>"רתמות"</f>
        <v>רתמות</v>
      </c>
      <c r="S797" t="str">
        <f>"034"</f>
        <v>034</v>
      </c>
      <c r="T797" t="str">
        <f>"מוסקוביץ אולגה"</f>
        <v>מוסקוביץ אולגה</v>
      </c>
      <c r="U797">
        <v>0</v>
      </c>
      <c r="V797">
        <v>0</v>
      </c>
      <c r="W797">
        <v>174</v>
      </c>
      <c r="X797" s="2">
        <v>1392</v>
      </c>
      <c r="Z797" t="str">
        <f>"Y"</f>
        <v>Y</v>
      </c>
      <c r="AA797">
        <v>0</v>
      </c>
      <c r="AC797">
        <v>0</v>
      </c>
      <c r="AE797">
        <v>0</v>
      </c>
      <c r="AF797">
        <v>0</v>
      </c>
      <c r="AG797">
        <v>581.86</v>
      </c>
      <c r="AH797">
        <v>0</v>
      </c>
      <c r="AI797" s="2">
        <v>4654.8500000000004</v>
      </c>
      <c r="AJ797" s="2">
        <v>1392</v>
      </c>
      <c r="AK797" s="2">
        <v>1392</v>
      </c>
      <c r="AL797" t="str">
        <f>"$"</f>
        <v>$</v>
      </c>
    </row>
    <row r="798" spans="1:38" x14ac:dyDescent="0.3">
      <c r="A798" t="str">
        <f>"SO20000532"</f>
        <v>SO20000532</v>
      </c>
      <c r="B798" t="str">
        <f>"E000321177"</f>
        <v>E000321177</v>
      </c>
      <c r="C798" t="str">
        <f>"בוצעה"</f>
        <v>בוצעה</v>
      </c>
      <c r="E798" s="3">
        <v>44155</v>
      </c>
      <c r="F798" s="3">
        <v>44378</v>
      </c>
      <c r="G798" t="str">
        <f>"700065"</f>
        <v>700065</v>
      </c>
      <c r="H798" t="str">
        <f>"אלתא מערכות בע""מ"</f>
        <v>אלתא מערכות בע"מ</v>
      </c>
      <c r="I798" t="str">
        <f>"ערן שלו"</f>
        <v>ערן שלו</v>
      </c>
      <c r="J798" t="str">
        <f>"OP-AR02110"</f>
        <v>OP-AR02110</v>
      </c>
      <c r="K798" s="1" t="str">
        <f>"1032F927-001/-   ETHERNET CABLE MFR-W927 - FILTE"</f>
        <v>1032F927-001/-   ETHERNET CABLE MFR-W927 - FILTE</v>
      </c>
      <c r="L798">
        <v>4</v>
      </c>
      <c r="M798" t="str">
        <f>"PR20000834"</f>
        <v>PR20000834</v>
      </c>
      <c r="N798" t="str">
        <f>"BEL"</f>
        <v>BEL</v>
      </c>
      <c r="O798">
        <v>174</v>
      </c>
      <c r="P798" t="str">
        <f>"$"</f>
        <v>$</v>
      </c>
      <c r="Q798" t="str">
        <f>"117"</f>
        <v>117</v>
      </c>
      <c r="R798" t="str">
        <f>"רתמות"</f>
        <v>רתמות</v>
      </c>
      <c r="S798" t="str">
        <f>"034"</f>
        <v>034</v>
      </c>
      <c r="T798" t="str">
        <f>"מוסקוביץ אולגה"</f>
        <v>מוסקוביץ אולגה</v>
      </c>
      <c r="U798">
        <v>0</v>
      </c>
      <c r="V798">
        <v>0</v>
      </c>
      <c r="W798">
        <v>174</v>
      </c>
      <c r="X798">
        <v>696</v>
      </c>
      <c r="Z798" t="str">
        <f>"Y"</f>
        <v>Y</v>
      </c>
      <c r="AA798">
        <v>0</v>
      </c>
      <c r="AC798">
        <v>0</v>
      </c>
      <c r="AE798">
        <v>0</v>
      </c>
      <c r="AF798">
        <v>0</v>
      </c>
      <c r="AG798">
        <v>581.86</v>
      </c>
      <c r="AH798">
        <v>0</v>
      </c>
      <c r="AI798" s="2">
        <v>2327.42</v>
      </c>
      <c r="AJ798">
        <v>696</v>
      </c>
      <c r="AK798">
        <v>696</v>
      </c>
      <c r="AL798" t="str">
        <f>"$"</f>
        <v>$</v>
      </c>
    </row>
    <row r="799" spans="1:38" x14ac:dyDescent="0.3">
      <c r="A799" t="str">
        <f>"SO20000532"</f>
        <v>SO20000532</v>
      </c>
      <c r="B799" t="str">
        <f>"E000321177"</f>
        <v>E000321177</v>
      </c>
      <c r="C799" t="str">
        <f>"בוצעה"</f>
        <v>בוצעה</v>
      </c>
      <c r="E799" s="3">
        <v>44155</v>
      </c>
      <c r="F799" s="3">
        <v>44378</v>
      </c>
      <c r="G799" t="str">
        <f>"700065"</f>
        <v>700065</v>
      </c>
      <c r="H799" t="str">
        <f>"אלתא מערכות בע""מ"</f>
        <v>אלתא מערכות בע"מ</v>
      </c>
      <c r="I799" t="str">
        <f>"ערן שלו"</f>
        <v>ערן שלו</v>
      </c>
      <c r="J799" t="str">
        <f>"OP-AR02110"</f>
        <v>OP-AR02110</v>
      </c>
      <c r="K799" s="1" t="str">
        <f>"1032F927-001/-   ETHERNET CABLE MFR-W927 - FILTE"</f>
        <v>1032F927-001/-   ETHERNET CABLE MFR-W927 - FILTE</v>
      </c>
      <c r="L799">
        <v>4</v>
      </c>
      <c r="M799" t="str">
        <f>"PR20000834"</f>
        <v>PR20000834</v>
      </c>
      <c r="N799" t="str">
        <f>"BEL"</f>
        <v>BEL</v>
      </c>
      <c r="O799">
        <v>174</v>
      </c>
      <c r="P799" t="str">
        <f>"$"</f>
        <v>$</v>
      </c>
      <c r="Q799" t="str">
        <f>"117"</f>
        <v>117</v>
      </c>
      <c r="R799" t="str">
        <f>"רתמות"</f>
        <v>רתמות</v>
      </c>
      <c r="S799" t="str">
        <f>"034"</f>
        <v>034</v>
      </c>
      <c r="T799" t="str">
        <f>"מוסקוביץ אולגה"</f>
        <v>מוסקוביץ אולגה</v>
      </c>
      <c r="U799">
        <v>0</v>
      </c>
      <c r="V799">
        <v>0</v>
      </c>
      <c r="W799">
        <v>174</v>
      </c>
      <c r="X799">
        <v>696</v>
      </c>
      <c r="Z799" t="str">
        <f>"Y"</f>
        <v>Y</v>
      </c>
      <c r="AA799">
        <v>0</v>
      </c>
      <c r="AC799">
        <v>0</v>
      </c>
      <c r="AE799">
        <v>0</v>
      </c>
      <c r="AF799">
        <v>0</v>
      </c>
      <c r="AG799">
        <v>581.86</v>
      </c>
      <c r="AH799">
        <v>0</v>
      </c>
      <c r="AI799" s="2">
        <v>2327.42</v>
      </c>
      <c r="AJ799">
        <v>696</v>
      </c>
      <c r="AK799">
        <v>696</v>
      </c>
      <c r="AL799" t="str">
        <f>"$"</f>
        <v>$</v>
      </c>
    </row>
    <row r="800" spans="1:38" x14ac:dyDescent="0.3">
      <c r="A800" t="str">
        <f>"SO20000532"</f>
        <v>SO20000532</v>
      </c>
      <c r="B800" t="str">
        <f>"E000321177"</f>
        <v>E000321177</v>
      </c>
      <c r="C800" t="str">
        <f>"בוצעה"</f>
        <v>בוצעה</v>
      </c>
      <c r="E800" s="3">
        <v>44155</v>
      </c>
      <c r="F800" s="3">
        <v>44593</v>
      </c>
      <c r="G800" t="str">
        <f>"700065"</f>
        <v>700065</v>
      </c>
      <c r="H800" t="str">
        <f>"אלתא מערכות בע""מ"</f>
        <v>אלתא מערכות בע"מ</v>
      </c>
      <c r="I800" t="str">
        <f>"ערן שלו"</f>
        <v>ערן שלו</v>
      </c>
      <c r="J800" t="str">
        <f>"OP-AR02110"</f>
        <v>OP-AR02110</v>
      </c>
      <c r="K800" s="1" t="str">
        <f>"1032F927-001/-   ETHERNET CABLE MFR-W927 - FILTE"</f>
        <v>1032F927-001/-   ETHERNET CABLE MFR-W927 - FILTE</v>
      </c>
      <c r="L800">
        <v>4</v>
      </c>
      <c r="M800" t="str">
        <f>"PR20000834"</f>
        <v>PR20000834</v>
      </c>
      <c r="N800" t="str">
        <f>"BEL"</f>
        <v>BEL</v>
      </c>
      <c r="O800">
        <v>174</v>
      </c>
      <c r="P800" t="str">
        <f>"$"</f>
        <v>$</v>
      </c>
      <c r="Q800" t="str">
        <f>"117"</f>
        <v>117</v>
      </c>
      <c r="R800" t="str">
        <f>"רתמות"</f>
        <v>רתמות</v>
      </c>
      <c r="S800" t="str">
        <f>"034"</f>
        <v>034</v>
      </c>
      <c r="T800" t="str">
        <f>"מוסקוביץ אולגה"</f>
        <v>מוסקוביץ אולגה</v>
      </c>
      <c r="U800">
        <v>0</v>
      </c>
      <c r="V800">
        <v>0</v>
      </c>
      <c r="W800">
        <v>174</v>
      </c>
      <c r="X800">
        <v>696</v>
      </c>
      <c r="Z800" t="str">
        <f>"Y"</f>
        <v>Y</v>
      </c>
      <c r="AA800">
        <v>0</v>
      </c>
      <c r="AC800">
        <v>0</v>
      </c>
      <c r="AE800">
        <v>0</v>
      </c>
      <c r="AF800">
        <v>0</v>
      </c>
      <c r="AG800">
        <v>581.86</v>
      </c>
      <c r="AH800">
        <v>0</v>
      </c>
      <c r="AI800" s="2">
        <v>2327.42</v>
      </c>
      <c r="AJ800">
        <v>696</v>
      </c>
      <c r="AK800">
        <v>696</v>
      </c>
      <c r="AL800" t="str">
        <f>"$"</f>
        <v>$</v>
      </c>
    </row>
    <row r="801" spans="1:38" x14ac:dyDescent="0.3">
      <c r="A801" t="str">
        <f>"SO20000532"</f>
        <v>SO20000532</v>
      </c>
      <c r="B801" t="str">
        <f>"E000321177"</f>
        <v>E000321177</v>
      </c>
      <c r="C801" t="str">
        <f>"בוצעה"</f>
        <v>בוצעה</v>
      </c>
      <c r="E801" s="3">
        <v>44155</v>
      </c>
      <c r="F801" s="3">
        <v>45047</v>
      </c>
      <c r="G801" t="str">
        <f>"700065"</f>
        <v>700065</v>
      </c>
      <c r="H801" t="str">
        <f>"אלתא מערכות בע""מ"</f>
        <v>אלתא מערכות בע"מ</v>
      </c>
      <c r="I801" t="str">
        <f>"ערן שלו"</f>
        <v>ערן שלו</v>
      </c>
      <c r="J801" t="str">
        <f>"OP-AR02110"</f>
        <v>OP-AR02110</v>
      </c>
      <c r="K801" s="1" t="str">
        <f>"1032F927-001/-   ETHERNET CABLE MFR-W927 - FILTE"</f>
        <v>1032F927-001/-   ETHERNET CABLE MFR-W927 - FILTE</v>
      </c>
      <c r="L801">
        <v>4</v>
      </c>
      <c r="M801" t="str">
        <f>"PR20000834"</f>
        <v>PR20000834</v>
      </c>
      <c r="N801" t="str">
        <f>"BEL"</f>
        <v>BEL</v>
      </c>
      <c r="O801">
        <v>174</v>
      </c>
      <c r="P801" t="str">
        <f>"$"</f>
        <v>$</v>
      </c>
      <c r="Q801" t="str">
        <f>"117"</f>
        <v>117</v>
      </c>
      <c r="R801" t="str">
        <f>"רתמות"</f>
        <v>רתמות</v>
      </c>
      <c r="S801" t="str">
        <f>"034"</f>
        <v>034</v>
      </c>
      <c r="T801" t="str">
        <f>"מוסקוביץ אולגה"</f>
        <v>מוסקוביץ אולגה</v>
      </c>
      <c r="U801">
        <v>0</v>
      </c>
      <c r="V801">
        <v>0</v>
      </c>
      <c r="W801">
        <v>174</v>
      </c>
      <c r="X801">
        <v>696</v>
      </c>
      <c r="Z801" t="str">
        <f>"Y"</f>
        <v>Y</v>
      </c>
      <c r="AA801">
        <v>0</v>
      </c>
      <c r="AC801">
        <v>0</v>
      </c>
      <c r="AE801">
        <v>0</v>
      </c>
      <c r="AF801">
        <v>0</v>
      </c>
      <c r="AG801">
        <v>581.86</v>
      </c>
      <c r="AH801">
        <v>0</v>
      </c>
      <c r="AI801" s="2">
        <v>2327.42</v>
      </c>
      <c r="AJ801">
        <v>696</v>
      </c>
      <c r="AK801">
        <v>696</v>
      </c>
      <c r="AL801" t="str">
        <f>"$"</f>
        <v>$</v>
      </c>
    </row>
    <row r="802" spans="1:38" x14ac:dyDescent="0.3">
      <c r="A802" t="str">
        <f>"SO20000532"</f>
        <v>SO20000532</v>
      </c>
      <c r="B802" t="str">
        <f>"E000321177"</f>
        <v>E000321177</v>
      </c>
      <c r="C802" t="str">
        <f>"בוצעה"</f>
        <v>בוצעה</v>
      </c>
      <c r="E802" s="3">
        <v>44155</v>
      </c>
      <c r="F802" s="3">
        <v>45047</v>
      </c>
      <c r="G802" t="str">
        <f>"700065"</f>
        <v>700065</v>
      </c>
      <c r="H802" t="str">
        <f>"אלתא מערכות בע""מ"</f>
        <v>אלתא מערכות בע"מ</v>
      </c>
      <c r="I802" t="str">
        <f>"ערן שלו"</f>
        <v>ערן שלו</v>
      </c>
      <c r="J802" t="str">
        <f>"OP-AR02110"</f>
        <v>OP-AR02110</v>
      </c>
      <c r="K802" s="1" t="str">
        <f>"1032F927-001/-   ETHERNET CABLE MFR-W927 - FILTE"</f>
        <v>1032F927-001/-   ETHERNET CABLE MFR-W927 - FILTE</v>
      </c>
      <c r="L802">
        <v>4</v>
      </c>
      <c r="M802" t="str">
        <f>"PR20000834"</f>
        <v>PR20000834</v>
      </c>
      <c r="N802" t="str">
        <f>"BEL"</f>
        <v>BEL</v>
      </c>
      <c r="O802">
        <v>174</v>
      </c>
      <c r="P802" t="str">
        <f>"$"</f>
        <v>$</v>
      </c>
      <c r="Q802" t="str">
        <f>"117"</f>
        <v>117</v>
      </c>
      <c r="R802" t="str">
        <f>"רתמות"</f>
        <v>רתמות</v>
      </c>
      <c r="S802" t="str">
        <f>"034"</f>
        <v>034</v>
      </c>
      <c r="T802" t="str">
        <f>"מוסקוביץ אולגה"</f>
        <v>מוסקוביץ אולגה</v>
      </c>
      <c r="U802">
        <v>0</v>
      </c>
      <c r="V802">
        <v>0</v>
      </c>
      <c r="W802">
        <v>174</v>
      </c>
      <c r="X802">
        <v>696</v>
      </c>
      <c r="Z802" t="str">
        <f>"Y"</f>
        <v>Y</v>
      </c>
      <c r="AA802">
        <v>0</v>
      </c>
      <c r="AC802">
        <v>0</v>
      </c>
      <c r="AE802">
        <v>0</v>
      </c>
      <c r="AF802">
        <v>0</v>
      </c>
      <c r="AG802">
        <v>581.86</v>
      </c>
      <c r="AH802">
        <v>0</v>
      </c>
      <c r="AI802" s="2">
        <v>2327.42</v>
      </c>
      <c r="AJ802">
        <v>696</v>
      </c>
      <c r="AK802">
        <v>696</v>
      </c>
      <c r="AL802" t="str">
        <f>"$"</f>
        <v>$</v>
      </c>
    </row>
    <row r="803" spans="1:38" x14ac:dyDescent="0.3">
      <c r="A803" t="str">
        <f>"SO20000532"</f>
        <v>SO20000532</v>
      </c>
      <c r="B803" t="str">
        <f>"E000321177"</f>
        <v>E000321177</v>
      </c>
      <c r="C803" t="str">
        <f>"בוצעה"</f>
        <v>בוצעה</v>
      </c>
      <c r="E803" s="3">
        <v>44155</v>
      </c>
      <c r="F803" s="3">
        <v>44242</v>
      </c>
      <c r="G803" t="str">
        <f>"700065"</f>
        <v>700065</v>
      </c>
      <c r="H803" t="str">
        <f>"אלתא מערכות בע""מ"</f>
        <v>אלתא מערכות בע"מ</v>
      </c>
      <c r="I803" t="str">
        <f>"ערן שלו"</f>
        <v>ערן שלו</v>
      </c>
      <c r="J803" t="str">
        <f>"OP-AR02111"</f>
        <v>OP-AR02111</v>
      </c>
      <c r="K803" s="1" t="str">
        <f>"1032F928-001/-   ETHERNET CABLE MFR-W928 - FILTE"</f>
        <v>1032F928-001/-   ETHERNET CABLE MFR-W928 - FILTE</v>
      </c>
      <c r="L803">
        <v>8</v>
      </c>
      <c r="M803" t="str">
        <f>"PR20000834"</f>
        <v>PR20000834</v>
      </c>
      <c r="N803" t="str">
        <f>"BEL"</f>
        <v>BEL</v>
      </c>
      <c r="O803">
        <v>174</v>
      </c>
      <c r="P803" t="str">
        <f>"$"</f>
        <v>$</v>
      </c>
      <c r="Q803" t="str">
        <f>"117"</f>
        <v>117</v>
      </c>
      <c r="R803" t="str">
        <f>"רתמות"</f>
        <v>רתמות</v>
      </c>
      <c r="S803" t="str">
        <f>"034"</f>
        <v>034</v>
      </c>
      <c r="T803" t="str">
        <f>"מוסקוביץ אולגה"</f>
        <v>מוסקוביץ אולגה</v>
      </c>
      <c r="U803">
        <v>0</v>
      </c>
      <c r="V803">
        <v>0</v>
      </c>
      <c r="W803">
        <v>174</v>
      </c>
      <c r="X803" s="2">
        <v>1392</v>
      </c>
      <c r="Z803" t="str">
        <f>"Y"</f>
        <v>Y</v>
      </c>
      <c r="AA803">
        <v>0</v>
      </c>
      <c r="AC803">
        <v>0</v>
      </c>
      <c r="AE803">
        <v>0</v>
      </c>
      <c r="AF803">
        <v>0</v>
      </c>
      <c r="AG803">
        <v>581.86</v>
      </c>
      <c r="AH803">
        <v>0</v>
      </c>
      <c r="AI803" s="2">
        <v>4654.8500000000004</v>
      </c>
      <c r="AJ803" s="2">
        <v>1392</v>
      </c>
      <c r="AK803" s="2">
        <v>1392</v>
      </c>
      <c r="AL803" t="str">
        <f>"$"</f>
        <v>$</v>
      </c>
    </row>
    <row r="804" spans="1:38" x14ac:dyDescent="0.3">
      <c r="A804" t="str">
        <f>"SO20000532"</f>
        <v>SO20000532</v>
      </c>
      <c r="B804" t="str">
        <f>"E000321177"</f>
        <v>E000321177</v>
      </c>
      <c r="C804" t="str">
        <f>"בוצעה"</f>
        <v>בוצעה</v>
      </c>
      <c r="E804" s="3">
        <v>44155</v>
      </c>
      <c r="F804" s="3">
        <v>44378</v>
      </c>
      <c r="G804" t="str">
        <f>"700065"</f>
        <v>700065</v>
      </c>
      <c r="H804" t="str">
        <f>"אלתא מערכות בע""מ"</f>
        <v>אלתא מערכות בע"מ</v>
      </c>
      <c r="I804" t="str">
        <f>"ערן שלו"</f>
        <v>ערן שלו</v>
      </c>
      <c r="J804" t="str">
        <f>"OP-AR02111"</f>
        <v>OP-AR02111</v>
      </c>
      <c r="K804" s="1" t="str">
        <f>"1032F928-001/-   ETHERNET CABLE MFR-W928 - FILTE"</f>
        <v>1032F928-001/-   ETHERNET CABLE MFR-W928 - FILTE</v>
      </c>
      <c r="L804">
        <v>4</v>
      </c>
      <c r="M804" t="str">
        <f>"PR20000834"</f>
        <v>PR20000834</v>
      </c>
      <c r="N804" t="str">
        <f>"BEL"</f>
        <v>BEL</v>
      </c>
      <c r="O804">
        <v>174</v>
      </c>
      <c r="P804" t="str">
        <f>"$"</f>
        <v>$</v>
      </c>
      <c r="Q804" t="str">
        <f>"117"</f>
        <v>117</v>
      </c>
      <c r="R804" t="str">
        <f>"רתמות"</f>
        <v>רתמות</v>
      </c>
      <c r="S804" t="str">
        <f>"034"</f>
        <v>034</v>
      </c>
      <c r="T804" t="str">
        <f>"מוסקוביץ אולגה"</f>
        <v>מוסקוביץ אולגה</v>
      </c>
      <c r="U804">
        <v>0</v>
      </c>
      <c r="V804">
        <v>0</v>
      </c>
      <c r="W804">
        <v>174</v>
      </c>
      <c r="X804">
        <v>696</v>
      </c>
      <c r="Z804" t="str">
        <f>"Y"</f>
        <v>Y</v>
      </c>
      <c r="AA804">
        <v>0</v>
      </c>
      <c r="AC804">
        <v>0</v>
      </c>
      <c r="AE804">
        <v>0</v>
      </c>
      <c r="AF804">
        <v>0</v>
      </c>
      <c r="AG804">
        <v>581.86</v>
      </c>
      <c r="AH804">
        <v>0</v>
      </c>
      <c r="AI804" s="2">
        <v>2327.42</v>
      </c>
      <c r="AJ804">
        <v>696</v>
      </c>
      <c r="AK804">
        <v>696</v>
      </c>
      <c r="AL804" t="str">
        <f>"$"</f>
        <v>$</v>
      </c>
    </row>
    <row r="805" spans="1:38" x14ac:dyDescent="0.3">
      <c r="A805" t="str">
        <f>"SO20000532"</f>
        <v>SO20000532</v>
      </c>
      <c r="B805" t="str">
        <f>"E000321177"</f>
        <v>E000321177</v>
      </c>
      <c r="C805" t="str">
        <f>"בוצעה"</f>
        <v>בוצעה</v>
      </c>
      <c r="E805" s="3">
        <v>44155</v>
      </c>
      <c r="F805" s="3">
        <v>44378</v>
      </c>
      <c r="G805" t="str">
        <f>"700065"</f>
        <v>700065</v>
      </c>
      <c r="H805" t="str">
        <f>"אלתא מערכות בע""מ"</f>
        <v>אלתא מערכות בע"מ</v>
      </c>
      <c r="I805" t="str">
        <f>"ערן שלו"</f>
        <v>ערן שלו</v>
      </c>
      <c r="J805" t="str">
        <f>"OP-AR02111"</f>
        <v>OP-AR02111</v>
      </c>
      <c r="K805" s="1" t="str">
        <f>"1032F928-001/-   ETHERNET CABLE MFR-W928 - FILTE"</f>
        <v>1032F928-001/-   ETHERNET CABLE MFR-W928 - FILTE</v>
      </c>
      <c r="L805">
        <v>4</v>
      </c>
      <c r="M805" t="str">
        <f>"PR20000834"</f>
        <v>PR20000834</v>
      </c>
      <c r="N805" t="str">
        <f>"BEL"</f>
        <v>BEL</v>
      </c>
      <c r="O805">
        <v>174</v>
      </c>
      <c r="P805" t="str">
        <f>"$"</f>
        <v>$</v>
      </c>
      <c r="Q805" t="str">
        <f>"117"</f>
        <v>117</v>
      </c>
      <c r="R805" t="str">
        <f>"רתמות"</f>
        <v>רתמות</v>
      </c>
      <c r="S805" t="str">
        <f>"034"</f>
        <v>034</v>
      </c>
      <c r="T805" t="str">
        <f>"מוסקוביץ אולגה"</f>
        <v>מוסקוביץ אולגה</v>
      </c>
      <c r="U805">
        <v>0</v>
      </c>
      <c r="V805">
        <v>0</v>
      </c>
      <c r="W805">
        <v>174</v>
      </c>
      <c r="X805">
        <v>696</v>
      </c>
      <c r="Z805" t="str">
        <f>"Y"</f>
        <v>Y</v>
      </c>
      <c r="AA805">
        <v>0</v>
      </c>
      <c r="AC805">
        <v>0</v>
      </c>
      <c r="AE805">
        <v>0</v>
      </c>
      <c r="AF805">
        <v>0</v>
      </c>
      <c r="AG805">
        <v>581.86</v>
      </c>
      <c r="AH805">
        <v>0</v>
      </c>
      <c r="AI805" s="2">
        <v>2327.42</v>
      </c>
      <c r="AJ805">
        <v>696</v>
      </c>
      <c r="AK805">
        <v>696</v>
      </c>
      <c r="AL805" t="str">
        <f>"$"</f>
        <v>$</v>
      </c>
    </row>
    <row r="806" spans="1:38" x14ac:dyDescent="0.3">
      <c r="A806" t="str">
        <f>"SO20000532"</f>
        <v>SO20000532</v>
      </c>
      <c r="B806" t="str">
        <f>"E000321177"</f>
        <v>E000321177</v>
      </c>
      <c r="C806" t="str">
        <f>"בוצעה"</f>
        <v>בוצעה</v>
      </c>
      <c r="E806" s="3">
        <v>44155</v>
      </c>
      <c r="F806" s="3">
        <v>44593</v>
      </c>
      <c r="G806" t="str">
        <f>"700065"</f>
        <v>700065</v>
      </c>
      <c r="H806" t="str">
        <f>"אלתא מערכות בע""מ"</f>
        <v>אלתא מערכות בע"מ</v>
      </c>
      <c r="I806" t="str">
        <f>"ערן שלו"</f>
        <v>ערן שלו</v>
      </c>
      <c r="J806" t="str">
        <f>"OP-AR02111"</f>
        <v>OP-AR02111</v>
      </c>
      <c r="K806" s="1" t="str">
        <f>"1032F928-001/-   ETHERNET CABLE MFR-W928 - FILTE"</f>
        <v>1032F928-001/-   ETHERNET CABLE MFR-W928 - FILTE</v>
      </c>
      <c r="L806">
        <v>4</v>
      </c>
      <c r="M806" t="str">
        <f>"PR20000834"</f>
        <v>PR20000834</v>
      </c>
      <c r="N806" t="str">
        <f>"BEL"</f>
        <v>BEL</v>
      </c>
      <c r="O806">
        <v>174</v>
      </c>
      <c r="P806" t="str">
        <f>"$"</f>
        <v>$</v>
      </c>
      <c r="Q806" t="str">
        <f>"117"</f>
        <v>117</v>
      </c>
      <c r="R806" t="str">
        <f>"רתמות"</f>
        <v>רתמות</v>
      </c>
      <c r="S806" t="str">
        <f>"034"</f>
        <v>034</v>
      </c>
      <c r="T806" t="str">
        <f>"מוסקוביץ אולגה"</f>
        <v>מוסקוביץ אולגה</v>
      </c>
      <c r="U806">
        <v>0</v>
      </c>
      <c r="V806">
        <v>0</v>
      </c>
      <c r="W806">
        <v>174</v>
      </c>
      <c r="X806">
        <v>696</v>
      </c>
      <c r="Z806" t="str">
        <f>"Y"</f>
        <v>Y</v>
      </c>
      <c r="AA806">
        <v>0</v>
      </c>
      <c r="AC806">
        <v>0</v>
      </c>
      <c r="AE806">
        <v>0</v>
      </c>
      <c r="AF806">
        <v>0</v>
      </c>
      <c r="AG806">
        <v>581.86</v>
      </c>
      <c r="AH806">
        <v>0</v>
      </c>
      <c r="AI806" s="2">
        <v>2327.42</v>
      </c>
      <c r="AJ806">
        <v>696</v>
      </c>
      <c r="AK806">
        <v>696</v>
      </c>
      <c r="AL806" t="str">
        <f>"$"</f>
        <v>$</v>
      </c>
    </row>
    <row r="807" spans="1:38" x14ac:dyDescent="0.3">
      <c r="A807" t="str">
        <f>"SO20000532"</f>
        <v>SO20000532</v>
      </c>
      <c r="B807" t="str">
        <f>"E000321177"</f>
        <v>E000321177</v>
      </c>
      <c r="C807" t="str">
        <f>"בוצעה"</f>
        <v>בוצעה</v>
      </c>
      <c r="E807" s="3">
        <v>44155</v>
      </c>
      <c r="F807" s="3">
        <v>45047</v>
      </c>
      <c r="G807" t="str">
        <f>"700065"</f>
        <v>700065</v>
      </c>
      <c r="H807" t="str">
        <f>"אלתא מערכות בע""מ"</f>
        <v>אלתא מערכות בע"מ</v>
      </c>
      <c r="I807" t="str">
        <f>"ערן שלו"</f>
        <v>ערן שלו</v>
      </c>
      <c r="J807" t="str">
        <f>"OP-AR02111"</f>
        <v>OP-AR02111</v>
      </c>
      <c r="K807" s="1" t="str">
        <f>"1032F928-001/-   ETHERNET CABLE MFR-W928 - FILTE"</f>
        <v>1032F928-001/-   ETHERNET CABLE MFR-W928 - FILTE</v>
      </c>
      <c r="L807">
        <v>4</v>
      </c>
      <c r="M807" t="str">
        <f>"PR20000834"</f>
        <v>PR20000834</v>
      </c>
      <c r="N807" t="str">
        <f>"BEL"</f>
        <v>BEL</v>
      </c>
      <c r="O807">
        <v>174</v>
      </c>
      <c r="P807" t="str">
        <f>"$"</f>
        <v>$</v>
      </c>
      <c r="Q807" t="str">
        <f>"117"</f>
        <v>117</v>
      </c>
      <c r="R807" t="str">
        <f>"רתמות"</f>
        <v>רתמות</v>
      </c>
      <c r="S807" t="str">
        <f>"034"</f>
        <v>034</v>
      </c>
      <c r="T807" t="str">
        <f>"מוסקוביץ אולגה"</f>
        <v>מוסקוביץ אולגה</v>
      </c>
      <c r="U807">
        <v>0</v>
      </c>
      <c r="V807">
        <v>0</v>
      </c>
      <c r="W807">
        <v>174</v>
      </c>
      <c r="X807">
        <v>696</v>
      </c>
      <c r="Z807" t="str">
        <f>"Y"</f>
        <v>Y</v>
      </c>
      <c r="AA807">
        <v>0</v>
      </c>
      <c r="AC807">
        <v>0</v>
      </c>
      <c r="AE807">
        <v>0</v>
      </c>
      <c r="AF807">
        <v>0</v>
      </c>
      <c r="AG807">
        <v>581.86</v>
      </c>
      <c r="AH807">
        <v>0</v>
      </c>
      <c r="AI807" s="2">
        <v>2327.42</v>
      </c>
      <c r="AJ807">
        <v>696</v>
      </c>
      <c r="AK807">
        <v>696</v>
      </c>
      <c r="AL807" t="str">
        <f>"$"</f>
        <v>$</v>
      </c>
    </row>
    <row r="808" spans="1:38" x14ac:dyDescent="0.3">
      <c r="A808" t="str">
        <f>"SO20000532"</f>
        <v>SO20000532</v>
      </c>
      <c r="B808" t="str">
        <f>"E000321177"</f>
        <v>E000321177</v>
      </c>
      <c r="C808" t="str">
        <f>"בוצעה"</f>
        <v>בוצעה</v>
      </c>
      <c r="E808" s="3">
        <v>44155</v>
      </c>
      <c r="F808" s="3">
        <v>45047</v>
      </c>
      <c r="G808" t="str">
        <f>"700065"</f>
        <v>700065</v>
      </c>
      <c r="H808" t="str">
        <f>"אלתא מערכות בע""מ"</f>
        <v>אלתא מערכות בע"מ</v>
      </c>
      <c r="I808" t="str">
        <f>"ערן שלו"</f>
        <v>ערן שלו</v>
      </c>
      <c r="J808" t="str">
        <f>"OP-AR02111"</f>
        <v>OP-AR02111</v>
      </c>
      <c r="K808" s="1" t="str">
        <f>"1032F928-001/-   ETHERNET CABLE MFR-W928 - FILTE"</f>
        <v>1032F928-001/-   ETHERNET CABLE MFR-W928 - FILTE</v>
      </c>
      <c r="L808">
        <v>4</v>
      </c>
      <c r="M808" t="str">
        <f>"PR20000834"</f>
        <v>PR20000834</v>
      </c>
      <c r="N808" t="str">
        <f>"BEL"</f>
        <v>BEL</v>
      </c>
      <c r="O808">
        <v>174</v>
      </c>
      <c r="P808" t="str">
        <f>"$"</f>
        <v>$</v>
      </c>
      <c r="Q808" t="str">
        <f>"117"</f>
        <v>117</v>
      </c>
      <c r="R808" t="str">
        <f>"רתמות"</f>
        <v>רתמות</v>
      </c>
      <c r="S808" t="str">
        <f>"034"</f>
        <v>034</v>
      </c>
      <c r="T808" t="str">
        <f>"מוסקוביץ אולגה"</f>
        <v>מוסקוביץ אולגה</v>
      </c>
      <c r="U808">
        <v>0</v>
      </c>
      <c r="V808">
        <v>0</v>
      </c>
      <c r="W808">
        <v>174</v>
      </c>
      <c r="X808">
        <v>696</v>
      </c>
      <c r="Z808" t="str">
        <f>"Y"</f>
        <v>Y</v>
      </c>
      <c r="AA808">
        <v>0</v>
      </c>
      <c r="AC808">
        <v>0</v>
      </c>
      <c r="AE808">
        <v>0</v>
      </c>
      <c r="AF808">
        <v>0</v>
      </c>
      <c r="AG808">
        <v>581.86</v>
      </c>
      <c r="AH808">
        <v>0</v>
      </c>
      <c r="AI808" s="2">
        <v>2327.42</v>
      </c>
      <c r="AJ808">
        <v>696</v>
      </c>
      <c r="AK808">
        <v>696</v>
      </c>
      <c r="AL808" t="str">
        <f>"$"</f>
        <v>$</v>
      </c>
    </row>
    <row r="809" spans="1:38" x14ac:dyDescent="0.3">
      <c r="A809" t="str">
        <f>"SO20000532"</f>
        <v>SO20000532</v>
      </c>
      <c r="B809" t="str">
        <f>"E000321177"</f>
        <v>E000321177</v>
      </c>
      <c r="C809" t="str">
        <f>"בוצעה"</f>
        <v>בוצעה</v>
      </c>
      <c r="E809" s="3">
        <v>44155</v>
      </c>
      <c r="F809" s="3">
        <v>44242</v>
      </c>
      <c r="G809" t="str">
        <f>"700065"</f>
        <v>700065</v>
      </c>
      <c r="H809" t="str">
        <f>"אלתא מערכות בע""מ"</f>
        <v>אלתא מערכות בע"מ</v>
      </c>
      <c r="I809" t="str">
        <f>"ערן שלו"</f>
        <v>ערן שלו</v>
      </c>
      <c r="J809" t="str">
        <f>"OP-AR02112"</f>
        <v>OP-AR02112</v>
      </c>
      <c r="K809" s="1" t="str">
        <f>"1032F929-001/-   ETHERNET CABLE MFR-W929 - FILTE"</f>
        <v>1032F929-001/-   ETHERNET CABLE MFR-W929 - FILTE</v>
      </c>
      <c r="L809">
        <v>8</v>
      </c>
      <c r="M809" t="str">
        <f>"PR20000834"</f>
        <v>PR20000834</v>
      </c>
      <c r="N809" t="str">
        <f>"BEL"</f>
        <v>BEL</v>
      </c>
      <c r="O809">
        <v>176.77</v>
      </c>
      <c r="P809" t="str">
        <f>"$"</f>
        <v>$</v>
      </c>
      <c r="Q809" t="str">
        <f>"117"</f>
        <v>117</v>
      </c>
      <c r="R809" t="str">
        <f>"רתמות"</f>
        <v>רתמות</v>
      </c>
      <c r="S809" t="str">
        <f>"034"</f>
        <v>034</v>
      </c>
      <c r="T809" t="str">
        <f>"מוסקוביץ אולגה"</f>
        <v>מוסקוביץ אולגה</v>
      </c>
      <c r="U809">
        <v>0</v>
      </c>
      <c r="V809">
        <v>0</v>
      </c>
      <c r="W809">
        <v>176.77</v>
      </c>
      <c r="X809" s="2">
        <v>1414.16</v>
      </c>
      <c r="Z809" t="str">
        <f>"Y"</f>
        <v>Y</v>
      </c>
      <c r="AA809">
        <v>0</v>
      </c>
      <c r="AC809">
        <v>0</v>
      </c>
      <c r="AE809">
        <v>0</v>
      </c>
      <c r="AF809">
        <v>0</v>
      </c>
      <c r="AG809">
        <v>591.12</v>
      </c>
      <c r="AH809">
        <v>0</v>
      </c>
      <c r="AI809" s="2">
        <v>4728.95</v>
      </c>
      <c r="AJ809" s="2">
        <v>1414.16</v>
      </c>
      <c r="AK809" s="2">
        <v>1414.16</v>
      </c>
      <c r="AL809" t="str">
        <f>"$"</f>
        <v>$</v>
      </c>
    </row>
    <row r="810" spans="1:38" x14ac:dyDescent="0.3">
      <c r="A810" t="str">
        <f>"SO20000532"</f>
        <v>SO20000532</v>
      </c>
      <c r="B810" t="str">
        <f>"E000321177"</f>
        <v>E000321177</v>
      </c>
      <c r="C810" t="str">
        <f>"בוצעה"</f>
        <v>בוצעה</v>
      </c>
      <c r="E810" s="3">
        <v>44155</v>
      </c>
      <c r="F810" s="3">
        <v>44378</v>
      </c>
      <c r="G810" t="str">
        <f>"700065"</f>
        <v>700065</v>
      </c>
      <c r="H810" t="str">
        <f>"אלתא מערכות בע""מ"</f>
        <v>אלתא מערכות בע"מ</v>
      </c>
      <c r="I810" t="str">
        <f>"ערן שלו"</f>
        <v>ערן שלו</v>
      </c>
      <c r="J810" t="str">
        <f>"OP-AR02112"</f>
        <v>OP-AR02112</v>
      </c>
      <c r="K810" s="1" t="str">
        <f>"1032F929-001/-   ETHERNET CABLE MFR-W929 - FILTE"</f>
        <v>1032F929-001/-   ETHERNET CABLE MFR-W929 - FILTE</v>
      </c>
      <c r="L810">
        <v>4</v>
      </c>
      <c r="M810" t="str">
        <f>"PR20000834"</f>
        <v>PR20000834</v>
      </c>
      <c r="N810" t="str">
        <f>"BEL"</f>
        <v>BEL</v>
      </c>
      <c r="O810">
        <v>176.77</v>
      </c>
      <c r="P810" t="str">
        <f>"$"</f>
        <v>$</v>
      </c>
      <c r="Q810" t="str">
        <f>"117"</f>
        <v>117</v>
      </c>
      <c r="R810" t="str">
        <f>"רתמות"</f>
        <v>רתמות</v>
      </c>
      <c r="S810" t="str">
        <f>"034"</f>
        <v>034</v>
      </c>
      <c r="T810" t="str">
        <f>"מוסקוביץ אולגה"</f>
        <v>מוסקוביץ אולגה</v>
      </c>
      <c r="U810">
        <v>0</v>
      </c>
      <c r="V810">
        <v>0</v>
      </c>
      <c r="W810">
        <v>176.77</v>
      </c>
      <c r="X810">
        <v>707.08</v>
      </c>
      <c r="Z810" t="str">
        <f>"Y"</f>
        <v>Y</v>
      </c>
      <c r="AA810">
        <v>0</v>
      </c>
      <c r="AC810">
        <v>0</v>
      </c>
      <c r="AE810">
        <v>0</v>
      </c>
      <c r="AF810">
        <v>0</v>
      </c>
      <c r="AG810">
        <v>591.12</v>
      </c>
      <c r="AH810">
        <v>0</v>
      </c>
      <c r="AI810" s="2">
        <v>2364.48</v>
      </c>
      <c r="AJ810">
        <v>707.08</v>
      </c>
      <c r="AK810">
        <v>707.08</v>
      </c>
      <c r="AL810" t="str">
        <f>"$"</f>
        <v>$</v>
      </c>
    </row>
    <row r="811" spans="1:38" x14ac:dyDescent="0.3">
      <c r="A811" t="str">
        <f>"SO20000532"</f>
        <v>SO20000532</v>
      </c>
      <c r="B811" t="str">
        <f>"E000321177"</f>
        <v>E000321177</v>
      </c>
      <c r="C811" t="str">
        <f>"בוצעה"</f>
        <v>בוצעה</v>
      </c>
      <c r="E811" s="3">
        <v>44155</v>
      </c>
      <c r="F811" s="3">
        <v>44378</v>
      </c>
      <c r="G811" t="str">
        <f>"700065"</f>
        <v>700065</v>
      </c>
      <c r="H811" t="str">
        <f>"אלתא מערכות בע""מ"</f>
        <v>אלתא מערכות בע"מ</v>
      </c>
      <c r="I811" t="str">
        <f>"ערן שלו"</f>
        <v>ערן שלו</v>
      </c>
      <c r="J811" t="str">
        <f>"OP-AR02112"</f>
        <v>OP-AR02112</v>
      </c>
      <c r="K811" s="1" t="str">
        <f>"1032F929-001/-   ETHERNET CABLE MFR-W929 - FILTE"</f>
        <v>1032F929-001/-   ETHERNET CABLE MFR-W929 - FILTE</v>
      </c>
      <c r="L811">
        <v>4</v>
      </c>
      <c r="M811" t="str">
        <f>"PR20000834"</f>
        <v>PR20000834</v>
      </c>
      <c r="N811" t="str">
        <f>"BEL"</f>
        <v>BEL</v>
      </c>
      <c r="O811">
        <v>176.77</v>
      </c>
      <c r="P811" t="str">
        <f>"$"</f>
        <v>$</v>
      </c>
      <c r="Q811" t="str">
        <f>"117"</f>
        <v>117</v>
      </c>
      <c r="R811" t="str">
        <f>"רתמות"</f>
        <v>רתמות</v>
      </c>
      <c r="S811" t="str">
        <f>"034"</f>
        <v>034</v>
      </c>
      <c r="T811" t="str">
        <f>"מוסקוביץ אולגה"</f>
        <v>מוסקוביץ אולגה</v>
      </c>
      <c r="U811">
        <v>0</v>
      </c>
      <c r="V811">
        <v>0</v>
      </c>
      <c r="W811">
        <v>176.77</v>
      </c>
      <c r="X811">
        <v>707.08</v>
      </c>
      <c r="Z811" t="str">
        <f>"Y"</f>
        <v>Y</v>
      </c>
      <c r="AA811">
        <v>0</v>
      </c>
      <c r="AC811">
        <v>0</v>
      </c>
      <c r="AE811">
        <v>0</v>
      </c>
      <c r="AF811">
        <v>0</v>
      </c>
      <c r="AG811">
        <v>591.12</v>
      </c>
      <c r="AH811">
        <v>0</v>
      </c>
      <c r="AI811" s="2">
        <v>2364.48</v>
      </c>
      <c r="AJ811">
        <v>707.08</v>
      </c>
      <c r="AK811">
        <v>707.08</v>
      </c>
      <c r="AL811" t="str">
        <f>"$"</f>
        <v>$</v>
      </c>
    </row>
    <row r="812" spans="1:38" x14ac:dyDescent="0.3">
      <c r="A812" t="str">
        <f>"SO20000532"</f>
        <v>SO20000532</v>
      </c>
      <c r="B812" t="str">
        <f>"E000321177"</f>
        <v>E000321177</v>
      </c>
      <c r="C812" t="str">
        <f>"בוצעה"</f>
        <v>בוצעה</v>
      </c>
      <c r="E812" s="3">
        <v>44155</v>
      </c>
      <c r="F812" s="3">
        <v>44593</v>
      </c>
      <c r="G812" t="str">
        <f>"700065"</f>
        <v>700065</v>
      </c>
      <c r="H812" t="str">
        <f>"אלתא מערכות בע""מ"</f>
        <v>אלתא מערכות בע"מ</v>
      </c>
      <c r="I812" t="str">
        <f>"ערן שלו"</f>
        <v>ערן שלו</v>
      </c>
      <c r="J812" t="str">
        <f>"OP-AR02112"</f>
        <v>OP-AR02112</v>
      </c>
      <c r="K812" s="1" t="str">
        <f>"1032F929-001/-   ETHERNET CABLE MFR-W929 - FILTE"</f>
        <v>1032F929-001/-   ETHERNET CABLE MFR-W929 - FILTE</v>
      </c>
      <c r="L812">
        <v>4</v>
      </c>
      <c r="M812" t="str">
        <f>"PR20000834"</f>
        <v>PR20000834</v>
      </c>
      <c r="N812" t="str">
        <f>"BEL"</f>
        <v>BEL</v>
      </c>
      <c r="O812">
        <v>176.77</v>
      </c>
      <c r="P812" t="str">
        <f>"$"</f>
        <v>$</v>
      </c>
      <c r="Q812" t="str">
        <f>"117"</f>
        <v>117</v>
      </c>
      <c r="R812" t="str">
        <f>"רתמות"</f>
        <v>רתמות</v>
      </c>
      <c r="S812" t="str">
        <f>"034"</f>
        <v>034</v>
      </c>
      <c r="T812" t="str">
        <f>"מוסקוביץ אולגה"</f>
        <v>מוסקוביץ אולגה</v>
      </c>
      <c r="U812">
        <v>0</v>
      </c>
      <c r="V812">
        <v>0</v>
      </c>
      <c r="W812">
        <v>176.77</v>
      </c>
      <c r="X812">
        <v>707.08</v>
      </c>
      <c r="Z812" t="str">
        <f>"Y"</f>
        <v>Y</v>
      </c>
      <c r="AA812">
        <v>0</v>
      </c>
      <c r="AC812">
        <v>0</v>
      </c>
      <c r="AE812">
        <v>0</v>
      </c>
      <c r="AF812">
        <v>0</v>
      </c>
      <c r="AG812">
        <v>591.12</v>
      </c>
      <c r="AH812">
        <v>0</v>
      </c>
      <c r="AI812" s="2">
        <v>2364.48</v>
      </c>
      <c r="AJ812">
        <v>707.08</v>
      </c>
      <c r="AK812">
        <v>707.08</v>
      </c>
      <c r="AL812" t="str">
        <f>"$"</f>
        <v>$</v>
      </c>
    </row>
    <row r="813" spans="1:38" x14ac:dyDescent="0.3">
      <c r="A813" t="str">
        <f>"SO20000532"</f>
        <v>SO20000532</v>
      </c>
      <c r="B813" t="str">
        <f>"E000321177"</f>
        <v>E000321177</v>
      </c>
      <c r="C813" t="str">
        <f>"בוצעה"</f>
        <v>בוצעה</v>
      </c>
      <c r="E813" s="3">
        <v>44155</v>
      </c>
      <c r="F813" s="3">
        <v>45047</v>
      </c>
      <c r="G813" t="str">
        <f>"700065"</f>
        <v>700065</v>
      </c>
      <c r="H813" t="str">
        <f>"אלתא מערכות בע""מ"</f>
        <v>אלתא מערכות בע"מ</v>
      </c>
      <c r="I813" t="str">
        <f>"ערן שלו"</f>
        <v>ערן שלו</v>
      </c>
      <c r="J813" t="str">
        <f>"OP-AR02112"</f>
        <v>OP-AR02112</v>
      </c>
      <c r="K813" s="1" t="str">
        <f>"1032F929-001/-   ETHERNET CABLE MFR-W929 - FILTE"</f>
        <v>1032F929-001/-   ETHERNET CABLE MFR-W929 - FILTE</v>
      </c>
      <c r="L813">
        <v>4</v>
      </c>
      <c r="M813" t="str">
        <f>"PR20000834"</f>
        <v>PR20000834</v>
      </c>
      <c r="N813" t="str">
        <f>"BEL"</f>
        <v>BEL</v>
      </c>
      <c r="O813">
        <v>176.77</v>
      </c>
      <c r="P813" t="str">
        <f>"$"</f>
        <v>$</v>
      </c>
      <c r="Q813" t="str">
        <f>"117"</f>
        <v>117</v>
      </c>
      <c r="R813" t="str">
        <f>"רתמות"</f>
        <v>רתמות</v>
      </c>
      <c r="S813" t="str">
        <f>"034"</f>
        <v>034</v>
      </c>
      <c r="T813" t="str">
        <f>"מוסקוביץ אולגה"</f>
        <v>מוסקוביץ אולגה</v>
      </c>
      <c r="U813">
        <v>0</v>
      </c>
      <c r="V813">
        <v>0</v>
      </c>
      <c r="W813">
        <v>176.77</v>
      </c>
      <c r="X813">
        <v>707.08</v>
      </c>
      <c r="Z813" t="str">
        <f>"Y"</f>
        <v>Y</v>
      </c>
      <c r="AA813">
        <v>0</v>
      </c>
      <c r="AC813">
        <v>0</v>
      </c>
      <c r="AE813">
        <v>0</v>
      </c>
      <c r="AF813">
        <v>0</v>
      </c>
      <c r="AG813">
        <v>591.12</v>
      </c>
      <c r="AH813">
        <v>0</v>
      </c>
      <c r="AI813" s="2">
        <v>2364.48</v>
      </c>
      <c r="AJ813">
        <v>707.08</v>
      </c>
      <c r="AK813">
        <v>707.08</v>
      </c>
      <c r="AL813" t="str">
        <f>"$"</f>
        <v>$</v>
      </c>
    </row>
    <row r="814" spans="1:38" x14ac:dyDescent="0.3">
      <c r="A814" t="str">
        <f>"SO20000532"</f>
        <v>SO20000532</v>
      </c>
      <c r="B814" t="str">
        <f>"E000321177"</f>
        <v>E000321177</v>
      </c>
      <c r="C814" t="str">
        <f>"בוצעה"</f>
        <v>בוצעה</v>
      </c>
      <c r="E814" s="3">
        <v>44155</v>
      </c>
      <c r="F814" s="3">
        <v>45047</v>
      </c>
      <c r="G814" t="str">
        <f>"700065"</f>
        <v>700065</v>
      </c>
      <c r="H814" t="str">
        <f>"אלתא מערכות בע""מ"</f>
        <v>אלתא מערכות בע"מ</v>
      </c>
      <c r="I814" t="str">
        <f>"ערן שלו"</f>
        <v>ערן שלו</v>
      </c>
      <c r="J814" t="str">
        <f>"OP-AR02112"</f>
        <v>OP-AR02112</v>
      </c>
      <c r="K814" s="1" t="str">
        <f>"1032F929-001/-   ETHERNET CABLE MFR-W929 - FILTE"</f>
        <v>1032F929-001/-   ETHERNET CABLE MFR-W929 - FILTE</v>
      </c>
      <c r="L814">
        <v>4</v>
      </c>
      <c r="M814" t="str">
        <f>"PR20000834"</f>
        <v>PR20000834</v>
      </c>
      <c r="N814" t="str">
        <f>"BEL"</f>
        <v>BEL</v>
      </c>
      <c r="O814">
        <v>176.77</v>
      </c>
      <c r="P814" t="str">
        <f>"$"</f>
        <v>$</v>
      </c>
      <c r="Q814" t="str">
        <f>"117"</f>
        <v>117</v>
      </c>
      <c r="R814" t="str">
        <f>"רתמות"</f>
        <v>רתמות</v>
      </c>
      <c r="S814" t="str">
        <f>"034"</f>
        <v>034</v>
      </c>
      <c r="T814" t="str">
        <f>"מוסקוביץ אולגה"</f>
        <v>מוסקוביץ אולגה</v>
      </c>
      <c r="U814">
        <v>0</v>
      </c>
      <c r="V814">
        <v>0</v>
      </c>
      <c r="W814">
        <v>176.77</v>
      </c>
      <c r="X814">
        <v>707.08</v>
      </c>
      <c r="Z814" t="str">
        <f>"Y"</f>
        <v>Y</v>
      </c>
      <c r="AA814">
        <v>0</v>
      </c>
      <c r="AC814">
        <v>0</v>
      </c>
      <c r="AE814">
        <v>0</v>
      </c>
      <c r="AF814">
        <v>0</v>
      </c>
      <c r="AG814">
        <v>591.12</v>
      </c>
      <c r="AH814">
        <v>0</v>
      </c>
      <c r="AI814" s="2">
        <v>2364.48</v>
      </c>
      <c r="AJ814">
        <v>707.08</v>
      </c>
      <c r="AK814">
        <v>707.08</v>
      </c>
      <c r="AL814" t="str">
        <f>"$"</f>
        <v>$</v>
      </c>
    </row>
    <row r="815" spans="1:38" x14ac:dyDescent="0.3">
      <c r="A815" t="str">
        <f>"SO20000532"</f>
        <v>SO20000532</v>
      </c>
      <c r="B815" t="str">
        <f>"E000321177"</f>
        <v>E000321177</v>
      </c>
      <c r="C815" t="str">
        <f>"בוצעה"</f>
        <v>בוצעה</v>
      </c>
      <c r="E815" s="3">
        <v>44155</v>
      </c>
      <c r="F815" s="3">
        <v>44242</v>
      </c>
      <c r="G815" t="str">
        <f>"700065"</f>
        <v>700065</v>
      </c>
      <c r="H815" t="str">
        <f>"אלתא מערכות בע""מ"</f>
        <v>אלתא מערכות בע"מ</v>
      </c>
      <c r="I815" t="str">
        <f>"ערן שלו"</f>
        <v>ערן שלו</v>
      </c>
      <c r="J815" t="str">
        <f>"OP-AR02113"</f>
        <v>OP-AR02113</v>
      </c>
      <c r="K815" s="1" t="str">
        <f>"1032F930-001/-   ETHERNET CABLE MFR-W930 - FILTE"</f>
        <v>1032F930-001/-   ETHERNET CABLE MFR-W930 - FILTE</v>
      </c>
      <c r="L815">
        <v>8</v>
      </c>
      <c r="M815" t="str">
        <f>"PR20000834"</f>
        <v>PR20000834</v>
      </c>
      <c r="N815" t="str">
        <f>"BEL"</f>
        <v>BEL</v>
      </c>
      <c r="O815">
        <v>174</v>
      </c>
      <c r="P815" t="str">
        <f>"$"</f>
        <v>$</v>
      </c>
      <c r="Q815" t="str">
        <f>"117"</f>
        <v>117</v>
      </c>
      <c r="R815" t="str">
        <f>"רתמות"</f>
        <v>רתמות</v>
      </c>
      <c r="S815" t="str">
        <f>"034"</f>
        <v>034</v>
      </c>
      <c r="T815" t="str">
        <f>"מוסקוביץ אולגה"</f>
        <v>מוסקוביץ אולגה</v>
      </c>
      <c r="U815">
        <v>0</v>
      </c>
      <c r="V815">
        <v>0</v>
      </c>
      <c r="W815">
        <v>174</v>
      </c>
      <c r="X815" s="2">
        <v>1392</v>
      </c>
      <c r="Z815" t="str">
        <f>"Y"</f>
        <v>Y</v>
      </c>
      <c r="AA815">
        <v>0</v>
      </c>
      <c r="AC815">
        <v>0</v>
      </c>
      <c r="AE815">
        <v>0</v>
      </c>
      <c r="AF815">
        <v>0</v>
      </c>
      <c r="AG815">
        <v>581.86</v>
      </c>
      <c r="AH815">
        <v>0</v>
      </c>
      <c r="AI815" s="2">
        <v>4654.8500000000004</v>
      </c>
      <c r="AJ815" s="2">
        <v>1392</v>
      </c>
      <c r="AK815" s="2">
        <v>1392</v>
      </c>
      <c r="AL815" t="str">
        <f>"$"</f>
        <v>$</v>
      </c>
    </row>
    <row r="816" spans="1:38" x14ac:dyDescent="0.3">
      <c r="A816" t="str">
        <f>"SO20000532"</f>
        <v>SO20000532</v>
      </c>
      <c r="B816" t="str">
        <f>"E000321177"</f>
        <v>E000321177</v>
      </c>
      <c r="C816" t="str">
        <f>"בוצעה"</f>
        <v>בוצעה</v>
      </c>
      <c r="E816" s="3">
        <v>44155</v>
      </c>
      <c r="F816" s="3">
        <v>44378</v>
      </c>
      <c r="G816" t="str">
        <f>"700065"</f>
        <v>700065</v>
      </c>
      <c r="H816" t="str">
        <f>"אלתא מערכות בע""מ"</f>
        <v>אלתא מערכות בע"מ</v>
      </c>
      <c r="I816" t="str">
        <f>"ערן שלו"</f>
        <v>ערן שלו</v>
      </c>
      <c r="J816" t="str">
        <f>"OP-AR02113"</f>
        <v>OP-AR02113</v>
      </c>
      <c r="K816" s="1" t="str">
        <f>"1032F930-001/-   ETHERNET CABLE MFR-W930 - FILTE"</f>
        <v>1032F930-001/-   ETHERNET CABLE MFR-W930 - FILTE</v>
      </c>
      <c r="L816">
        <v>4</v>
      </c>
      <c r="M816" t="str">
        <f>"PR20000834"</f>
        <v>PR20000834</v>
      </c>
      <c r="N816" t="str">
        <f>"BEL"</f>
        <v>BEL</v>
      </c>
      <c r="O816">
        <v>174</v>
      </c>
      <c r="P816" t="str">
        <f>"$"</f>
        <v>$</v>
      </c>
      <c r="Q816" t="str">
        <f>"117"</f>
        <v>117</v>
      </c>
      <c r="R816" t="str">
        <f>"רתמות"</f>
        <v>רתמות</v>
      </c>
      <c r="S816" t="str">
        <f>"034"</f>
        <v>034</v>
      </c>
      <c r="T816" t="str">
        <f>"מוסקוביץ אולגה"</f>
        <v>מוסקוביץ אולגה</v>
      </c>
      <c r="U816">
        <v>0</v>
      </c>
      <c r="V816">
        <v>0</v>
      </c>
      <c r="W816">
        <v>174</v>
      </c>
      <c r="X816">
        <v>696</v>
      </c>
      <c r="Z816" t="str">
        <f>"Y"</f>
        <v>Y</v>
      </c>
      <c r="AA816">
        <v>0</v>
      </c>
      <c r="AC816">
        <v>0</v>
      </c>
      <c r="AE816">
        <v>0</v>
      </c>
      <c r="AF816">
        <v>0</v>
      </c>
      <c r="AG816">
        <v>581.86</v>
      </c>
      <c r="AH816">
        <v>0</v>
      </c>
      <c r="AI816" s="2">
        <v>2327.42</v>
      </c>
      <c r="AJ816">
        <v>696</v>
      </c>
      <c r="AK816">
        <v>696</v>
      </c>
      <c r="AL816" t="str">
        <f>"$"</f>
        <v>$</v>
      </c>
    </row>
    <row r="817" spans="1:38" x14ac:dyDescent="0.3">
      <c r="A817" t="str">
        <f>"SO20000532"</f>
        <v>SO20000532</v>
      </c>
      <c r="B817" t="str">
        <f>"E000321177"</f>
        <v>E000321177</v>
      </c>
      <c r="C817" t="str">
        <f>"בוצעה"</f>
        <v>בוצעה</v>
      </c>
      <c r="E817" s="3">
        <v>44155</v>
      </c>
      <c r="F817" s="3">
        <v>44378</v>
      </c>
      <c r="G817" t="str">
        <f>"700065"</f>
        <v>700065</v>
      </c>
      <c r="H817" t="str">
        <f>"אלתא מערכות בע""מ"</f>
        <v>אלתא מערכות בע"מ</v>
      </c>
      <c r="I817" t="str">
        <f>"ערן שלו"</f>
        <v>ערן שלו</v>
      </c>
      <c r="J817" t="str">
        <f>"OP-AR02113"</f>
        <v>OP-AR02113</v>
      </c>
      <c r="K817" s="1" t="str">
        <f>"1032F930-001/-   ETHERNET CABLE MFR-W930 - FILTE"</f>
        <v>1032F930-001/-   ETHERNET CABLE MFR-W930 - FILTE</v>
      </c>
      <c r="L817">
        <v>4</v>
      </c>
      <c r="M817" t="str">
        <f>"PR20000834"</f>
        <v>PR20000834</v>
      </c>
      <c r="N817" t="str">
        <f>"BEL"</f>
        <v>BEL</v>
      </c>
      <c r="O817">
        <v>174</v>
      </c>
      <c r="P817" t="str">
        <f>"$"</f>
        <v>$</v>
      </c>
      <c r="Q817" t="str">
        <f>"117"</f>
        <v>117</v>
      </c>
      <c r="R817" t="str">
        <f>"רתמות"</f>
        <v>רתמות</v>
      </c>
      <c r="S817" t="str">
        <f>"034"</f>
        <v>034</v>
      </c>
      <c r="T817" t="str">
        <f>"מוסקוביץ אולגה"</f>
        <v>מוסקוביץ אולגה</v>
      </c>
      <c r="U817">
        <v>0</v>
      </c>
      <c r="V817">
        <v>0</v>
      </c>
      <c r="W817">
        <v>174</v>
      </c>
      <c r="X817">
        <v>696</v>
      </c>
      <c r="Z817" t="str">
        <f>"Y"</f>
        <v>Y</v>
      </c>
      <c r="AA817">
        <v>0</v>
      </c>
      <c r="AC817">
        <v>0</v>
      </c>
      <c r="AE817">
        <v>0</v>
      </c>
      <c r="AF817">
        <v>0</v>
      </c>
      <c r="AG817">
        <v>581.86</v>
      </c>
      <c r="AH817">
        <v>0</v>
      </c>
      <c r="AI817" s="2">
        <v>2327.42</v>
      </c>
      <c r="AJ817">
        <v>696</v>
      </c>
      <c r="AK817">
        <v>696</v>
      </c>
      <c r="AL817" t="str">
        <f>"$"</f>
        <v>$</v>
      </c>
    </row>
    <row r="818" spans="1:38" x14ac:dyDescent="0.3">
      <c r="A818" t="str">
        <f>"SO20000532"</f>
        <v>SO20000532</v>
      </c>
      <c r="B818" t="str">
        <f>"E000321177"</f>
        <v>E000321177</v>
      </c>
      <c r="C818" t="str">
        <f>"בוצעה"</f>
        <v>בוצעה</v>
      </c>
      <c r="E818" s="3">
        <v>44155</v>
      </c>
      <c r="F818" s="3">
        <v>44593</v>
      </c>
      <c r="G818" t="str">
        <f>"700065"</f>
        <v>700065</v>
      </c>
      <c r="H818" t="str">
        <f>"אלתא מערכות בע""מ"</f>
        <v>אלתא מערכות בע"מ</v>
      </c>
      <c r="I818" t="str">
        <f>"ערן שלו"</f>
        <v>ערן שלו</v>
      </c>
      <c r="J818" t="str">
        <f>"OP-AR02113"</f>
        <v>OP-AR02113</v>
      </c>
      <c r="K818" s="1" t="str">
        <f>"1032F930-001/-   ETHERNET CABLE MFR-W930 - FILTE"</f>
        <v>1032F930-001/-   ETHERNET CABLE MFR-W930 - FILTE</v>
      </c>
      <c r="L818">
        <v>4</v>
      </c>
      <c r="M818" t="str">
        <f>"PR20000834"</f>
        <v>PR20000834</v>
      </c>
      <c r="N818" t="str">
        <f>"BEL"</f>
        <v>BEL</v>
      </c>
      <c r="O818">
        <v>174</v>
      </c>
      <c r="P818" t="str">
        <f>"$"</f>
        <v>$</v>
      </c>
      <c r="Q818" t="str">
        <f>"117"</f>
        <v>117</v>
      </c>
      <c r="R818" t="str">
        <f>"רתמות"</f>
        <v>רתמות</v>
      </c>
      <c r="S818" t="str">
        <f>"034"</f>
        <v>034</v>
      </c>
      <c r="T818" t="str">
        <f>"מוסקוביץ אולגה"</f>
        <v>מוסקוביץ אולגה</v>
      </c>
      <c r="U818">
        <v>0</v>
      </c>
      <c r="V818">
        <v>0</v>
      </c>
      <c r="W818">
        <v>174</v>
      </c>
      <c r="X818">
        <v>696</v>
      </c>
      <c r="Z818" t="str">
        <f>"Y"</f>
        <v>Y</v>
      </c>
      <c r="AA818">
        <v>0</v>
      </c>
      <c r="AC818">
        <v>0</v>
      </c>
      <c r="AE818">
        <v>0</v>
      </c>
      <c r="AF818">
        <v>0</v>
      </c>
      <c r="AG818">
        <v>581.86</v>
      </c>
      <c r="AH818">
        <v>0</v>
      </c>
      <c r="AI818" s="2">
        <v>2327.42</v>
      </c>
      <c r="AJ818">
        <v>696</v>
      </c>
      <c r="AK818">
        <v>696</v>
      </c>
      <c r="AL818" t="str">
        <f>"$"</f>
        <v>$</v>
      </c>
    </row>
    <row r="819" spans="1:38" x14ac:dyDescent="0.3">
      <c r="A819" t="str">
        <f>"SO20000532"</f>
        <v>SO20000532</v>
      </c>
      <c r="B819" t="str">
        <f>"E000321177"</f>
        <v>E000321177</v>
      </c>
      <c r="C819" t="str">
        <f>"בוצעה"</f>
        <v>בוצעה</v>
      </c>
      <c r="E819" s="3">
        <v>44155</v>
      </c>
      <c r="F819" s="3">
        <v>45047</v>
      </c>
      <c r="G819" t="str">
        <f>"700065"</f>
        <v>700065</v>
      </c>
      <c r="H819" t="str">
        <f>"אלתא מערכות בע""מ"</f>
        <v>אלתא מערכות בע"מ</v>
      </c>
      <c r="I819" t="str">
        <f>"ערן שלו"</f>
        <v>ערן שלו</v>
      </c>
      <c r="J819" t="str">
        <f>"OP-AR02113"</f>
        <v>OP-AR02113</v>
      </c>
      <c r="K819" s="1" t="str">
        <f>"1032F930-001/-   ETHERNET CABLE MFR-W930 - FILTE"</f>
        <v>1032F930-001/-   ETHERNET CABLE MFR-W930 - FILTE</v>
      </c>
      <c r="L819">
        <v>4</v>
      </c>
      <c r="M819" t="str">
        <f>"PR20000834"</f>
        <v>PR20000834</v>
      </c>
      <c r="N819" t="str">
        <f>"BEL"</f>
        <v>BEL</v>
      </c>
      <c r="O819">
        <v>174</v>
      </c>
      <c r="P819" t="str">
        <f>"$"</f>
        <v>$</v>
      </c>
      <c r="Q819" t="str">
        <f>"117"</f>
        <v>117</v>
      </c>
      <c r="R819" t="str">
        <f>"רתמות"</f>
        <v>רתמות</v>
      </c>
      <c r="S819" t="str">
        <f>"034"</f>
        <v>034</v>
      </c>
      <c r="T819" t="str">
        <f>"מוסקוביץ אולגה"</f>
        <v>מוסקוביץ אולגה</v>
      </c>
      <c r="U819">
        <v>0</v>
      </c>
      <c r="V819">
        <v>0</v>
      </c>
      <c r="W819">
        <v>174</v>
      </c>
      <c r="X819">
        <v>696</v>
      </c>
      <c r="Z819" t="str">
        <f>"Y"</f>
        <v>Y</v>
      </c>
      <c r="AA819">
        <v>0</v>
      </c>
      <c r="AC819">
        <v>0</v>
      </c>
      <c r="AE819">
        <v>0</v>
      </c>
      <c r="AF819">
        <v>0</v>
      </c>
      <c r="AG819">
        <v>581.86</v>
      </c>
      <c r="AH819">
        <v>0</v>
      </c>
      <c r="AI819" s="2">
        <v>2327.42</v>
      </c>
      <c r="AJ819">
        <v>696</v>
      </c>
      <c r="AK819">
        <v>696</v>
      </c>
      <c r="AL819" t="str">
        <f>"$"</f>
        <v>$</v>
      </c>
    </row>
    <row r="820" spans="1:38" x14ac:dyDescent="0.3">
      <c r="A820" t="str">
        <f>"SO20000532"</f>
        <v>SO20000532</v>
      </c>
      <c r="B820" t="str">
        <f>"E000321177"</f>
        <v>E000321177</v>
      </c>
      <c r="C820" t="str">
        <f>"בוצעה"</f>
        <v>בוצעה</v>
      </c>
      <c r="E820" s="3">
        <v>44155</v>
      </c>
      <c r="F820" s="3">
        <v>45047</v>
      </c>
      <c r="G820" t="str">
        <f>"700065"</f>
        <v>700065</v>
      </c>
      <c r="H820" t="str">
        <f>"אלתא מערכות בע""מ"</f>
        <v>אלתא מערכות בע"מ</v>
      </c>
      <c r="I820" t="str">
        <f>"ערן שלו"</f>
        <v>ערן שלו</v>
      </c>
      <c r="J820" t="str">
        <f>"OP-AR02113"</f>
        <v>OP-AR02113</v>
      </c>
      <c r="K820" s="1" t="str">
        <f>"1032F930-001/-   ETHERNET CABLE MFR-W930 - FILTE"</f>
        <v>1032F930-001/-   ETHERNET CABLE MFR-W930 - FILTE</v>
      </c>
      <c r="L820">
        <v>4</v>
      </c>
      <c r="M820" t="str">
        <f>"PR20000834"</f>
        <v>PR20000834</v>
      </c>
      <c r="N820" t="str">
        <f>"BEL"</f>
        <v>BEL</v>
      </c>
      <c r="O820">
        <v>174</v>
      </c>
      <c r="P820" t="str">
        <f>"$"</f>
        <v>$</v>
      </c>
      <c r="Q820" t="str">
        <f>"117"</f>
        <v>117</v>
      </c>
      <c r="R820" t="str">
        <f>"רתמות"</f>
        <v>רתמות</v>
      </c>
      <c r="S820" t="str">
        <f>"034"</f>
        <v>034</v>
      </c>
      <c r="T820" t="str">
        <f>"מוסקוביץ אולגה"</f>
        <v>מוסקוביץ אולגה</v>
      </c>
      <c r="U820">
        <v>0</v>
      </c>
      <c r="V820">
        <v>0</v>
      </c>
      <c r="W820">
        <v>174</v>
      </c>
      <c r="X820">
        <v>696</v>
      </c>
      <c r="Z820" t="str">
        <f>"Y"</f>
        <v>Y</v>
      </c>
      <c r="AA820">
        <v>0</v>
      </c>
      <c r="AC820">
        <v>0</v>
      </c>
      <c r="AE820">
        <v>0</v>
      </c>
      <c r="AF820">
        <v>0</v>
      </c>
      <c r="AG820">
        <v>581.86</v>
      </c>
      <c r="AH820">
        <v>0</v>
      </c>
      <c r="AI820" s="2">
        <v>2327.42</v>
      </c>
      <c r="AJ820">
        <v>696</v>
      </c>
      <c r="AK820">
        <v>696</v>
      </c>
      <c r="AL820" t="str">
        <f>"$"</f>
        <v>$</v>
      </c>
    </row>
    <row r="821" spans="1:38" x14ac:dyDescent="0.3">
      <c r="A821" t="str">
        <f>"SO20000532"</f>
        <v>SO20000532</v>
      </c>
      <c r="B821" t="str">
        <f>"E000321177"</f>
        <v>E000321177</v>
      </c>
      <c r="C821" t="str">
        <f>"בוצעה"</f>
        <v>בוצעה</v>
      </c>
      <c r="E821" s="3">
        <v>44155</v>
      </c>
      <c r="F821" s="3">
        <v>44242</v>
      </c>
      <c r="G821" t="str">
        <f>"700065"</f>
        <v>700065</v>
      </c>
      <c r="H821" t="str">
        <f>"אלתא מערכות בע""מ"</f>
        <v>אלתא מערכות בע"מ</v>
      </c>
      <c r="I821" t="str">
        <f>"ערן שלו"</f>
        <v>ערן שלו</v>
      </c>
      <c r="J821" t="str">
        <f>"OP-AR02114"</f>
        <v>OP-AR02114</v>
      </c>
      <c r="K821" s="1" t="str">
        <f>"1032F931-001/-   ETHERNET CABLE MFR-W931 - FILTE"</f>
        <v>1032F931-001/-   ETHERNET CABLE MFR-W931 - FILTE</v>
      </c>
      <c r="L821">
        <v>8</v>
      </c>
      <c r="M821" t="str">
        <f>"PR20000834"</f>
        <v>PR20000834</v>
      </c>
      <c r="N821" t="str">
        <f>"BEL"</f>
        <v>BEL</v>
      </c>
      <c r="O821">
        <v>176.77</v>
      </c>
      <c r="P821" t="str">
        <f>"$"</f>
        <v>$</v>
      </c>
      <c r="Q821" t="str">
        <f>"117"</f>
        <v>117</v>
      </c>
      <c r="R821" t="str">
        <f>"רתמות"</f>
        <v>רתמות</v>
      </c>
      <c r="S821" t="str">
        <f>"034"</f>
        <v>034</v>
      </c>
      <c r="T821" t="str">
        <f>"מוסקוביץ אולגה"</f>
        <v>מוסקוביץ אולגה</v>
      </c>
      <c r="U821">
        <v>0</v>
      </c>
      <c r="V821">
        <v>0</v>
      </c>
      <c r="W821">
        <v>176.77</v>
      </c>
      <c r="X821" s="2">
        <v>1414.16</v>
      </c>
      <c r="Z821" t="str">
        <f>"Y"</f>
        <v>Y</v>
      </c>
      <c r="AA821">
        <v>0</v>
      </c>
      <c r="AC821">
        <v>0</v>
      </c>
      <c r="AE821">
        <v>0</v>
      </c>
      <c r="AF821">
        <v>0</v>
      </c>
      <c r="AG821">
        <v>591.12</v>
      </c>
      <c r="AH821">
        <v>0</v>
      </c>
      <c r="AI821" s="2">
        <v>4728.95</v>
      </c>
      <c r="AJ821" s="2">
        <v>1414.16</v>
      </c>
      <c r="AK821" s="2">
        <v>1414.16</v>
      </c>
      <c r="AL821" t="str">
        <f>"$"</f>
        <v>$</v>
      </c>
    </row>
    <row r="822" spans="1:38" x14ac:dyDescent="0.3">
      <c r="A822" t="str">
        <f>"SO20000532"</f>
        <v>SO20000532</v>
      </c>
      <c r="B822" t="str">
        <f>"E000321177"</f>
        <v>E000321177</v>
      </c>
      <c r="C822" t="str">
        <f>"בוצעה"</f>
        <v>בוצעה</v>
      </c>
      <c r="E822" s="3">
        <v>44155</v>
      </c>
      <c r="F822" s="3">
        <v>44378</v>
      </c>
      <c r="G822" t="str">
        <f>"700065"</f>
        <v>700065</v>
      </c>
      <c r="H822" t="str">
        <f>"אלתא מערכות בע""מ"</f>
        <v>אלתא מערכות בע"מ</v>
      </c>
      <c r="I822" t="str">
        <f>"ערן שלו"</f>
        <v>ערן שלו</v>
      </c>
      <c r="J822" t="str">
        <f>"OP-AR02114"</f>
        <v>OP-AR02114</v>
      </c>
      <c r="K822" s="1" t="str">
        <f>"1032F931-001/-   ETHERNET CABLE MFR-W931 - FILTE"</f>
        <v>1032F931-001/-   ETHERNET CABLE MFR-W931 - FILTE</v>
      </c>
      <c r="L822">
        <v>4</v>
      </c>
      <c r="M822" t="str">
        <f>"PR20000834"</f>
        <v>PR20000834</v>
      </c>
      <c r="N822" t="str">
        <f>"BEL"</f>
        <v>BEL</v>
      </c>
      <c r="O822">
        <v>176.77</v>
      </c>
      <c r="P822" t="str">
        <f>"$"</f>
        <v>$</v>
      </c>
      <c r="Q822" t="str">
        <f>"117"</f>
        <v>117</v>
      </c>
      <c r="R822" t="str">
        <f>"רתמות"</f>
        <v>רתמות</v>
      </c>
      <c r="S822" t="str">
        <f>"034"</f>
        <v>034</v>
      </c>
      <c r="T822" t="str">
        <f>"מוסקוביץ אולגה"</f>
        <v>מוסקוביץ אולגה</v>
      </c>
      <c r="U822">
        <v>0</v>
      </c>
      <c r="V822">
        <v>0</v>
      </c>
      <c r="W822">
        <v>176.77</v>
      </c>
      <c r="X822">
        <v>707.08</v>
      </c>
      <c r="Z822" t="str">
        <f>"Y"</f>
        <v>Y</v>
      </c>
      <c r="AA822">
        <v>0</v>
      </c>
      <c r="AC822">
        <v>0</v>
      </c>
      <c r="AE822">
        <v>0</v>
      </c>
      <c r="AF822">
        <v>0</v>
      </c>
      <c r="AG822">
        <v>591.12</v>
      </c>
      <c r="AH822">
        <v>0</v>
      </c>
      <c r="AI822" s="2">
        <v>2364.48</v>
      </c>
      <c r="AJ822">
        <v>707.08</v>
      </c>
      <c r="AK822">
        <v>707.08</v>
      </c>
      <c r="AL822" t="str">
        <f>"$"</f>
        <v>$</v>
      </c>
    </row>
    <row r="823" spans="1:38" x14ac:dyDescent="0.3">
      <c r="A823" t="str">
        <f>"SO20000532"</f>
        <v>SO20000532</v>
      </c>
      <c r="B823" t="str">
        <f>"E000321177"</f>
        <v>E000321177</v>
      </c>
      <c r="C823" t="str">
        <f>"בוצעה"</f>
        <v>בוצעה</v>
      </c>
      <c r="E823" s="3">
        <v>44155</v>
      </c>
      <c r="F823" s="3">
        <v>44378</v>
      </c>
      <c r="G823" t="str">
        <f>"700065"</f>
        <v>700065</v>
      </c>
      <c r="H823" t="str">
        <f>"אלתא מערכות בע""מ"</f>
        <v>אלתא מערכות בע"מ</v>
      </c>
      <c r="I823" t="str">
        <f>"ערן שלו"</f>
        <v>ערן שלו</v>
      </c>
      <c r="J823" t="str">
        <f>"OP-AR02114"</f>
        <v>OP-AR02114</v>
      </c>
      <c r="K823" s="1" t="str">
        <f>"1032F931-001/-   ETHERNET CABLE MFR-W931 - FILTE"</f>
        <v>1032F931-001/-   ETHERNET CABLE MFR-W931 - FILTE</v>
      </c>
      <c r="L823">
        <v>4</v>
      </c>
      <c r="M823" t="str">
        <f>"PR20000834"</f>
        <v>PR20000834</v>
      </c>
      <c r="N823" t="str">
        <f>"BEL"</f>
        <v>BEL</v>
      </c>
      <c r="O823">
        <v>176.77</v>
      </c>
      <c r="P823" t="str">
        <f>"$"</f>
        <v>$</v>
      </c>
      <c r="Q823" t="str">
        <f>"117"</f>
        <v>117</v>
      </c>
      <c r="R823" t="str">
        <f>"רתמות"</f>
        <v>רתמות</v>
      </c>
      <c r="S823" t="str">
        <f>"034"</f>
        <v>034</v>
      </c>
      <c r="T823" t="str">
        <f>"מוסקוביץ אולגה"</f>
        <v>מוסקוביץ אולגה</v>
      </c>
      <c r="U823">
        <v>0</v>
      </c>
      <c r="V823">
        <v>0</v>
      </c>
      <c r="W823">
        <v>176.77</v>
      </c>
      <c r="X823">
        <v>707.08</v>
      </c>
      <c r="Z823" t="str">
        <f>"Y"</f>
        <v>Y</v>
      </c>
      <c r="AA823">
        <v>0</v>
      </c>
      <c r="AC823">
        <v>0</v>
      </c>
      <c r="AE823">
        <v>0</v>
      </c>
      <c r="AF823">
        <v>0</v>
      </c>
      <c r="AG823">
        <v>591.12</v>
      </c>
      <c r="AH823">
        <v>0</v>
      </c>
      <c r="AI823" s="2">
        <v>2364.48</v>
      </c>
      <c r="AJ823">
        <v>707.08</v>
      </c>
      <c r="AK823">
        <v>707.08</v>
      </c>
      <c r="AL823" t="str">
        <f>"$"</f>
        <v>$</v>
      </c>
    </row>
    <row r="824" spans="1:38" x14ac:dyDescent="0.3">
      <c r="A824" t="str">
        <f>"SO20000532"</f>
        <v>SO20000532</v>
      </c>
      <c r="B824" t="str">
        <f>"E000321177"</f>
        <v>E000321177</v>
      </c>
      <c r="C824" t="str">
        <f>"בוצעה"</f>
        <v>בוצעה</v>
      </c>
      <c r="E824" s="3">
        <v>44155</v>
      </c>
      <c r="F824" s="3">
        <v>44593</v>
      </c>
      <c r="G824" t="str">
        <f>"700065"</f>
        <v>700065</v>
      </c>
      <c r="H824" t="str">
        <f>"אלתא מערכות בע""מ"</f>
        <v>אלתא מערכות בע"מ</v>
      </c>
      <c r="I824" t="str">
        <f>"ערן שלו"</f>
        <v>ערן שלו</v>
      </c>
      <c r="J824" t="str">
        <f>"OP-AR02114"</f>
        <v>OP-AR02114</v>
      </c>
      <c r="K824" s="1" t="str">
        <f>"1032F931-001/-   ETHERNET CABLE MFR-W931 - FILTE"</f>
        <v>1032F931-001/-   ETHERNET CABLE MFR-W931 - FILTE</v>
      </c>
      <c r="L824">
        <v>4</v>
      </c>
      <c r="M824" t="str">
        <f>"PR20000834"</f>
        <v>PR20000834</v>
      </c>
      <c r="N824" t="str">
        <f>"BEL"</f>
        <v>BEL</v>
      </c>
      <c r="O824">
        <v>176.77</v>
      </c>
      <c r="P824" t="str">
        <f>"$"</f>
        <v>$</v>
      </c>
      <c r="Q824" t="str">
        <f>"117"</f>
        <v>117</v>
      </c>
      <c r="R824" t="str">
        <f>"רתמות"</f>
        <v>רתמות</v>
      </c>
      <c r="S824" t="str">
        <f>"034"</f>
        <v>034</v>
      </c>
      <c r="T824" t="str">
        <f>"מוסקוביץ אולגה"</f>
        <v>מוסקוביץ אולגה</v>
      </c>
      <c r="U824">
        <v>0</v>
      </c>
      <c r="V824">
        <v>0</v>
      </c>
      <c r="W824">
        <v>176.77</v>
      </c>
      <c r="X824">
        <v>707.08</v>
      </c>
      <c r="Z824" t="str">
        <f>"Y"</f>
        <v>Y</v>
      </c>
      <c r="AA824">
        <v>0</v>
      </c>
      <c r="AC824">
        <v>0</v>
      </c>
      <c r="AE824">
        <v>0</v>
      </c>
      <c r="AF824">
        <v>0</v>
      </c>
      <c r="AG824">
        <v>591.12</v>
      </c>
      <c r="AH824">
        <v>0</v>
      </c>
      <c r="AI824" s="2">
        <v>2364.48</v>
      </c>
      <c r="AJ824">
        <v>707.08</v>
      </c>
      <c r="AK824">
        <v>707.08</v>
      </c>
      <c r="AL824" t="str">
        <f>"$"</f>
        <v>$</v>
      </c>
    </row>
    <row r="825" spans="1:38" x14ac:dyDescent="0.3">
      <c r="A825" t="str">
        <f>"SO20000532"</f>
        <v>SO20000532</v>
      </c>
      <c r="B825" t="str">
        <f>"E000321177"</f>
        <v>E000321177</v>
      </c>
      <c r="C825" t="str">
        <f>"בוצעה"</f>
        <v>בוצעה</v>
      </c>
      <c r="E825" s="3">
        <v>44155</v>
      </c>
      <c r="F825" s="3">
        <v>45047</v>
      </c>
      <c r="G825" t="str">
        <f>"700065"</f>
        <v>700065</v>
      </c>
      <c r="H825" t="str">
        <f>"אלתא מערכות בע""מ"</f>
        <v>אלתא מערכות בע"מ</v>
      </c>
      <c r="I825" t="str">
        <f>"ערן שלו"</f>
        <v>ערן שלו</v>
      </c>
      <c r="J825" t="str">
        <f>"OP-AR02114"</f>
        <v>OP-AR02114</v>
      </c>
      <c r="K825" s="1" t="str">
        <f>"1032F931-001/-   ETHERNET CABLE MFR-W931 - FILTE"</f>
        <v>1032F931-001/-   ETHERNET CABLE MFR-W931 - FILTE</v>
      </c>
      <c r="L825">
        <v>4</v>
      </c>
      <c r="M825" t="str">
        <f>"PR20000834"</f>
        <v>PR20000834</v>
      </c>
      <c r="N825" t="str">
        <f>"BEL"</f>
        <v>BEL</v>
      </c>
      <c r="O825">
        <v>176.77</v>
      </c>
      <c r="P825" t="str">
        <f>"$"</f>
        <v>$</v>
      </c>
      <c r="Q825" t="str">
        <f>"117"</f>
        <v>117</v>
      </c>
      <c r="R825" t="str">
        <f>"רתמות"</f>
        <v>רתמות</v>
      </c>
      <c r="S825" t="str">
        <f>"034"</f>
        <v>034</v>
      </c>
      <c r="T825" t="str">
        <f>"מוסקוביץ אולגה"</f>
        <v>מוסקוביץ אולגה</v>
      </c>
      <c r="U825">
        <v>0</v>
      </c>
      <c r="V825">
        <v>0</v>
      </c>
      <c r="W825">
        <v>176.77</v>
      </c>
      <c r="X825">
        <v>707.08</v>
      </c>
      <c r="Z825" t="str">
        <f>"Y"</f>
        <v>Y</v>
      </c>
      <c r="AA825">
        <v>0</v>
      </c>
      <c r="AC825">
        <v>0</v>
      </c>
      <c r="AE825">
        <v>0</v>
      </c>
      <c r="AF825">
        <v>0</v>
      </c>
      <c r="AG825">
        <v>591.12</v>
      </c>
      <c r="AH825">
        <v>0</v>
      </c>
      <c r="AI825" s="2">
        <v>2364.48</v>
      </c>
      <c r="AJ825">
        <v>707.08</v>
      </c>
      <c r="AK825">
        <v>707.08</v>
      </c>
      <c r="AL825" t="str">
        <f>"$"</f>
        <v>$</v>
      </c>
    </row>
    <row r="826" spans="1:38" x14ac:dyDescent="0.3">
      <c r="A826" t="str">
        <f>"SO20000532"</f>
        <v>SO20000532</v>
      </c>
      <c r="B826" t="str">
        <f>"E000321177"</f>
        <v>E000321177</v>
      </c>
      <c r="C826" t="str">
        <f>"בוצעה"</f>
        <v>בוצעה</v>
      </c>
      <c r="E826" s="3">
        <v>44155</v>
      </c>
      <c r="F826" s="3">
        <v>45047</v>
      </c>
      <c r="G826" t="str">
        <f>"700065"</f>
        <v>700065</v>
      </c>
      <c r="H826" t="str">
        <f>"אלתא מערכות בע""מ"</f>
        <v>אלתא מערכות בע"מ</v>
      </c>
      <c r="I826" t="str">
        <f>"ערן שלו"</f>
        <v>ערן שלו</v>
      </c>
      <c r="J826" t="str">
        <f>"OP-AR02114"</f>
        <v>OP-AR02114</v>
      </c>
      <c r="K826" s="1" t="str">
        <f>"1032F931-001/-   ETHERNET CABLE MFR-W931 - FILTE"</f>
        <v>1032F931-001/-   ETHERNET CABLE MFR-W931 - FILTE</v>
      </c>
      <c r="L826">
        <v>4</v>
      </c>
      <c r="M826" t="str">
        <f>"PR20000834"</f>
        <v>PR20000834</v>
      </c>
      <c r="N826" t="str">
        <f>"BEL"</f>
        <v>BEL</v>
      </c>
      <c r="O826">
        <v>176.77</v>
      </c>
      <c r="P826" t="str">
        <f>"$"</f>
        <v>$</v>
      </c>
      <c r="Q826" t="str">
        <f>"117"</f>
        <v>117</v>
      </c>
      <c r="R826" t="str">
        <f>"רתמות"</f>
        <v>רתמות</v>
      </c>
      <c r="S826" t="str">
        <f>"034"</f>
        <v>034</v>
      </c>
      <c r="T826" t="str">
        <f>"מוסקוביץ אולגה"</f>
        <v>מוסקוביץ אולגה</v>
      </c>
      <c r="U826">
        <v>0</v>
      </c>
      <c r="V826">
        <v>0</v>
      </c>
      <c r="W826">
        <v>176.77</v>
      </c>
      <c r="X826">
        <v>707.08</v>
      </c>
      <c r="Z826" t="str">
        <f>"Y"</f>
        <v>Y</v>
      </c>
      <c r="AA826">
        <v>0</v>
      </c>
      <c r="AC826">
        <v>0</v>
      </c>
      <c r="AE826">
        <v>0</v>
      </c>
      <c r="AF826">
        <v>0</v>
      </c>
      <c r="AG826">
        <v>591.12</v>
      </c>
      <c r="AH826">
        <v>0</v>
      </c>
      <c r="AI826" s="2">
        <v>2364.48</v>
      </c>
      <c r="AJ826">
        <v>707.08</v>
      </c>
      <c r="AK826">
        <v>707.08</v>
      </c>
      <c r="AL826" t="str">
        <f>"$"</f>
        <v>$</v>
      </c>
    </row>
    <row r="827" spans="1:38" x14ac:dyDescent="0.3">
      <c r="A827" t="str">
        <f>"SO20000532"</f>
        <v>SO20000532</v>
      </c>
      <c r="B827" t="str">
        <f>"E000321177"</f>
        <v>E000321177</v>
      </c>
      <c r="C827" t="str">
        <f>"בוצעה"</f>
        <v>בוצעה</v>
      </c>
      <c r="E827" s="3">
        <v>44155</v>
      </c>
      <c r="F827" s="3">
        <v>44242</v>
      </c>
      <c r="G827" t="str">
        <f>"700065"</f>
        <v>700065</v>
      </c>
      <c r="H827" t="str">
        <f>"אלתא מערכות בע""מ"</f>
        <v>אלתא מערכות בע"מ</v>
      </c>
      <c r="I827" t="str">
        <f>"ערן שלו"</f>
        <v>ערן שלו</v>
      </c>
      <c r="J827" t="str">
        <f>"OP-AR02115"</f>
        <v>OP-AR02115</v>
      </c>
      <c r="K827" s="1" t="str">
        <f>"1032F932-001/-   ETHERNET CABLE MFR-W932 - FILTE"</f>
        <v>1032F932-001/-   ETHERNET CABLE MFR-W932 - FILTE</v>
      </c>
      <c r="L827">
        <v>8</v>
      </c>
      <c r="M827" t="str">
        <f>"PR20000834"</f>
        <v>PR20000834</v>
      </c>
      <c r="N827" t="str">
        <f>"BEL"</f>
        <v>BEL</v>
      </c>
      <c r="O827">
        <v>176.77</v>
      </c>
      <c r="P827" t="str">
        <f>"$"</f>
        <v>$</v>
      </c>
      <c r="Q827" t="str">
        <f>"117"</f>
        <v>117</v>
      </c>
      <c r="R827" t="str">
        <f>"רתמות"</f>
        <v>רתמות</v>
      </c>
      <c r="S827" t="str">
        <f>"034"</f>
        <v>034</v>
      </c>
      <c r="T827" t="str">
        <f>"מוסקוביץ אולגה"</f>
        <v>מוסקוביץ אולגה</v>
      </c>
      <c r="U827">
        <v>0</v>
      </c>
      <c r="V827">
        <v>0</v>
      </c>
      <c r="W827">
        <v>176.77</v>
      </c>
      <c r="X827" s="2">
        <v>1414.16</v>
      </c>
      <c r="Z827" t="str">
        <f>"Y"</f>
        <v>Y</v>
      </c>
      <c r="AA827">
        <v>0</v>
      </c>
      <c r="AC827">
        <v>0</v>
      </c>
      <c r="AE827">
        <v>0</v>
      </c>
      <c r="AF827">
        <v>0</v>
      </c>
      <c r="AG827">
        <v>591.12</v>
      </c>
      <c r="AH827">
        <v>0</v>
      </c>
      <c r="AI827" s="2">
        <v>4728.95</v>
      </c>
      <c r="AJ827" s="2">
        <v>1414.16</v>
      </c>
      <c r="AK827" s="2">
        <v>1414.16</v>
      </c>
      <c r="AL827" t="str">
        <f>"$"</f>
        <v>$</v>
      </c>
    </row>
    <row r="828" spans="1:38" x14ac:dyDescent="0.3">
      <c r="A828" t="str">
        <f>"SO20000532"</f>
        <v>SO20000532</v>
      </c>
      <c r="B828" t="str">
        <f>"E000321177"</f>
        <v>E000321177</v>
      </c>
      <c r="C828" t="str">
        <f>"בוצעה"</f>
        <v>בוצעה</v>
      </c>
      <c r="E828" s="3">
        <v>44155</v>
      </c>
      <c r="F828" s="3">
        <v>44378</v>
      </c>
      <c r="G828" t="str">
        <f>"700065"</f>
        <v>700065</v>
      </c>
      <c r="H828" t="str">
        <f>"אלתא מערכות בע""מ"</f>
        <v>אלתא מערכות בע"מ</v>
      </c>
      <c r="I828" t="str">
        <f>"ערן שלו"</f>
        <v>ערן שלו</v>
      </c>
      <c r="J828" t="str">
        <f>"OP-AR02115"</f>
        <v>OP-AR02115</v>
      </c>
      <c r="K828" s="1" t="str">
        <f>"1032F932-001/-   ETHERNET CABLE MFR-W932 - FILTE"</f>
        <v>1032F932-001/-   ETHERNET CABLE MFR-W932 - FILTE</v>
      </c>
      <c r="L828">
        <v>4</v>
      </c>
      <c r="M828" t="str">
        <f>"PR20000834"</f>
        <v>PR20000834</v>
      </c>
      <c r="N828" t="str">
        <f>"BEL"</f>
        <v>BEL</v>
      </c>
      <c r="O828">
        <v>176.77</v>
      </c>
      <c r="P828" t="str">
        <f>"$"</f>
        <v>$</v>
      </c>
      <c r="Q828" t="str">
        <f>"117"</f>
        <v>117</v>
      </c>
      <c r="R828" t="str">
        <f>"רתמות"</f>
        <v>רתמות</v>
      </c>
      <c r="S828" t="str">
        <f>"034"</f>
        <v>034</v>
      </c>
      <c r="T828" t="str">
        <f>"מוסקוביץ אולגה"</f>
        <v>מוסקוביץ אולגה</v>
      </c>
      <c r="U828">
        <v>0</v>
      </c>
      <c r="V828">
        <v>0</v>
      </c>
      <c r="W828">
        <v>176.77</v>
      </c>
      <c r="X828">
        <v>707.08</v>
      </c>
      <c r="Z828" t="str">
        <f>"Y"</f>
        <v>Y</v>
      </c>
      <c r="AA828">
        <v>0</v>
      </c>
      <c r="AC828">
        <v>0</v>
      </c>
      <c r="AE828">
        <v>0</v>
      </c>
      <c r="AF828">
        <v>0</v>
      </c>
      <c r="AG828">
        <v>591.12</v>
      </c>
      <c r="AH828">
        <v>0</v>
      </c>
      <c r="AI828" s="2">
        <v>2364.48</v>
      </c>
      <c r="AJ828">
        <v>707.08</v>
      </c>
      <c r="AK828">
        <v>707.08</v>
      </c>
      <c r="AL828" t="str">
        <f>"$"</f>
        <v>$</v>
      </c>
    </row>
    <row r="829" spans="1:38" x14ac:dyDescent="0.3">
      <c r="A829" t="str">
        <f>"SO20000532"</f>
        <v>SO20000532</v>
      </c>
      <c r="B829" t="str">
        <f>"E000321177"</f>
        <v>E000321177</v>
      </c>
      <c r="C829" t="str">
        <f>"בוצעה"</f>
        <v>בוצעה</v>
      </c>
      <c r="E829" s="3">
        <v>44155</v>
      </c>
      <c r="F829" s="3">
        <v>44378</v>
      </c>
      <c r="G829" t="str">
        <f>"700065"</f>
        <v>700065</v>
      </c>
      <c r="H829" t="str">
        <f>"אלתא מערכות בע""מ"</f>
        <v>אלתא מערכות בע"מ</v>
      </c>
      <c r="I829" t="str">
        <f>"ערן שלו"</f>
        <v>ערן שלו</v>
      </c>
      <c r="J829" t="str">
        <f>"OP-AR02115"</f>
        <v>OP-AR02115</v>
      </c>
      <c r="K829" s="1" t="str">
        <f>"1032F932-001/-   ETHERNET CABLE MFR-W932 - FILTE"</f>
        <v>1032F932-001/-   ETHERNET CABLE MFR-W932 - FILTE</v>
      </c>
      <c r="L829">
        <v>4</v>
      </c>
      <c r="M829" t="str">
        <f>"PR20000834"</f>
        <v>PR20000834</v>
      </c>
      <c r="N829" t="str">
        <f>"BEL"</f>
        <v>BEL</v>
      </c>
      <c r="O829">
        <v>176.77</v>
      </c>
      <c r="P829" t="str">
        <f>"$"</f>
        <v>$</v>
      </c>
      <c r="Q829" t="str">
        <f>"117"</f>
        <v>117</v>
      </c>
      <c r="R829" t="str">
        <f>"רתמות"</f>
        <v>רתמות</v>
      </c>
      <c r="S829" t="str">
        <f>"034"</f>
        <v>034</v>
      </c>
      <c r="T829" t="str">
        <f>"מוסקוביץ אולגה"</f>
        <v>מוסקוביץ אולגה</v>
      </c>
      <c r="U829">
        <v>0</v>
      </c>
      <c r="V829">
        <v>0</v>
      </c>
      <c r="W829">
        <v>176.77</v>
      </c>
      <c r="X829">
        <v>707.08</v>
      </c>
      <c r="Z829" t="str">
        <f>"Y"</f>
        <v>Y</v>
      </c>
      <c r="AA829">
        <v>0</v>
      </c>
      <c r="AC829">
        <v>0</v>
      </c>
      <c r="AE829">
        <v>0</v>
      </c>
      <c r="AF829">
        <v>0</v>
      </c>
      <c r="AG829">
        <v>591.12</v>
      </c>
      <c r="AH829">
        <v>0</v>
      </c>
      <c r="AI829" s="2">
        <v>2364.48</v>
      </c>
      <c r="AJ829">
        <v>707.08</v>
      </c>
      <c r="AK829">
        <v>707.08</v>
      </c>
      <c r="AL829" t="str">
        <f>"$"</f>
        <v>$</v>
      </c>
    </row>
    <row r="830" spans="1:38" x14ac:dyDescent="0.3">
      <c r="A830" t="str">
        <f>"SO20000532"</f>
        <v>SO20000532</v>
      </c>
      <c r="B830" t="str">
        <f>"E000321177"</f>
        <v>E000321177</v>
      </c>
      <c r="C830" t="str">
        <f>"בוצעה"</f>
        <v>בוצעה</v>
      </c>
      <c r="E830" s="3">
        <v>44155</v>
      </c>
      <c r="F830" s="3">
        <v>44593</v>
      </c>
      <c r="G830" t="str">
        <f>"700065"</f>
        <v>700065</v>
      </c>
      <c r="H830" t="str">
        <f>"אלתא מערכות בע""מ"</f>
        <v>אלתא מערכות בע"מ</v>
      </c>
      <c r="I830" t="str">
        <f>"ערן שלו"</f>
        <v>ערן שלו</v>
      </c>
      <c r="J830" t="str">
        <f>"OP-AR02115"</f>
        <v>OP-AR02115</v>
      </c>
      <c r="K830" s="1" t="str">
        <f>"1032F932-001/-   ETHERNET CABLE MFR-W932 - FILTE"</f>
        <v>1032F932-001/-   ETHERNET CABLE MFR-W932 - FILTE</v>
      </c>
      <c r="L830">
        <v>4</v>
      </c>
      <c r="M830" t="str">
        <f>"PR20000834"</f>
        <v>PR20000834</v>
      </c>
      <c r="N830" t="str">
        <f>"BEL"</f>
        <v>BEL</v>
      </c>
      <c r="O830">
        <v>176.77</v>
      </c>
      <c r="P830" t="str">
        <f>"$"</f>
        <v>$</v>
      </c>
      <c r="Q830" t="str">
        <f>"117"</f>
        <v>117</v>
      </c>
      <c r="R830" t="str">
        <f>"רתמות"</f>
        <v>רתמות</v>
      </c>
      <c r="S830" t="str">
        <f>"034"</f>
        <v>034</v>
      </c>
      <c r="T830" t="str">
        <f>"מוסקוביץ אולגה"</f>
        <v>מוסקוביץ אולגה</v>
      </c>
      <c r="U830">
        <v>0</v>
      </c>
      <c r="V830">
        <v>0</v>
      </c>
      <c r="W830">
        <v>176.77</v>
      </c>
      <c r="X830">
        <v>707.08</v>
      </c>
      <c r="Z830" t="str">
        <f>"Y"</f>
        <v>Y</v>
      </c>
      <c r="AA830">
        <v>0</v>
      </c>
      <c r="AC830">
        <v>0</v>
      </c>
      <c r="AE830">
        <v>0</v>
      </c>
      <c r="AF830">
        <v>0</v>
      </c>
      <c r="AG830">
        <v>591.12</v>
      </c>
      <c r="AH830">
        <v>0</v>
      </c>
      <c r="AI830" s="2">
        <v>2364.48</v>
      </c>
      <c r="AJ830">
        <v>707.08</v>
      </c>
      <c r="AK830">
        <v>707.08</v>
      </c>
      <c r="AL830" t="str">
        <f>"$"</f>
        <v>$</v>
      </c>
    </row>
    <row r="831" spans="1:38" x14ac:dyDescent="0.3">
      <c r="A831" t="str">
        <f>"SO20000532"</f>
        <v>SO20000532</v>
      </c>
      <c r="B831" t="str">
        <f>"E000321177"</f>
        <v>E000321177</v>
      </c>
      <c r="C831" t="str">
        <f>"בוצעה"</f>
        <v>בוצעה</v>
      </c>
      <c r="E831" s="3">
        <v>44155</v>
      </c>
      <c r="F831" s="3">
        <v>45047</v>
      </c>
      <c r="G831" t="str">
        <f>"700065"</f>
        <v>700065</v>
      </c>
      <c r="H831" t="str">
        <f>"אלתא מערכות בע""מ"</f>
        <v>אלתא מערכות בע"מ</v>
      </c>
      <c r="I831" t="str">
        <f>"ערן שלו"</f>
        <v>ערן שלו</v>
      </c>
      <c r="J831" t="str">
        <f>"OP-AR02115"</f>
        <v>OP-AR02115</v>
      </c>
      <c r="K831" s="1" t="str">
        <f>"1032F932-001/-   ETHERNET CABLE MFR-W932 - FILTE"</f>
        <v>1032F932-001/-   ETHERNET CABLE MFR-W932 - FILTE</v>
      </c>
      <c r="L831">
        <v>4</v>
      </c>
      <c r="M831" t="str">
        <f>"PR20000834"</f>
        <v>PR20000834</v>
      </c>
      <c r="N831" t="str">
        <f>"BEL"</f>
        <v>BEL</v>
      </c>
      <c r="O831">
        <v>176.77</v>
      </c>
      <c r="P831" t="str">
        <f>"$"</f>
        <v>$</v>
      </c>
      <c r="Q831" t="str">
        <f>"117"</f>
        <v>117</v>
      </c>
      <c r="R831" t="str">
        <f>"רתמות"</f>
        <v>רתמות</v>
      </c>
      <c r="S831" t="str">
        <f>"034"</f>
        <v>034</v>
      </c>
      <c r="T831" t="str">
        <f>"מוסקוביץ אולגה"</f>
        <v>מוסקוביץ אולגה</v>
      </c>
      <c r="U831">
        <v>0</v>
      </c>
      <c r="V831">
        <v>0</v>
      </c>
      <c r="W831">
        <v>176.77</v>
      </c>
      <c r="X831">
        <v>707.08</v>
      </c>
      <c r="Z831" t="str">
        <f>"Y"</f>
        <v>Y</v>
      </c>
      <c r="AA831">
        <v>0</v>
      </c>
      <c r="AC831">
        <v>0</v>
      </c>
      <c r="AE831">
        <v>0</v>
      </c>
      <c r="AF831">
        <v>0</v>
      </c>
      <c r="AG831">
        <v>591.12</v>
      </c>
      <c r="AH831">
        <v>0</v>
      </c>
      <c r="AI831" s="2">
        <v>2364.48</v>
      </c>
      <c r="AJ831">
        <v>707.08</v>
      </c>
      <c r="AK831">
        <v>707.08</v>
      </c>
      <c r="AL831" t="str">
        <f>"$"</f>
        <v>$</v>
      </c>
    </row>
    <row r="832" spans="1:38" x14ac:dyDescent="0.3">
      <c r="A832" t="str">
        <f>"SO20000532"</f>
        <v>SO20000532</v>
      </c>
      <c r="B832" t="str">
        <f>"E000321177"</f>
        <v>E000321177</v>
      </c>
      <c r="C832" t="str">
        <f>"בוצעה"</f>
        <v>בוצעה</v>
      </c>
      <c r="E832" s="3">
        <v>44155</v>
      </c>
      <c r="F832" s="3">
        <v>45047</v>
      </c>
      <c r="G832" t="str">
        <f>"700065"</f>
        <v>700065</v>
      </c>
      <c r="H832" t="str">
        <f>"אלתא מערכות בע""מ"</f>
        <v>אלתא מערכות בע"מ</v>
      </c>
      <c r="I832" t="str">
        <f>"ערן שלו"</f>
        <v>ערן שלו</v>
      </c>
      <c r="J832" t="str">
        <f>"OP-AR02115"</f>
        <v>OP-AR02115</v>
      </c>
      <c r="K832" s="1" t="str">
        <f>"1032F932-001/-   ETHERNET CABLE MFR-W932 - FILTE"</f>
        <v>1032F932-001/-   ETHERNET CABLE MFR-W932 - FILTE</v>
      </c>
      <c r="L832">
        <v>4</v>
      </c>
      <c r="M832" t="str">
        <f>"PR20000834"</f>
        <v>PR20000834</v>
      </c>
      <c r="N832" t="str">
        <f>"BEL"</f>
        <v>BEL</v>
      </c>
      <c r="O832">
        <v>176.77</v>
      </c>
      <c r="P832" t="str">
        <f>"$"</f>
        <v>$</v>
      </c>
      <c r="Q832" t="str">
        <f>"117"</f>
        <v>117</v>
      </c>
      <c r="R832" t="str">
        <f>"רתמות"</f>
        <v>רתמות</v>
      </c>
      <c r="S832" t="str">
        <f>"034"</f>
        <v>034</v>
      </c>
      <c r="T832" t="str">
        <f>"מוסקוביץ אולגה"</f>
        <v>מוסקוביץ אולגה</v>
      </c>
      <c r="U832">
        <v>0</v>
      </c>
      <c r="V832">
        <v>0</v>
      </c>
      <c r="W832">
        <v>176.77</v>
      </c>
      <c r="X832">
        <v>707.08</v>
      </c>
      <c r="Z832" t="str">
        <f>"Y"</f>
        <v>Y</v>
      </c>
      <c r="AA832">
        <v>0</v>
      </c>
      <c r="AC832">
        <v>0</v>
      </c>
      <c r="AE832">
        <v>0</v>
      </c>
      <c r="AF832">
        <v>0</v>
      </c>
      <c r="AG832">
        <v>591.12</v>
      </c>
      <c r="AH832">
        <v>0</v>
      </c>
      <c r="AI832" s="2">
        <v>2364.48</v>
      </c>
      <c r="AJ832">
        <v>707.08</v>
      </c>
      <c r="AK832">
        <v>707.08</v>
      </c>
      <c r="AL832" t="str">
        <f>"$"</f>
        <v>$</v>
      </c>
    </row>
    <row r="833" spans="1:38" x14ac:dyDescent="0.3">
      <c r="A833" t="str">
        <f>"SO20000532"</f>
        <v>SO20000532</v>
      </c>
      <c r="B833" t="str">
        <f>"E000321177"</f>
        <v>E000321177</v>
      </c>
      <c r="C833" t="str">
        <f>"בוצעה"</f>
        <v>בוצעה</v>
      </c>
      <c r="E833" s="3">
        <v>44155</v>
      </c>
      <c r="F833" s="3">
        <v>44242</v>
      </c>
      <c r="G833" t="str">
        <f>"700065"</f>
        <v>700065</v>
      </c>
      <c r="H833" t="str">
        <f>"אלתא מערכות בע""מ"</f>
        <v>אלתא מערכות בע"מ</v>
      </c>
      <c r="I833" t="str">
        <f>"ערן שלו"</f>
        <v>ערן שלו</v>
      </c>
      <c r="J833" t="str">
        <f>"OP-AR02117"</f>
        <v>OP-AR02117</v>
      </c>
      <c r="K833" s="1" t="str">
        <f>"1032F933-001/-   ETHERNET CABLE MFR-W933 - FILTE"</f>
        <v>1032F933-001/-   ETHERNET CABLE MFR-W933 - FILTE</v>
      </c>
      <c r="L833">
        <v>8</v>
      </c>
      <c r="M833" t="str">
        <f>"PR20000834"</f>
        <v>PR20000834</v>
      </c>
      <c r="N833" t="str">
        <f>"BEL"</f>
        <v>BEL</v>
      </c>
      <c r="O833">
        <v>176.77</v>
      </c>
      <c r="P833" t="str">
        <f>"$"</f>
        <v>$</v>
      </c>
      <c r="Q833" t="str">
        <f>"117"</f>
        <v>117</v>
      </c>
      <c r="R833" t="str">
        <f>"רתמות"</f>
        <v>רתמות</v>
      </c>
      <c r="S833" t="str">
        <f>"034"</f>
        <v>034</v>
      </c>
      <c r="T833" t="str">
        <f>"מוסקוביץ אולגה"</f>
        <v>מוסקוביץ אולגה</v>
      </c>
      <c r="U833">
        <v>0</v>
      </c>
      <c r="V833">
        <v>0</v>
      </c>
      <c r="W833">
        <v>176.77</v>
      </c>
      <c r="X833" s="2">
        <v>1414.16</v>
      </c>
      <c r="Z833" t="str">
        <f>"Y"</f>
        <v>Y</v>
      </c>
      <c r="AA833">
        <v>0</v>
      </c>
      <c r="AC833">
        <v>0</v>
      </c>
      <c r="AE833">
        <v>0</v>
      </c>
      <c r="AF833">
        <v>0</v>
      </c>
      <c r="AG833">
        <v>591.12</v>
      </c>
      <c r="AH833">
        <v>0</v>
      </c>
      <c r="AI833" s="2">
        <v>4728.95</v>
      </c>
      <c r="AJ833" s="2">
        <v>1414.16</v>
      </c>
      <c r="AK833" s="2">
        <v>1414.16</v>
      </c>
      <c r="AL833" t="str">
        <f>"$"</f>
        <v>$</v>
      </c>
    </row>
    <row r="834" spans="1:38" x14ac:dyDescent="0.3">
      <c r="A834" t="str">
        <f>"SO20000532"</f>
        <v>SO20000532</v>
      </c>
      <c r="B834" t="str">
        <f>"E000321177"</f>
        <v>E000321177</v>
      </c>
      <c r="C834" t="str">
        <f>"בוצעה"</f>
        <v>בוצעה</v>
      </c>
      <c r="E834" s="3">
        <v>44155</v>
      </c>
      <c r="F834" s="3">
        <v>44378</v>
      </c>
      <c r="G834" t="str">
        <f>"700065"</f>
        <v>700065</v>
      </c>
      <c r="H834" t="str">
        <f>"אלתא מערכות בע""מ"</f>
        <v>אלתא מערכות בע"מ</v>
      </c>
      <c r="I834" t="str">
        <f>"ערן שלו"</f>
        <v>ערן שלו</v>
      </c>
      <c r="J834" t="str">
        <f>"OP-AR02117"</f>
        <v>OP-AR02117</v>
      </c>
      <c r="K834" s="1" t="str">
        <f>"1032F933-001/-   ETHERNET CABLE MFR-W933 - FILTE"</f>
        <v>1032F933-001/-   ETHERNET CABLE MFR-W933 - FILTE</v>
      </c>
      <c r="L834">
        <v>4</v>
      </c>
      <c r="M834" t="str">
        <f>"PR20000834"</f>
        <v>PR20000834</v>
      </c>
      <c r="N834" t="str">
        <f>"BEL"</f>
        <v>BEL</v>
      </c>
      <c r="O834">
        <v>176.77</v>
      </c>
      <c r="P834" t="str">
        <f>"$"</f>
        <v>$</v>
      </c>
      <c r="Q834" t="str">
        <f>"117"</f>
        <v>117</v>
      </c>
      <c r="R834" t="str">
        <f>"רתמות"</f>
        <v>רתמות</v>
      </c>
      <c r="S834" t="str">
        <f>"034"</f>
        <v>034</v>
      </c>
      <c r="T834" t="str">
        <f>"מוסקוביץ אולגה"</f>
        <v>מוסקוביץ אולגה</v>
      </c>
      <c r="U834">
        <v>0</v>
      </c>
      <c r="V834">
        <v>0</v>
      </c>
      <c r="W834">
        <v>176.77</v>
      </c>
      <c r="X834">
        <v>707.08</v>
      </c>
      <c r="Z834" t="str">
        <f>"Y"</f>
        <v>Y</v>
      </c>
      <c r="AA834">
        <v>0</v>
      </c>
      <c r="AC834">
        <v>0</v>
      </c>
      <c r="AE834">
        <v>0</v>
      </c>
      <c r="AF834">
        <v>0</v>
      </c>
      <c r="AG834">
        <v>591.12</v>
      </c>
      <c r="AH834">
        <v>0</v>
      </c>
      <c r="AI834" s="2">
        <v>2364.48</v>
      </c>
      <c r="AJ834">
        <v>707.08</v>
      </c>
      <c r="AK834">
        <v>707.08</v>
      </c>
      <c r="AL834" t="str">
        <f>"$"</f>
        <v>$</v>
      </c>
    </row>
    <row r="835" spans="1:38" x14ac:dyDescent="0.3">
      <c r="A835" t="str">
        <f>"SO20000532"</f>
        <v>SO20000532</v>
      </c>
      <c r="B835" t="str">
        <f>"E000321177"</f>
        <v>E000321177</v>
      </c>
      <c r="C835" t="str">
        <f>"בוצעה"</f>
        <v>בוצעה</v>
      </c>
      <c r="E835" s="3">
        <v>44155</v>
      </c>
      <c r="F835" s="3">
        <v>44378</v>
      </c>
      <c r="G835" t="str">
        <f>"700065"</f>
        <v>700065</v>
      </c>
      <c r="H835" t="str">
        <f>"אלתא מערכות בע""מ"</f>
        <v>אלתא מערכות בע"מ</v>
      </c>
      <c r="I835" t="str">
        <f>"ערן שלו"</f>
        <v>ערן שלו</v>
      </c>
      <c r="J835" t="str">
        <f>"OP-AR02117"</f>
        <v>OP-AR02117</v>
      </c>
      <c r="K835" s="1" t="str">
        <f>"1032F933-001/-   ETHERNET CABLE MFR-W933 - FILTE"</f>
        <v>1032F933-001/-   ETHERNET CABLE MFR-W933 - FILTE</v>
      </c>
      <c r="L835">
        <v>4</v>
      </c>
      <c r="M835" t="str">
        <f>"PR20000834"</f>
        <v>PR20000834</v>
      </c>
      <c r="N835" t="str">
        <f>"BEL"</f>
        <v>BEL</v>
      </c>
      <c r="O835">
        <v>176.77</v>
      </c>
      <c r="P835" t="str">
        <f>"$"</f>
        <v>$</v>
      </c>
      <c r="Q835" t="str">
        <f>"117"</f>
        <v>117</v>
      </c>
      <c r="R835" t="str">
        <f>"רתמות"</f>
        <v>רתמות</v>
      </c>
      <c r="S835" t="str">
        <f>"034"</f>
        <v>034</v>
      </c>
      <c r="T835" t="str">
        <f>"מוסקוביץ אולגה"</f>
        <v>מוסקוביץ אולגה</v>
      </c>
      <c r="U835">
        <v>0</v>
      </c>
      <c r="V835">
        <v>0</v>
      </c>
      <c r="W835">
        <v>176.77</v>
      </c>
      <c r="X835">
        <v>707.08</v>
      </c>
      <c r="Z835" t="str">
        <f>"Y"</f>
        <v>Y</v>
      </c>
      <c r="AA835">
        <v>0</v>
      </c>
      <c r="AC835">
        <v>0</v>
      </c>
      <c r="AE835">
        <v>0</v>
      </c>
      <c r="AF835">
        <v>0</v>
      </c>
      <c r="AG835">
        <v>591.12</v>
      </c>
      <c r="AH835">
        <v>0</v>
      </c>
      <c r="AI835" s="2">
        <v>2364.48</v>
      </c>
      <c r="AJ835">
        <v>707.08</v>
      </c>
      <c r="AK835">
        <v>707.08</v>
      </c>
      <c r="AL835" t="str">
        <f>"$"</f>
        <v>$</v>
      </c>
    </row>
    <row r="836" spans="1:38" x14ac:dyDescent="0.3">
      <c r="A836" t="str">
        <f>"SO20000532"</f>
        <v>SO20000532</v>
      </c>
      <c r="B836" t="str">
        <f>"E000321177"</f>
        <v>E000321177</v>
      </c>
      <c r="C836" t="str">
        <f>"בוצעה"</f>
        <v>בוצעה</v>
      </c>
      <c r="E836" s="3">
        <v>44155</v>
      </c>
      <c r="F836" s="3">
        <v>44593</v>
      </c>
      <c r="G836" t="str">
        <f>"700065"</f>
        <v>700065</v>
      </c>
      <c r="H836" t="str">
        <f>"אלתא מערכות בע""מ"</f>
        <v>אלתא מערכות בע"מ</v>
      </c>
      <c r="I836" t="str">
        <f>"ערן שלו"</f>
        <v>ערן שלו</v>
      </c>
      <c r="J836" t="str">
        <f>"OP-AR02117"</f>
        <v>OP-AR02117</v>
      </c>
      <c r="K836" s="1" t="str">
        <f>"1032F933-001/-   ETHERNET CABLE MFR-W933 - FILTE"</f>
        <v>1032F933-001/-   ETHERNET CABLE MFR-W933 - FILTE</v>
      </c>
      <c r="L836">
        <v>4</v>
      </c>
      <c r="M836" t="str">
        <f>"PR20000834"</f>
        <v>PR20000834</v>
      </c>
      <c r="N836" t="str">
        <f>"BEL"</f>
        <v>BEL</v>
      </c>
      <c r="O836">
        <v>176.77</v>
      </c>
      <c r="P836" t="str">
        <f>"$"</f>
        <v>$</v>
      </c>
      <c r="Q836" t="str">
        <f>"117"</f>
        <v>117</v>
      </c>
      <c r="R836" t="str">
        <f>"רתמות"</f>
        <v>רתמות</v>
      </c>
      <c r="S836" t="str">
        <f>"034"</f>
        <v>034</v>
      </c>
      <c r="T836" t="str">
        <f>"מוסקוביץ אולגה"</f>
        <v>מוסקוביץ אולגה</v>
      </c>
      <c r="U836">
        <v>0</v>
      </c>
      <c r="V836">
        <v>0</v>
      </c>
      <c r="W836">
        <v>176.77</v>
      </c>
      <c r="X836">
        <v>707.08</v>
      </c>
      <c r="Z836" t="str">
        <f>"Y"</f>
        <v>Y</v>
      </c>
      <c r="AA836">
        <v>0</v>
      </c>
      <c r="AC836">
        <v>0</v>
      </c>
      <c r="AE836">
        <v>0</v>
      </c>
      <c r="AF836">
        <v>0</v>
      </c>
      <c r="AG836">
        <v>591.12</v>
      </c>
      <c r="AH836">
        <v>0</v>
      </c>
      <c r="AI836" s="2">
        <v>2364.48</v>
      </c>
      <c r="AJ836">
        <v>707.08</v>
      </c>
      <c r="AK836">
        <v>707.08</v>
      </c>
      <c r="AL836" t="str">
        <f>"$"</f>
        <v>$</v>
      </c>
    </row>
    <row r="837" spans="1:38" x14ac:dyDescent="0.3">
      <c r="A837" t="str">
        <f>"SO20000532"</f>
        <v>SO20000532</v>
      </c>
      <c r="B837" t="str">
        <f>"E000321177"</f>
        <v>E000321177</v>
      </c>
      <c r="C837" t="str">
        <f>"בוצעה"</f>
        <v>בוצעה</v>
      </c>
      <c r="E837" s="3">
        <v>44155</v>
      </c>
      <c r="F837" s="3">
        <v>45047</v>
      </c>
      <c r="G837" t="str">
        <f>"700065"</f>
        <v>700065</v>
      </c>
      <c r="H837" t="str">
        <f>"אלתא מערכות בע""מ"</f>
        <v>אלתא מערכות בע"מ</v>
      </c>
      <c r="I837" t="str">
        <f>"ערן שלו"</f>
        <v>ערן שלו</v>
      </c>
      <c r="J837" t="str">
        <f>"OP-AR02117"</f>
        <v>OP-AR02117</v>
      </c>
      <c r="K837" s="1" t="str">
        <f>"1032F933-001/-   ETHERNET CABLE MFR-W933 - FILTE"</f>
        <v>1032F933-001/-   ETHERNET CABLE MFR-W933 - FILTE</v>
      </c>
      <c r="L837">
        <v>4</v>
      </c>
      <c r="M837" t="str">
        <f>"PR20000834"</f>
        <v>PR20000834</v>
      </c>
      <c r="N837" t="str">
        <f>"BEL"</f>
        <v>BEL</v>
      </c>
      <c r="O837">
        <v>176.77</v>
      </c>
      <c r="P837" t="str">
        <f>"$"</f>
        <v>$</v>
      </c>
      <c r="Q837" t="str">
        <f>"117"</f>
        <v>117</v>
      </c>
      <c r="R837" t="str">
        <f>"רתמות"</f>
        <v>רתמות</v>
      </c>
      <c r="S837" t="str">
        <f>"034"</f>
        <v>034</v>
      </c>
      <c r="T837" t="str">
        <f>"מוסקוביץ אולגה"</f>
        <v>מוסקוביץ אולגה</v>
      </c>
      <c r="U837">
        <v>0</v>
      </c>
      <c r="V837">
        <v>0</v>
      </c>
      <c r="W837">
        <v>176.77</v>
      </c>
      <c r="X837">
        <v>707.08</v>
      </c>
      <c r="Z837" t="str">
        <f>"Y"</f>
        <v>Y</v>
      </c>
      <c r="AA837">
        <v>0</v>
      </c>
      <c r="AC837">
        <v>0</v>
      </c>
      <c r="AE837">
        <v>0</v>
      </c>
      <c r="AF837">
        <v>0</v>
      </c>
      <c r="AG837">
        <v>591.12</v>
      </c>
      <c r="AH837">
        <v>0</v>
      </c>
      <c r="AI837" s="2">
        <v>2364.48</v>
      </c>
      <c r="AJ837">
        <v>707.08</v>
      </c>
      <c r="AK837">
        <v>707.08</v>
      </c>
      <c r="AL837" t="str">
        <f>"$"</f>
        <v>$</v>
      </c>
    </row>
    <row r="838" spans="1:38" x14ac:dyDescent="0.3">
      <c r="A838" t="str">
        <f>"SO20000532"</f>
        <v>SO20000532</v>
      </c>
      <c r="B838" t="str">
        <f>"E000321177"</f>
        <v>E000321177</v>
      </c>
      <c r="C838" t="str">
        <f>"בוצעה"</f>
        <v>בוצעה</v>
      </c>
      <c r="E838" s="3">
        <v>44155</v>
      </c>
      <c r="F838" s="3">
        <v>45047</v>
      </c>
      <c r="G838" t="str">
        <f>"700065"</f>
        <v>700065</v>
      </c>
      <c r="H838" t="str">
        <f>"אלתא מערכות בע""מ"</f>
        <v>אלתא מערכות בע"מ</v>
      </c>
      <c r="I838" t="str">
        <f>"ערן שלו"</f>
        <v>ערן שלו</v>
      </c>
      <c r="J838" t="str">
        <f>"OP-AR02117"</f>
        <v>OP-AR02117</v>
      </c>
      <c r="K838" s="1" t="str">
        <f>"1032F933-001/-   ETHERNET CABLE MFR-W933 - FILTE"</f>
        <v>1032F933-001/-   ETHERNET CABLE MFR-W933 - FILTE</v>
      </c>
      <c r="L838">
        <v>4</v>
      </c>
      <c r="M838" t="str">
        <f>"PR20000834"</f>
        <v>PR20000834</v>
      </c>
      <c r="N838" t="str">
        <f>"BEL"</f>
        <v>BEL</v>
      </c>
      <c r="O838">
        <v>176.77</v>
      </c>
      <c r="P838" t="str">
        <f>"$"</f>
        <v>$</v>
      </c>
      <c r="Q838" t="str">
        <f>"117"</f>
        <v>117</v>
      </c>
      <c r="R838" t="str">
        <f>"רתמות"</f>
        <v>רתמות</v>
      </c>
      <c r="S838" t="str">
        <f>"034"</f>
        <v>034</v>
      </c>
      <c r="T838" t="str">
        <f>"מוסקוביץ אולגה"</f>
        <v>מוסקוביץ אולגה</v>
      </c>
      <c r="U838">
        <v>0</v>
      </c>
      <c r="V838">
        <v>0</v>
      </c>
      <c r="W838">
        <v>176.77</v>
      </c>
      <c r="X838">
        <v>707.08</v>
      </c>
      <c r="Z838" t="str">
        <f>"Y"</f>
        <v>Y</v>
      </c>
      <c r="AA838">
        <v>0</v>
      </c>
      <c r="AC838">
        <v>0</v>
      </c>
      <c r="AE838">
        <v>0</v>
      </c>
      <c r="AF838">
        <v>0</v>
      </c>
      <c r="AG838">
        <v>591.12</v>
      </c>
      <c r="AH838">
        <v>0</v>
      </c>
      <c r="AI838" s="2">
        <v>2364.48</v>
      </c>
      <c r="AJ838">
        <v>707.08</v>
      </c>
      <c r="AK838">
        <v>707.08</v>
      </c>
      <c r="AL838" t="str">
        <f>"$"</f>
        <v>$</v>
      </c>
    </row>
    <row r="839" spans="1:38" x14ac:dyDescent="0.3">
      <c r="A839" t="str">
        <f>"SO20000532"</f>
        <v>SO20000532</v>
      </c>
      <c r="B839" t="str">
        <f>"E000321177"</f>
        <v>E000321177</v>
      </c>
      <c r="C839" t="str">
        <f>"בוצעה"</f>
        <v>בוצעה</v>
      </c>
      <c r="E839" s="3">
        <v>44155</v>
      </c>
      <c r="F839" s="3">
        <v>44242</v>
      </c>
      <c r="G839" t="str">
        <f>"700065"</f>
        <v>700065</v>
      </c>
      <c r="H839" t="str">
        <f>"אלתא מערכות בע""מ"</f>
        <v>אלתא מערכות בע"מ</v>
      </c>
      <c r="I839" t="str">
        <f>"ערן שלו"</f>
        <v>ערן שלו</v>
      </c>
      <c r="J839" t="str">
        <f>"OP-AR02118"</f>
        <v>OP-AR02118</v>
      </c>
      <c r="K839" s="1" t="str">
        <f>"1032F934-001/-   ETHERNET CABLE MFR-W934 - FILTE"</f>
        <v>1032F934-001/-   ETHERNET CABLE MFR-W934 - FILTE</v>
      </c>
      <c r="L839">
        <v>8</v>
      </c>
      <c r="M839" t="str">
        <f>"PR20000834"</f>
        <v>PR20000834</v>
      </c>
      <c r="N839" t="str">
        <f>"BEL"</f>
        <v>BEL</v>
      </c>
      <c r="O839">
        <v>176.77</v>
      </c>
      <c r="P839" t="str">
        <f>"$"</f>
        <v>$</v>
      </c>
      <c r="Q839" t="str">
        <f>"117"</f>
        <v>117</v>
      </c>
      <c r="R839" t="str">
        <f>"רתמות"</f>
        <v>רתמות</v>
      </c>
      <c r="S839" t="str">
        <f>"034"</f>
        <v>034</v>
      </c>
      <c r="T839" t="str">
        <f>"מוסקוביץ אולגה"</f>
        <v>מוסקוביץ אולגה</v>
      </c>
      <c r="U839">
        <v>0</v>
      </c>
      <c r="V839">
        <v>0</v>
      </c>
      <c r="W839">
        <v>176.77</v>
      </c>
      <c r="X839" s="2">
        <v>1414.16</v>
      </c>
      <c r="Z839" t="str">
        <f>"Y"</f>
        <v>Y</v>
      </c>
      <c r="AA839">
        <v>0</v>
      </c>
      <c r="AC839">
        <v>0</v>
      </c>
      <c r="AE839">
        <v>0</v>
      </c>
      <c r="AF839">
        <v>0</v>
      </c>
      <c r="AG839">
        <v>591.12</v>
      </c>
      <c r="AH839">
        <v>0</v>
      </c>
      <c r="AI839" s="2">
        <v>4728.95</v>
      </c>
      <c r="AJ839" s="2">
        <v>1414.16</v>
      </c>
      <c r="AK839" s="2">
        <v>1414.16</v>
      </c>
      <c r="AL839" t="str">
        <f>"$"</f>
        <v>$</v>
      </c>
    </row>
    <row r="840" spans="1:38" x14ac:dyDescent="0.3">
      <c r="A840" t="str">
        <f>"SO20000532"</f>
        <v>SO20000532</v>
      </c>
      <c r="B840" t="str">
        <f>"E000321177"</f>
        <v>E000321177</v>
      </c>
      <c r="C840" t="str">
        <f>"בוצעה"</f>
        <v>בוצעה</v>
      </c>
      <c r="E840" s="3">
        <v>44155</v>
      </c>
      <c r="F840" s="3">
        <v>44378</v>
      </c>
      <c r="G840" t="str">
        <f>"700065"</f>
        <v>700065</v>
      </c>
      <c r="H840" t="str">
        <f>"אלתא מערכות בע""מ"</f>
        <v>אלתא מערכות בע"מ</v>
      </c>
      <c r="I840" t="str">
        <f>"ערן שלו"</f>
        <v>ערן שלו</v>
      </c>
      <c r="J840" t="str">
        <f>"OP-AR02118"</f>
        <v>OP-AR02118</v>
      </c>
      <c r="K840" s="1" t="str">
        <f>"1032F934-001/-   ETHERNET CABLE MFR-W934 - FILTE"</f>
        <v>1032F934-001/-   ETHERNET CABLE MFR-W934 - FILTE</v>
      </c>
      <c r="L840">
        <v>4</v>
      </c>
      <c r="M840" t="str">
        <f>"PR20000834"</f>
        <v>PR20000834</v>
      </c>
      <c r="N840" t="str">
        <f>"BEL"</f>
        <v>BEL</v>
      </c>
      <c r="O840">
        <v>176.77</v>
      </c>
      <c r="P840" t="str">
        <f>"$"</f>
        <v>$</v>
      </c>
      <c r="Q840" t="str">
        <f>"117"</f>
        <v>117</v>
      </c>
      <c r="R840" t="str">
        <f>"רתמות"</f>
        <v>רתמות</v>
      </c>
      <c r="S840" t="str">
        <f>"034"</f>
        <v>034</v>
      </c>
      <c r="T840" t="str">
        <f>"מוסקוביץ אולגה"</f>
        <v>מוסקוביץ אולגה</v>
      </c>
      <c r="U840">
        <v>0</v>
      </c>
      <c r="V840">
        <v>0</v>
      </c>
      <c r="W840">
        <v>176.77</v>
      </c>
      <c r="X840">
        <v>707.08</v>
      </c>
      <c r="Z840" t="str">
        <f>"Y"</f>
        <v>Y</v>
      </c>
      <c r="AA840">
        <v>0</v>
      </c>
      <c r="AC840">
        <v>0</v>
      </c>
      <c r="AE840">
        <v>0</v>
      </c>
      <c r="AF840">
        <v>0</v>
      </c>
      <c r="AG840">
        <v>591.12</v>
      </c>
      <c r="AH840">
        <v>0</v>
      </c>
      <c r="AI840" s="2">
        <v>2364.48</v>
      </c>
      <c r="AJ840">
        <v>707.08</v>
      </c>
      <c r="AK840">
        <v>707.08</v>
      </c>
      <c r="AL840" t="str">
        <f>"$"</f>
        <v>$</v>
      </c>
    </row>
    <row r="841" spans="1:38" x14ac:dyDescent="0.3">
      <c r="A841" t="str">
        <f>"SO20000532"</f>
        <v>SO20000532</v>
      </c>
      <c r="B841" t="str">
        <f>"E000321177"</f>
        <v>E000321177</v>
      </c>
      <c r="C841" t="str">
        <f>"בוצעה"</f>
        <v>בוצעה</v>
      </c>
      <c r="E841" s="3">
        <v>44155</v>
      </c>
      <c r="F841" s="3">
        <v>44378</v>
      </c>
      <c r="G841" t="str">
        <f>"700065"</f>
        <v>700065</v>
      </c>
      <c r="H841" t="str">
        <f>"אלתא מערכות בע""מ"</f>
        <v>אלתא מערכות בע"מ</v>
      </c>
      <c r="I841" t="str">
        <f>"ערן שלו"</f>
        <v>ערן שלו</v>
      </c>
      <c r="J841" t="str">
        <f>"OP-AR02118"</f>
        <v>OP-AR02118</v>
      </c>
      <c r="K841" s="1" t="str">
        <f>"1032F934-001/-   ETHERNET CABLE MFR-W934 - FILTE"</f>
        <v>1032F934-001/-   ETHERNET CABLE MFR-W934 - FILTE</v>
      </c>
      <c r="L841">
        <v>4</v>
      </c>
      <c r="M841" t="str">
        <f>"PR20000834"</f>
        <v>PR20000834</v>
      </c>
      <c r="N841" t="str">
        <f>"BEL"</f>
        <v>BEL</v>
      </c>
      <c r="O841">
        <v>176.77</v>
      </c>
      <c r="P841" t="str">
        <f>"$"</f>
        <v>$</v>
      </c>
      <c r="Q841" t="str">
        <f>"117"</f>
        <v>117</v>
      </c>
      <c r="R841" t="str">
        <f>"רתמות"</f>
        <v>רתמות</v>
      </c>
      <c r="S841" t="str">
        <f>"034"</f>
        <v>034</v>
      </c>
      <c r="T841" t="str">
        <f>"מוסקוביץ אולגה"</f>
        <v>מוסקוביץ אולגה</v>
      </c>
      <c r="U841">
        <v>0</v>
      </c>
      <c r="V841">
        <v>0</v>
      </c>
      <c r="W841">
        <v>176.77</v>
      </c>
      <c r="X841">
        <v>707.08</v>
      </c>
      <c r="Z841" t="str">
        <f>"Y"</f>
        <v>Y</v>
      </c>
      <c r="AA841">
        <v>0</v>
      </c>
      <c r="AC841">
        <v>0</v>
      </c>
      <c r="AE841">
        <v>0</v>
      </c>
      <c r="AF841">
        <v>0</v>
      </c>
      <c r="AG841">
        <v>591.12</v>
      </c>
      <c r="AH841">
        <v>0</v>
      </c>
      <c r="AI841" s="2">
        <v>2364.48</v>
      </c>
      <c r="AJ841">
        <v>707.08</v>
      </c>
      <c r="AK841">
        <v>707.08</v>
      </c>
      <c r="AL841" t="str">
        <f>"$"</f>
        <v>$</v>
      </c>
    </row>
    <row r="842" spans="1:38" x14ac:dyDescent="0.3">
      <c r="A842" t="str">
        <f>"SO20000532"</f>
        <v>SO20000532</v>
      </c>
      <c r="B842" t="str">
        <f>"E000321177"</f>
        <v>E000321177</v>
      </c>
      <c r="C842" t="str">
        <f>"בוצעה"</f>
        <v>בוצעה</v>
      </c>
      <c r="E842" s="3">
        <v>44155</v>
      </c>
      <c r="F842" s="3">
        <v>44593</v>
      </c>
      <c r="G842" t="str">
        <f>"700065"</f>
        <v>700065</v>
      </c>
      <c r="H842" t="str">
        <f>"אלתא מערכות בע""מ"</f>
        <v>אלתא מערכות בע"מ</v>
      </c>
      <c r="I842" t="str">
        <f>"ערן שלו"</f>
        <v>ערן שלו</v>
      </c>
      <c r="J842" t="str">
        <f>"OP-AR02118"</f>
        <v>OP-AR02118</v>
      </c>
      <c r="K842" s="1" t="str">
        <f>"1032F934-001/-   ETHERNET CABLE MFR-W934 - FILTE"</f>
        <v>1032F934-001/-   ETHERNET CABLE MFR-W934 - FILTE</v>
      </c>
      <c r="L842">
        <v>4</v>
      </c>
      <c r="M842" t="str">
        <f>"PR20000834"</f>
        <v>PR20000834</v>
      </c>
      <c r="N842" t="str">
        <f>"BEL"</f>
        <v>BEL</v>
      </c>
      <c r="O842">
        <v>176.77</v>
      </c>
      <c r="P842" t="str">
        <f>"$"</f>
        <v>$</v>
      </c>
      <c r="Q842" t="str">
        <f>"117"</f>
        <v>117</v>
      </c>
      <c r="R842" t="str">
        <f>"רתמות"</f>
        <v>רתמות</v>
      </c>
      <c r="S842" t="str">
        <f>"034"</f>
        <v>034</v>
      </c>
      <c r="T842" t="str">
        <f>"מוסקוביץ אולגה"</f>
        <v>מוסקוביץ אולגה</v>
      </c>
      <c r="U842">
        <v>0</v>
      </c>
      <c r="V842">
        <v>0</v>
      </c>
      <c r="W842">
        <v>176.77</v>
      </c>
      <c r="X842">
        <v>707.08</v>
      </c>
      <c r="Z842" t="str">
        <f>"Y"</f>
        <v>Y</v>
      </c>
      <c r="AA842">
        <v>0</v>
      </c>
      <c r="AC842">
        <v>0</v>
      </c>
      <c r="AE842">
        <v>0</v>
      </c>
      <c r="AF842">
        <v>0</v>
      </c>
      <c r="AG842">
        <v>591.12</v>
      </c>
      <c r="AH842">
        <v>0</v>
      </c>
      <c r="AI842" s="2">
        <v>2364.48</v>
      </c>
      <c r="AJ842">
        <v>707.08</v>
      </c>
      <c r="AK842">
        <v>707.08</v>
      </c>
      <c r="AL842" t="str">
        <f>"$"</f>
        <v>$</v>
      </c>
    </row>
    <row r="843" spans="1:38" x14ac:dyDescent="0.3">
      <c r="A843" t="str">
        <f>"SO20000532"</f>
        <v>SO20000532</v>
      </c>
      <c r="B843" t="str">
        <f>"E000321177"</f>
        <v>E000321177</v>
      </c>
      <c r="C843" t="str">
        <f>"בוצעה"</f>
        <v>בוצעה</v>
      </c>
      <c r="E843" s="3">
        <v>44155</v>
      </c>
      <c r="F843" s="3">
        <v>45047</v>
      </c>
      <c r="G843" t="str">
        <f>"700065"</f>
        <v>700065</v>
      </c>
      <c r="H843" t="str">
        <f>"אלתא מערכות בע""מ"</f>
        <v>אלתא מערכות בע"מ</v>
      </c>
      <c r="I843" t="str">
        <f>"ערן שלו"</f>
        <v>ערן שלו</v>
      </c>
      <c r="J843" t="str">
        <f>"OP-AR02118"</f>
        <v>OP-AR02118</v>
      </c>
      <c r="K843" s="1" t="str">
        <f>"1032F934-001/-   ETHERNET CABLE MFR-W934 - FILTE"</f>
        <v>1032F934-001/-   ETHERNET CABLE MFR-W934 - FILTE</v>
      </c>
      <c r="L843">
        <v>4</v>
      </c>
      <c r="M843" t="str">
        <f>"PR20000834"</f>
        <v>PR20000834</v>
      </c>
      <c r="N843" t="str">
        <f>"BEL"</f>
        <v>BEL</v>
      </c>
      <c r="O843">
        <v>176.77</v>
      </c>
      <c r="P843" t="str">
        <f>"$"</f>
        <v>$</v>
      </c>
      <c r="Q843" t="str">
        <f>"117"</f>
        <v>117</v>
      </c>
      <c r="R843" t="str">
        <f>"רתמות"</f>
        <v>רתמות</v>
      </c>
      <c r="S843" t="str">
        <f>"034"</f>
        <v>034</v>
      </c>
      <c r="T843" t="str">
        <f>"מוסקוביץ אולגה"</f>
        <v>מוסקוביץ אולגה</v>
      </c>
      <c r="U843">
        <v>0</v>
      </c>
      <c r="V843">
        <v>0</v>
      </c>
      <c r="W843">
        <v>176.77</v>
      </c>
      <c r="X843">
        <v>707.08</v>
      </c>
      <c r="Z843" t="str">
        <f>"Y"</f>
        <v>Y</v>
      </c>
      <c r="AA843">
        <v>0</v>
      </c>
      <c r="AC843">
        <v>0</v>
      </c>
      <c r="AE843">
        <v>0</v>
      </c>
      <c r="AF843">
        <v>0</v>
      </c>
      <c r="AG843">
        <v>591.12</v>
      </c>
      <c r="AH843">
        <v>0</v>
      </c>
      <c r="AI843" s="2">
        <v>2364.48</v>
      </c>
      <c r="AJ843">
        <v>707.08</v>
      </c>
      <c r="AK843">
        <v>707.08</v>
      </c>
      <c r="AL843" t="str">
        <f>"$"</f>
        <v>$</v>
      </c>
    </row>
    <row r="844" spans="1:38" x14ac:dyDescent="0.3">
      <c r="A844" t="str">
        <f>"SO20000532"</f>
        <v>SO20000532</v>
      </c>
      <c r="B844" t="str">
        <f>"E000321177"</f>
        <v>E000321177</v>
      </c>
      <c r="C844" t="str">
        <f>"בוצעה"</f>
        <v>בוצעה</v>
      </c>
      <c r="E844" s="3">
        <v>44155</v>
      </c>
      <c r="F844" s="3">
        <v>45047</v>
      </c>
      <c r="G844" t="str">
        <f>"700065"</f>
        <v>700065</v>
      </c>
      <c r="H844" t="str">
        <f>"אלתא מערכות בע""מ"</f>
        <v>אלתא מערכות בע"מ</v>
      </c>
      <c r="I844" t="str">
        <f>"ערן שלו"</f>
        <v>ערן שלו</v>
      </c>
      <c r="J844" t="str">
        <f>"OP-AR02118"</f>
        <v>OP-AR02118</v>
      </c>
      <c r="K844" s="1" t="str">
        <f>"1032F934-001/-   ETHERNET CABLE MFR-W934 - FILTE"</f>
        <v>1032F934-001/-   ETHERNET CABLE MFR-W934 - FILTE</v>
      </c>
      <c r="L844">
        <v>4</v>
      </c>
      <c r="M844" t="str">
        <f>"PR20000834"</f>
        <v>PR20000834</v>
      </c>
      <c r="N844" t="str">
        <f>"BEL"</f>
        <v>BEL</v>
      </c>
      <c r="O844">
        <v>176.77</v>
      </c>
      <c r="P844" t="str">
        <f>"$"</f>
        <v>$</v>
      </c>
      <c r="Q844" t="str">
        <f>"117"</f>
        <v>117</v>
      </c>
      <c r="R844" t="str">
        <f>"רתמות"</f>
        <v>רתמות</v>
      </c>
      <c r="S844" t="str">
        <f>"034"</f>
        <v>034</v>
      </c>
      <c r="T844" t="str">
        <f>"מוסקוביץ אולגה"</f>
        <v>מוסקוביץ אולגה</v>
      </c>
      <c r="U844">
        <v>0</v>
      </c>
      <c r="V844">
        <v>0</v>
      </c>
      <c r="W844">
        <v>176.77</v>
      </c>
      <c r="X844">
        <v>707.08</v>
      </c>
      <c r="Z844" t="str">
        <f>"Y"</f>
        <v>Y</v>
      </c>
      <c r="AA844">
        <v>0</v>
      </c>
      <c r="AC844">
        <v>0</v>
      </c>
      <c r="AE844">
        <v>0</v>
      </c>
      <c r="AF844">
        <v>0</v>
      </c>
      <c r="AG844">
        <v>591.12</v>
      </c>
      <c r="AH844">
        <v>0</v>
      </c>
      <c r="AI844" s="2">
        <v>2364.48</v>
      </c>
      <c r="AJ844">
        <v>707.08</v>
      </c>
      <c r="AK844">
        <v>707.08</v>
      </c>
      <c r="AL844" t="str">
        <f>"$"</f>
        <v>$</v>
      </c>
    </row>
    <row r="845" spans="1:38" x14ac:dyDescent="0.3">
      <c r="A845" t="str">
        <f>"SO20000532"</f>
        <v>SO20000532</v>
      </c>
      <c r="B845" t="str">
        <f>"E000321177"</f>
        <v>E000321177</v>
      </c>
      <c r="C845" t="str">
        <f>"בוצעה"</f>
        <v>בוצעה</v>
      </c>
      <c r="E845" s="3">
        <v>44155</v>
      </c>
      <c r="F845" s="3">
        <v>44242</v>
      </c>
      <c r="G845" t="str">
        <f>"700065"</f>
        <v>700065</v>
      </c>
      <c r="H845" t="str">
        <f>"אלתא מערכות בע""מ"</f>
        <v>אלתא מערכות בע"מ</v>
      </c>
      <c r="I845" t="str">
        <f>"ערן שלו"</f>
        <v>ערן שלו</v>
      </c>
      <c r="J845" t="str">
        <f>"OP-AR02119"</f>
        <v>OP-AR02119</v>
      </c>
      <c r="K845" s="1" t="str">
        <f>"1032F935-001/-   ETHERNET CABLE MFR-W935 - FILTE"</f>
        <v>1032F935-001/-   ETHERNET CABLE MFR-W935 - FILTE</v>
      </c>
      <c r="L845">
        <v>8</v>
      </c>
      <c r="M845" t="str">
        <f>"PR20000834"</f>
        <v>PR20000834</v>
      </c>
      <c r="N845" t="str">
        <f>"BEL"</f>
        <v>BEL</v>
      </c>
      <c r="O845">
        <v>174</v>
      </c>
      <c r="P845" t="str">
        <f>"$"</f>
        <v>$</v>
      </c>
      <c r="Q845" t="str">
        <f>"117"</f>
        <v>117</v>
      </c>
      <c r="R845" t="str">
        <f>"רתמות"</f>
        <v>רתמות</v>
      </c>
      <c r="S845" t="str">
        <f>"034"</f>
        <v>034</v>
      </c>
      <c r="T845" t="str">
        <f>"מוסקוביץ אולגה"</f>
        <v>מוסקוביץ אולגה</v>
      </c>
      <c r="U845">
        <v>0</v>
      </c>
      <c r="V845">
        <v>0</v>
      </c>
      <c r="W845">
        <v>174</v>
      </c>
      <c r="X845" s="2">
        <v>1392</v>
      </c>
      <c r="Z845" t="str">
        <f>"Y"</f>
        <v>Y</v>
      </c>
      <c r="AA845">
        <v>0</v>
      </c>
      <c r="AC845">
        <v>0</v>
      </c>
      <c r="AE845">
        <v>0</v>
      </c>
      <c r="AF845">
        <v>0</v>
      </c>
      <c r="AG845">
        <v>581.86</v>
      </c>
      <c r="AH845">
        <v>0</v>
      </c>
      <c r="AI845" s="2">
        <v>4654.8500000000004</v>
      </c>
      <c r="AJ845" s="2">
        <v>1392</v>
      </c>
      <c r="AK845" s="2">
        <v>1392</v>
      </c>
      <c r="AL845" t="str">
        <f>"$"</f>
        <v>$</v>
      </c>
    </row>
    <row r="846" spans="1:38" x14ac:dyDescent="0.3">
      <c r="A846" t="str">
        <f>"SO20000532"</f>
        <v>SO20000532</v>
      </c>
      <c r="B846" t="str">
        <f>"E000321177"</f>
        <v>E000321177</v>
      </c>
      <c r="C846" t="str">
        <f>"בוצעה"</f>
        <v>בוצעה</v>
      </c>
      <c r="E846" s="3">
        <v>44155</v>
      </c>
      <c r="F846" s="3">
        <v>44378</v>
      </c>
      <c r="G846" t="str">
        <f>"700065"</f>
        <v>700065</v>
      </c>
      <c r="H846" t="str">
        <f>"אלתא מערכות בע""מ"</f>
        <v>אלתא מערכות בע"מ</v>
      </c>
      <c r="I846" t="str">
        <f>"ערן שלו"</f>
        <v>ערן שלו</v>
      </c>
      <c r="J846" t="str">
        <f>"OP-AR02119"</f>
        <v>OP-AR02119</v>
      </c>
      <c r="K846" s="1" t="str">
        <f>"1032F935-001/-   ETHERNET CABLE MFR-W935 - FILTE"</f>
        <v>1032F935-001/-   ETHERNET CABLE MFR-W935 - FILTE</v>
      </c>
      <c r="L846">
        <v>4</v>
      </c>
      <c r="M846" t="str">
        <f>"PR20000834"</f>
        <v>PR20000834</v>
      </c>
      <c r="N846" t="str">
        <f>"BEL"</f>
        <v>BEL</v>
      </c>
      <c r="O846">
        <v>174</v>
      </c>
      <c r="P846" t="str">
        <f>"$"</f>
        <v>$</v>
      </c>
      <c r="Q846" t="str">
        <f>"117"</f>
        <v>117</v>
      </c>
      <c r="R846" t="str">
        <f>"רתמות"</f>
        <v>רתמות</v>
      </c>
      <c r="S846" t="str">
        <f>"034"</f>
        <v>034</v>
      </c>
      <c r="T846" t="str">
        <f>"מוסקוביץ אולגה"</f>
        <v>מוסקוביץ אולגה</v>
      </c>
      <c r="U846">
        <v>0</v>
      </c>
      <c r="V846">
        <v>0</v>
      </c>
      <c r="W846">
        <v>174</v>
      </c>
      <c r="X846">
        <v>696</v>
      </c>
      <c r="Z846" t="str">
        <f>"Y"</f>
        <v>Y</v>
      </c>
      <c r="AA846">
        <v>0</v>
      </c>
      <c r="AC846">
        <v>0</v>
      </c>
      <c r="AE846">
        <v>0</v>
      </c>
      <c r="AF846">
        <v>0</v>
      </c>
      <c r="AG846">
        <v>581.86</v>
      </c>
      <c r="AH846">
        <v>0</v>
      </c>
      <c r="AI846" s="2">
        <v>2327.42</v>
      </c>
      <c r="AJ846">
        <v>696</v>
      </c>
      <c r="AK846">
        <v>696</v>
      </c>
      <c r="AL846" t="str">
        <f>"$"</f>
        <v>$</v>
      </c>
    </row>
    <row r="847" spans="1:38" x14ac:dyDescent="0.3">
      <c r="A847" t="str">
        <f>"SO20000532"</f>
        <v>SO20000532</v>
      </c>
      <c r="B847" t="str">
        <f>"E000321177"</f>
        <v>E000321177</v>
      </c>
      <c r="C847" t="str">
        <f>"בוצעה"</f>
        <v>בוצעה</v>
      </c>
      <c r="E847" s="3">
        <v>44155</v>
      </c>
      <c r="F847" s="3">
        <v>44378</v>
      </c>
      <c r="G847" t="str">
        <f>"700065"</f>
        <v>700065</v>
      </c>
      <c r="H847" t="str">
        <f>"אלתא מערכות בע""מ"</f>
        <v>אלתא מערכות בע"מ</v>
      </c>
      <c r="I847" t="str">
        <f>"ערן שלו"</f>
        <v>ערן שלו</v>
      </c>
      <c r="J847" t="str">
        <f>"OP-AR02119"</f>
        <v>OP-AR02119</v>
      </c>
      <c r="K847" s="1" t="str">
        <f>"1032F935-001/-   ETHERNET CABLE MFR-W935 - FILTE"</f>
        <v>1032F935-001/-   ETHERNET CABLE MFR-W935 - FILTE</v>
      </c>
      <c r="L847">
        <v>4</v>
      </c>
      <c r="M847" t="str">
        <f>"PR20000834"</f>
        <v>PR20000834</v>
      </c>
      <c r="N847" t="str">
        <f>"BEL"</f>
        <v>BEL</v>
      </c>
      <c r="O847">
        <v>174</v>
      </c>
      <c r="P847" t="str">
        <f>"$"</f>
        <v>$</v>
      </c>
      <c r="Q847" t="str">
        <f>"117"</f>
        <v>117</v>
      </c>
      <c r="R847" t="str">
        <f>"רתמות"</f>
        <v>רתמות</v>
      </c>
      <c r="S847" t="str">
        <f>"034"</f>
        <v>034</v>
      </c>
      <c r="T847" t="str">
        <f>"מוסקוביץ אולגה"</f>
        <v>מוסקוביץ אולגה</v>
      </c>
      <c r="U847">
        <v>0</v>
      </c>
      <c r="V847">
        <v>0</v>
      </c>
      <c r="W847">
        <v>174</v>
      </c>
      <c r="X847">
        <v>696</v>
      </c>
      <c r="Z847" t="str">
        <f>"Y"</f>
        <v>Y</v>
      </c>
      <c r="AA847">
        <v>0</v>
      </c>
      <c r="AC847">
        <v>0</v>
      </c>
      <c r="AE847">
        <v>0</v>
      </c>
      <c r="AF847">
        <v>0</v>
      </c>
      <c r="AG847">
        <v>581.86</v>
      </c>
      <c r="AH847">
        <v>0</v>
      </c>
      <c r="AI847" s="2">
        <v>2327.42</v>
      </c>
      <c r="AJ847">
        <v>696</v>
      </c>
      <c r="AK847">
        <v>696</v>
      </c>
      <c r="AL847" t="str">
        <f>"$"</f>
        <v>$</v>
      </c>
    </row>
    <row r="848" spans="1:38" x14ac:dyDescent="0.3">
      <c r="A848" t="str">
        <f>"SO20000532"</f>
        <v>SO20000532</v>
      </c>
      <c r="B848" t="str">
        <f>"E000321177"</f>
        <v>E000321177</v>
      </c>
      <c r="C848" t="str">
        <f>"בוצעה"</f>
        <v>בוצעה</v>
      </c>
      <c r="E848" s="3">
        <v>44155</v>
      </c>
      <c r="F848" s="3">
        <v>44593</v>
      </c>
      <c r="G848" t="str">
        <f>"700065"</f>
        <v>700065</v>
      </c>
      <c r="H848" t="str">
        <f>"אלתא מערכות בע""מ"</f>
        <v>אלתא מערכות בע"מ</v>
      </c>
      <c r="I848" t="str">
        <f>"ערן שלו"</f>
        <v>ערן שלו</v>
      </c>
      <c r="J848" t="str">
        <f>"OP-AR02119"</f>
        <v>OP-AR02119</v>
      </c>
      <c r="K848" s="1" t="str">
        <f>"1032F935-001/-   ETHERNET CABLE MFR-W935 - FILTE"</f>
        <v>1032F935-001/-   ETHERNET CABLE MFR-W935 - FILTE</v>
      </c>
      <c r="L848">
        <v>4</v>
      </c>
      <c r="M848" t="str">
        <f>"PR20000834"</f>
        <v>PR20000834</v>
      </c>
      <c r="N848" t="str">
        <f>"BEL"</f>
        <v>BEL</v>
      </c>
      <c r="O848">
        <v>174</v>
      </c>
      <c r="P848" t="str">
        <f>"$"</f>
        <v>$</v>
      </c>
      <c r="Q848" t="str">
        <f>"117"</f>
        <v>117</v>
      </c>
      <c r="R848" t="str">
        <f>"רתמות"</f>
        <v>רתמות</v>
      </c>
      <c r="S848" t="str">
        <f>"034"</f>
        <v>034</v>
      </c>
      <c r="T848" t="str">
        <f>"מוסקוביץ אולגה"</f>
        <v>מוסקוביץ אולגה</v>
      </c>
      <c r="U848">
        <v>0</v>
      </c>
      <c r="V848">
        <v>0</v>
      </c>
      <c r="W848">
        <v>174</v>
      </c>
      <c r="X848">
        <v>696</v>
      </c>
      <c r="Z848" t="str">
        <f>"Y"</f>
        <v>Y</v>
      </c>
      <c r="AA848">
        <v>0</v>
      </c>
      <c r="AC848">
        <v>0</v>
      </c>
      <c r="AE848">
        <v>0</v>
      </c>
      <c r="AF848">
        <v>0</v>
      </c>
      <c r="AG848">
        <v>581.86</v>
      </c>
      <c r="AH848">
        <v>0</v>
      </c>
      <c r="AI848" s="2">
        <v>2327.42</v>
      </c>
      <c r="AJ848">
        <v>696</v>
      </c>
      <c r="AK848">
        <v>696</v>
      </c>
      <c r="AL848" t="str">
        <f>"$"</f>
        <v>$</v>
      </c>
    </row>
    <row r="849" spans="1:38" x14ac:dyDescent="0.3">
      <c r="A849" t="str">
        <f>"SO20000532"</f>
        <v>SO20000532</v>
      </c>
      <c r="B849" t="str">
        <f>"E000321177"</f>
        <v>E000321177</v>
      </c>
      <c r="C849" t="str">
        <f>"בוצעה"</f>
        <v>בוצעה</v>
      </c>
      <c r="E849" s="3">
        <v>44155</v>
      </c>
      <c r="F849" s="3">
        <v>45047</v>
      </c>
      <c r="G849" t="str">
        <f>"700065"</f>
        <v>700065</v>
      </c>
      <c r="H849" t="str">
        <f>"אלתא מערכות בע""מ"</f>
        <v>אלתא מערכות בע"מ</v>
      </c>
      <c r="I849" t="str">
        <f>"ערן שלו"</f>
        <v>ערן שלו</v>
      </c>
      <c r="J849" t="str">
        <f>"OP-AR02119"</f>
        <v>OP-AR02119</v>
      </c>
      <c r="K849" s="1" t="str">
        <f>"1032F935-001/-   ETHERNET CABLE MFR-W935 - FILTE"</f>
        <v>1032F935-001/-   ETHERNET CABLE MFR-W935 - FILTE</v>
      </c>
      <c r="L849">
        <v>4</v>
      </c>
      <c r="M849" t="str">
        <f>"PR20000834"</f>
        <v>PR20000834</v>
      </c>
      <c r="N849" t="str">
        <f>"BEL"</f>
        <v>BEL</v>
      </c>
      <c r="O849">
        <v>174</v>
      </c>
      <c r="P849" t="str">
        <f>"$"</f>
        <v>$</v>
      </c>
      <c r="Q849" t="str">
        <f>"117"</f>
        <v>117</v>
      </c>
      <c r="R849" t="str">
        <f>"רתמות"</f>
        <v>רתמות</v>
      </c>
      <c r="S849" t="str">
        <f>"034"</f>
        <v>034</v>
      </c>
      <c r="T849" t="str">
        <f>"מוסקוביץ אולגה"</f>
        <v>מוסקוביץ אולגה</v>
      </c>
      <c r="U849">
        <v>0</v>
      </c>
      <c r="V849">
        <v>0</v>
      </c>
      <c r="W849">
        <v>174</v>
      </c>
      <c r="X849">
        <v>696</v>
      </c>
      <c r="Z849" t="str">
        <f>"Y"</f>
        <v>Y</v>
      </c>
      <c r="AA849">
        <v>0</v>
      </c>
      <c r="AC849">
        <v>0</v>
      </c>
      <c r="AE849">
        <v>0</v>
      </c>
      <c r="AF849">
        <v>0</v>
      </c>
      <c r="AG849">
        <v>581.86</v>
      </c>
      <c r="AH849">
        <v>0</v>
      </c>
      <c r="AI849" s="2">
        <v>2327.42</v>
      </c>
      <c r="AJ849">
        <v>696</v>
      </c>
      <c r="AK849">
        <v>696</v>
      </c>
      <c r="AL849" t="str">
        <f>"$"</f>
        <v>$</v>
      </c>
    </row>
    <row r="850" spans="1:38" x14ac:dyDescent="0.3">
      <c r="A850" t="str">
        <f>"SO20000532"</f>
        <v>SO20000532</v>
      </c>
      <c r="B850" t="str">
        <f>"E000321177"</f>
        <v>E000321177</v>
      </c>
      <c r="C850" t="str">
        <f>"בוצעה"</f>
        <v>בוצעה</v>
      </c>
      <c r="E850" s="3">
        <v>44155</v>
      </c>
      <c r="F850" s="3">
        <v>45047</v>
      </c>
      <c r="G850" t="str">
        <f>"700065"</f>
        <v>700065</v>
      </c>
      <c r="H850" t="str">
        <f>"אלתא מערכות בע""מ"</f>
        <v>אלתא מערכות בע"מ</v>
      </c>
      <c r="I850" t="str">
        <f>"ערן שלו"</f>
        <v>ערן שלו</v>
      </c>
      <c r="J850" t="str">
        <f>"OP-AR02119"</f>
        <v>OP-AR02119</v>
      </c>
      <c r="K850" s="1" t="str">
        <f>"1032F935-001/-   ETHERNET CABLE MFR-W935 - FILTE"</f>
        <v>1032F935-001/-   ETHERNET CABLE MFR-W935 - FILTE</v>
      </c>
      <c r="L850">
        <v>4</v>
      </c>
      <c r="M850" t="str">
        <f>"PR20000834"</f>
        <v>PR20000834</v>
      </c>
      <c r="N850" t="str">
        <f>"BEL"</f>
        <v>BEL</v>
      </c>
      <c r="O850">
        <v>174</v>
      </c>
      <c r="P850" t="str">
        <f>"$"</f>
        <v>$</v>
      </c>
      <c r="Q850" t="str">
        <f>"117"</f>
        <v>117</v>
      </c>
      <c r="R850" t="str">
        <f>"רתמות"</f>
        <v>רתמות</v>
      </c>
      <c r="S850" t="str">
        <f>"034"</f>
        <v>034</v>
      </c>
      <c r="T850" t="str">
        <f>"מוסקוביץ אולגה"</f>
        <v>מוסקוביץ אולגה</v>
      </c>
      <c r="U850">
        <v>0</v>
      </c>
      <c r="V850">
        <v>0</v>
      </c>
      <c r="W850">
        <v>174</v>
      </c>
      <c r="X850">
        <v>696</v>
      </c>
      <c r="Z850" t="str">
        <f>"Y"</f>
        <v>Y</v>
      </c>
      <c r="AA850">
        <v>0</v>
      </c>
      <c r="AC850">
        <v>0</v>
      </c>
      <c r="AE850">
        <v>0</v>
      </c>
      <c r="AF850">
        <v>0</v>
      </c>
      <c r="AG850">
        <v>581.86</v>
      </c>
      <c r="AH850">
        <v>0</v>
      </c>
      <c r="AI850" s="2">
        <v>2327.42</v>
      </c>
      <c r="AJ850">
        <v>696</v>
      </c>
      <c r="AK850">
        <v>696</v>
      </c>
      <c r="AL850" t="str">
        <f>"$"</f>
        <v>$</v>
      </c>
    </row>
    <row r="851" spans="1:38" x14ac:dyDescent="0.3">
      <c r="A851" t="str">
        <f>"SO20000532"</f>
        <v>SO20000532</v>
      </c>
      <c r="B851" t="str">
        <f>"E000321177"</f>
        <v>E000321177</v>
      </c>
      <c r="C851" t="str">
        <f>"בוצעה"</f>
        <v>בוצעה</v>
      </c>
      <c r="E851" s="3">
        <v>44155</v>
      </c>
      <c r="F851" s="3">
        <v>44242</v>
      </c>
      <c r="G851" t="str">
        <f>"700065"</f>
        <v>700065</v>
      </c>
      <c r="H851" t="str">
        <f>"אלתא מערכות בע""מ"</f>
        <v>אלתא מערכות בע"מ</v>
      </c>
      <c r="I851" t="str">
        <f>"ערן שלו"</f>
        <v>ערן שלו</v>
      </c>
      <c r="J851" t="str">
        <f>"OP-AR02120"</f>
        <v>OP-AR02120</v>
      </c>
      <c r="K851" s="1" t="str">
        <f>"1032F936-001/-   ETHERNET CABLE MFR-W936 - FILTE"</f>
        <v>1032F936-001/-   ETHERNET CABLE MFR-W936 - FILTE</v>
      </c>
      <c r="L851">
        <v>8</v>
      </c>
      <c r="M851" t="str">
        <f>"PR20000834"</f>
        <v>PR20000834</v>
      </c>
      <c r="N851" t="str">
        <f>"BEL"</f>
        <v>BEL</v>
      </c>
      <c r="O851">
        <v>176.77</v>
      </c>
      <c r="P851" t="str">
        <f>"$"</f>
        <v>$</v>
      </c>
      <c r="Q851" t="str">
        <f>"117"</f>
        <v>117</v>
      </c>
      <c r="R851" t="str">
        <f>"רתמות"</f>
        <v>רתמות</v>
      </c>
      <c r="S851" t="str">
        <f>"034"</f>
        <v>034</v>
      </c>
      <c r="T851" t="str">
        <f>"מוסקוביץ אולגה"</f>
        <v>מוסקוביץ אולגה</v>
      </c>
      <c r="U851">
        <v>0</v>
      </c>
      <c r="V851">
        <v>0</v>
      </c>
      <c r="W851">
        <v>176.77</v>
      </c>
      <c r="X851" s="2">
        <v>1414.16</v>
      </c>
      <c r="Z851" t="str">
        <f>"Y"</f>
        <v>Y</v>
      </c>
      <c r="AA851">
        <v>0</v>
      </c>
      <c r="AC851">
        <v>0</v>
      </c>
      <c r="AE851">
        <v>0</v>
      </c>
      <c r="AF851">
        <v>0</v>
      </c>
      <c r="AG851">
        <v>591.12</v>
      </c>
      <c r="AH851">
        <v>0</v>
      </c>
      <c r="AI851" s="2">
        <v>4728.95</v>
      </c>
      <c r="AJ851" s="2">
        <v>1414.16</v>
      </c>
      <c r="AK851" s="2">
        <v>1414.16</v>
      </c>
      <c r="AL851" t="str">
        <f>"$"</f>
        <v>$</v>
      </c>
    </row>
    <row r="852" spans="1:38" x14ac:dyDescent="0.3">
      <c r="A852" t="str">
        <f>"SO20000532"</f>
        <v>SO20000532</v>
      </c>
      <c r="B852" t="str">
        <f>"E000321177"</f>
        <v>E000321177</v>
      </c>
      <c r="C852" t="str">
        <f>"בוצעה"</f>
        <v>בוצעה</v>
      </c>
      <c r="E852" s="3">
        <v>44155</v>
      </c>
      <c r="F852" s="3">
        <v>44378</v>
      </c>
      <c r="G852" t="str">
        <f>"700065"</f>
        <v>700065</v>
      </c>
      <c r="H852" t="str">
        <f>"אלתא מערכות בע""מ"</f>
        <v>אלתא מערכות בע"מ</v>
      </c>
      <c r="I852" t="str">
        <f>"ערן שלו"</f>
        <v>ערן שלו</v>
      </c>
      <c r="J852" t="str">
        <f>"OP-AR02120"</f>
        <v>OP-AR02120</v>
      </c>
      <c r="K852" s="1" t="str">
        <f>"1032F936-001/-   ETHERNET CABLE MFR-W936 - FILTE"</f>
        <v>1032F936-001/-   ETHERNET CABLE MFR-W936 - FILTE</v>
      </c>
      <c r="L852">
        <v>4</v>
      </c>
      <c r="M852" t="str">
        <f>"PR20000834"</f>
        <v>PR20000834</v>
      </c>
      <c r="N852" t="str">
        <f>"BEL"</f>
        <v>BEL</v>
      </c>
      <c r="O852">
        <v>176.77</v>
      </c>
      <c r="P852" t="str">
        <f>"$"</f>
        <v>$</v>
      </c>
      <c r="Q852" t="str">
        <f>"117"</f>
        <v>117</v>
      </c>
      <c r="R852" t="str">
        <f>"רתמות"</f>
        <v>רתמות</v>
      </c>
      <c r="S852" t="str">
        <f>"034"</f>
        <v>034</v>
      </c>
      <c r="T852" t="str">
        <f>"מוסקוביץ אולגה"</f>
        <v>מוסקוביץ אולגה</v>
      </c>
      <c r="U852">
        <v>0</v>
      </c>
      <c r="V852">
        <v>0</v>
      </c>
      <c r="W852">
        <v>176.77</v>
      </c>
      <c r="X852">
        <v>707.08</v>
      </c>
      <c r="Z852" t="str">
        <f>"Y"</f>
        <v>Y</v>
      </c>
      <c r="AA852">
        <v>0</v>
      </c>
      <c r="AC852">
        <v>0</v>
      </c>
      <c r="AE852">
        <v>0</v>
      </c>
      <c r="AF852">
        <v>0</v>
      </c>
      <c r="AG852">
        <v>591.12</v>
      </c>
      <c r="AH852">
        <v>0</v>
      </c>
      <c r="AI852" s="2">
        <v>2364.48</v>
      </c>
      <c r="AJ852">
        <v>707.08</v>
      </c>
      <c r="AK852">
        <v>707.08</v>
      </c>
      <c r="AL852" t="str">
        <f>"$"</f>
        <v>$</v>
      </c>
    </row>
    <row r="853" spans="1:38" x14ac:dyDescent="0.3">
      <c r="A853" t="str">
        <f>"SO20000532"</f>
        <v>SO20000532</v>
      </c>
      <c r="B853" t="str">
        <f>"E000321177"</f>
        <v>E000321177</v>
      </c>
      <c r="C853" t="str">
        <f>"בוצעה"</f>
        <v>בוצעה</v>
      </c>
      <c r="E853" s="3">
        <v>44155</v>
      </c>
      <c r="F853" s="3">
        <v>44378</v>
      </c>
      <c r="G853" t="str">
        <f>"700065"</f>
        <v>700065</v>
      </c>
      <c r="H853" t="str">
        <f>"אלתא מערכות בע""מ"</f>
        <v>אלתא מערכות בע"מ</v>
      </c>
      <c r="I853" t="str">
        <f>"ערן שלו"</f>
        <v>ערן שלו</v>
      </c>
      <c r="J853" t="str">
        <f>"OP-AR02120"</f>
        <v>OP-AR02120</v>
      </c>
      <c r="K853" s="1" t="str">
        <f>"1032F936-001/-   ETHERNET CABLE MFR-W936 - FILTE"</f>
        <v>1032F936-001/-   ETHERNET CABLE MFR-W936 - FILTE</v>
      </c>
      <c r="L853">
        <v>4</v>
      </c>
      <c r="M853" t="str">
        <f>"PR20000834"</f>
        <v>PR20000834</v>
      </c>
      <c r="N853" t="str">
        <f>"BEL"</f>
        <v>BEL</v>
      </c>
      <c r="O853">
        <v>176.77</v>
      </c>
      <c r="P853" t="str">
        <f>"$"</f>
        <v>$</v>
      </c>
      <c r="Q853" t="str">
        <f>"117"</f>
        <v>117</v>
      </c>
      <c r="R853" t="str">
        <f>"רתמות"</f>
        <v>רתמות</v>
      </c>
      <c r="S853" t="str">
        <f>"034"</f>
        <v>034</v>
      </c>
      <c r="T853" t="str">
        <f>"מוסקוביץ אולגה"</f>
        <v>מוסקוביץ אולגה</v>
      </c>
      <c r="U853">
        <v>0</v>
      </c>
      <c r="V853">
        <v>0</v>
      </c>
      <c r="W853">
        <v>176.77</v>
      </c>
      <c r="X853">
        <v>707.08</v>
      </c>
      <c r="Z853" t="str">
        <f>"Y"</f>
        <v>Y</v>
      </c>
      <c r="AA853">
        <v>0</v>
      </c>
      <c r="AC853">
        <v>0</v>
      </c>
      <c r="AE853">
        <v>0</v>
      </c>
      <c r="AF853">
        <v>0</v>
      </c>
      <c r="AG853">
        <v>591.12</v>
      </c>
      <c r="AH853">
        <v>0</v>
      </c>
      <c r="AI853" s="2">
        <v>2364.48</v>
      </c>
      <c r="AJ853">
        <v>707.08</v>
      </c>
      <c r="AK853">
        <v>707.08</v>
      </c>
      <c r="AL853" t="str">
        <f>"$"</f>
        <v>$</v>
      </c>
    </row>
    <row r="854" spans="1:38" x14ac:dyDescent="0.3">
      <c r="A854" t="str">
        <f>"SO20000532"</f>
        <v>SO20000532</v>
      </c>
      <c r="B854" t="str">
        <f>"E000321177"</f>
        <v>E000321177</v>
      </c>
      <c r="C854" t="str">
        <f>"בוצעה"</f>
        <v>בוצעה</v>
      </c>
      <c r="E854" s="3">
        <v>44155</v>
      </c>
      <c r="F854" s="3">
        <v>44593</v>
      </c>
      <c r="G854" t="str">
        <f>"700065"</f>
        <v>700065</v>
      </c>
      <c r="H854" t="str">
        <f>"אלתא מערכות בע""מ"</f>
        <v>אלתא מערכות בע"מ</v>
      </c>
      <c r="I854" t="str">
        <f>"ערן שלו"</f>
        <v>ערן שלו</v>
      </c>
      <c r="J854" t="str">
        <f>"OP-AR02120"</f>
        <v>OP-AR02120</v>
      </c>
      <c r="K854" s="1" t="str">
        <f>"1032F936-001/-   ETHERNET CABLE MFR-W936 - FILTE"</f>
        <v>1032F936-001/-   ETHERNET CABLE MFR-W936 - FILTE</v>
      </c>
      <c r="L854">
        <v>4</v>
      </c>
      <c r="M854" t="str">
        <f>"PR20000834"</f>
        <v>PR20000834</v>
      </c>
      <c r="N854" t="str">
        <f>"BEL"</f>
        <v>BEL</v>
      </c>
      <c r="O854">
        <v>176.77</v>
      </c>
      <c r="P854" t="str">
        <f>"$"</f>
        <v>$</v>
      </c>
      <c r="Q854" t="str">
        <f>"117"</f>
        <v>117</v>
      </c>
      <c r="R854" t="str">
        <f>"רתמות"</f>
        <v>רתמות</v>
      </c>
      <c r="S854" t="str">
        <f>"034"</f>
        <v>034</v>
      </c>
      <c r="T854" t="str">
        <f>"מוסקוביץ אולגה"</f>
        <v>מוסקוביץ אולגה</v>
      </c>
      <c r="U854">
        <v>0</v>
      </c>
      <c r="V854">
        <v>0</v>
      </c>
      <c r="W854">
        <v>176.77</v>
      </c>
      <c r="X854">
        <v>707.08</v>
      </c>
      <c r="Z854" t="str">
        <f>"Y"</f>
        <v>Y</v>
      </c>
      <c r="AA854">
        <v>0</v>
      </c>
      <c r="AC854">
        <v>0</v>
      </c>
      <c r="AE854">
        <v>0</v>
      </c>
      <c r="AF854">
        <v>0</v>
      </c>
      <c r="AG854">
        <v>591.12</v>
      </c>
      <c r="AH854">
        <v>0</v>
      </c>
      <c r="AI854" s="2">
        <v>2364.48</v>
      </c>
      <c r="AJ854">
        <v>707.08</v>
      </c>
      <c r="AK854">
        <v>707.08</v>
      </c>
      <c r="AL854" t="str">
        <f>"$"</f>
        <v>$</v>
      </c>
    </row>
    <row r="855" spans="1:38" x14ac:dyDescent="0.3">
      <c r="A855" t="str">
        <f>"SO20000532"</f>
        <v>SO20000532</v>
      </c>
      <c r="B855" t="str">
        <f>"E000321177"</f>
        <v>E000321177</v>
      </c>
      <c r="C855" t="str">
        <f>"בוצעה"</f>
        <v>בוצעה</v>
      </c>
      <c r="E855" s="3">
        <v>44155</v>
      </c>
      <c r="F855" s="3">
        <v>45047</v>
      </c>
      <c r="G855" t="str">
        <f>"700065"</f>
        <v>700065</v>
      </c>
      <c r="H855" t="str">
        <f>"אלתא מערכות בע""מ"</f>
        <v>אלתא מערכות בע"מ</v>
      </c>
      <c r="I855" t="str">
        <f>"ערן שלו"</f>
        <v>ערן שלו</v>
      </c>
      <c r="J855" t="str">
        <f>"OP-AR02120"</f>
        <v>OP-AR02120</v>
      </c>
      <c r="K855" s="1" t="str">
        <f>"1032F936-001/-   ETHERNET CABLE MFR-W936 - FILTE"</f>
        <v>1032F936-001/-   ETHERNET CABLE MFR-W936 - FILTE</v>
      </c>
      <c r="L855">
        <v>4</v>
      </c>
      <c r="M855" t="str">
        <f>"PR20000834"</f>
        <v>PR20000834</v>
      </c>
      <c r="N855" t="str">
        <f>"BEL"</f>
        <v>BEL</v>
      </c>
      <c r="O855">
        <v>176.77</v>
      </c>
      <c r="P855" t="str">
        <f>"$"</f>
        <v>$</v>
      </c>
      <c r="Q855" t="str">
        <f>"117"</f>
        <v>117</v>
      </c>
      <c r="R855" t="str">
        <f>"רתמות"</f>
        <v>רתמות</v>
      </c>
      <c r="S855" t="str">
        <f>"034"</f>
        <v>034</v>
      </c>
      <c r="T855" t="str">
        <f>"מוסקוביץ אולגה"</f>
        <v>מוסקוביץ אולגה</v>
      </c>
      <c r="U855">
        <v>0</v>
      </c>
      <c r="V855">
        <v>0</v>
      </c>
      <c r="W855">
        <v>176.77</v>
      </c>
      <c r="X855">
        <v>707.08</v>
      </c>
      <c r="Z855" t="str">
        <f>"Y"</f>
        <v>Y</v>
      </c>
      <c r="AA855">
        <v>0</v>
      </c>
      <c r="AC855">
        <v>0</v>
      </c>
      <c r="AE855">
        <v>0</v>
      </c>
      <c r="AF855">
        <v>0</v>
      </c>
      <c r="AG855">
        <v>591.12</v>
      </c>
      <c r="AH855">
        <v>0</v>
      </c>
      <c r="AI855" s="2">
        <v>2364.48</v>
      </c>
      <c r="AJ855">
        <v>707.08</v>
      </c>
      <c r="AK855">
        <v>707.08</v>
      </c>
      <c r="AL855" t="str">
        <f>"$"</f>
        <v>$</v>
      </c>
    </row>
    <row r="856" spans="1:38" x14ac:dyDescent="0.3">
      <c r="A856" t="str">
        <f>"SO20000532"</f>
        <v>SO20000532</v>
      </c>
      <c r="B856" t="str">
        <f>"E000321177"</f>
        <v>E000321177</v>
      </c>
      <c r="C856" t="str">
        <f>"בוצעה"</f>
        <v>בוצעה</v>
      </c>
      <c r="E856" s="3">
        <v>44155</v>
      </c>
      <c r="F856" s="3">
        <v>45047</v>
      </c>
      <c r="G856" t="str">
        <f>"700065"</f>
        <v>700065</v>
      </c>
      <c r="H856" t="str">
        <f>"אלתא מערכות בע""מ"</f>
        <v>אלתא מערכות בע"מ</v>
      </c>
      <c r="I856" t="str">
        <f>"ערן שלו"</f>
        <v>ערן שלו</v>
      </c>
      <c r="J856" t="str">
        <f>"OP-AR02120"</f>
        <v>OP-AR02120</v>
      </c>
      <c r="K856" s="1" t="str">
        <f>"1032F936-001/-   ETHERNET CABLE MFR-W936 - FILTE"</f>
        <v>1032F936-001/-   ETHERNET CABLE MFR-W936 - FILTE</v>
      </c>
      <c r="L856">
        <v>4</v>
      </c>
      <c r="M856" t="str">
        <f>"PR20000834"</f>
        <v>PR20000834</v>
      </c>
      <c r="N856" t="str">
        <f>"BEL"</f>
        <v>BEL</v>
      </c>
      <c r="O856">
        <v>176.77</v>
      </c>
      <c r="P856" t="str">
        <f>"$"</f>
        <v>$</v>
      </c>
      <c r="Q856" t="str">
        <f>"117"</f>
        <v>117</v>
      </c>
      <c r="R856" t="str">
        <f>"רתמות"</f>
        <v>רתמות</v>
      </c>
      <c r="S856" t="str">
        <f>"034"</f>
        <v>034</v>
      </c>
      <c r="T856" t="str">
        <f>"מוסקוביץ אולגה"</f>
        <v>מוסקוביץ אולגה</v>
      </c>
      <c r="U856">
        <v>0</v>
      </c>
      <c r="V856">
        <v>0</v>
      </c>
      <c r="W856">
        <v>176.77</v>
      </c>
      <c r="X856">
        <v>707.08</v>
      </c>
      <c r="Z856" t="str">
        <f>"Y"</f>
        <v>Y</v>
      </c>
      <c r="AA856">
        <v>0</v>
      </c>
      <c r="AC856">
        <v>0</v>
      </c>
      <c r="AE856">
        <v>0</v>
      </c>
      <c r="AF856">
        <v>0</v>
      </c>
      <c r="AG856">
        <v>591.12</v>
      </c>
      <c r="AH856">
        <v>0</v>
      </c>
      <c r="AI856" s="2">
        <v>2364.48</v>
      </c>
      <c r="AJ856">
        <v>707.08</v>
      </c>
      <c r="AK856">
        <v>707.08</v>
      </c>
      <c r="AL856" t="str">
        <f>"$"</f>
        <v>$</v>
      </c>
    </row>
    <row r="857" spans="1:38" x14ac:dyDescent="0.3">
      <c r="A857" t="str">
        <f>"SO20000532"</f>
        <v>SO20000532</v>
      </c>
      <c r="B857" t="str">
        <f>"E000321177"</f>
        <v>E000321177</v>
      </c>
      <c r="C857" t="str">
        <f>"בוצעה"</f>
        <v>בוצעה</v>
      </c>
      <c r="E857" s="3">
        <v>44155</v>
      </c>
      <c r="F857" s="3">
        <v>44242</v>
      </c>
      <c r="G857" t="str">
        <f>"700065"</f>
        <v>700065</v>
      </c>
      <c r="H857" t="str">
        <f>"אלתא מערכות בע""מ"</f>
        <v>אלתא מערכות בע"מ</v>
      </c>
      <c r="I857" t="str">
        <f>"ערן שלו"</f>
        <v>ערן שלו</v>
      </c>
      <c r="J857" t="str">
        <f>"OP-AR02121"</f>
        <v>OP-AR02121</v>
      </c>
      <c r="K857" s="1" t="str">
        <f>"1032F937-001/-   ETHERNET CABLE MFR-W937 - FILTE"</f>
        <v>1032F937-001/-   ETHERNET CABLE MFR-W937 - FILTE</v>
      </c>
      <c r="L857">
        <v>8</v>
      </c>
      <c r="M857" t="str">
        <f>"PR20000834"</f>
        <v>PR20000834</v>
      </c>
      <c r="N857" t="str">
        <f>"BEL"</f>
        <v>BEL</v>
      </c>
      <c r="O857">
        <v>174</v>
      </c>
      <c r="P857" t="str">
        <f>"$"</f>
        <v>$</v>
      </c>
      <c r="Q857" t="str">
        <f>"117"</f>
        <v>117</v>
      </c>
      <c r="R857" t="str">
        <f>"רתמות"</f>
        <v>רתמות</v>
      </c>
      <c r="S857" t="str">
        <f>"034"</f>
        <v>034</v>
      </c>
      <c r="T857" t="str">
        <f>"מוסקוביץ אולגה"</f>
        <v>מוסקוביץ אולגה</v>
      </c>
      <c r="U857">
        <v>0</v>
      </c>
      <c r="V857">
        <v>0</v>
      </c>
      <c r="W857">
        <v>174</v>
      </c>
      <c r="X857" s="2">
        <v>1392</v>
      </c>
      <c r="Z857" t="str">
        <f>"Y"</f>
        <v>Y</v>
      </c>
      <c r="AA857">
        <v>0</v>
      </c>
      <c r="AC857">
        <v>0</v>
      </c>
      <c r="AE857">
        <v>0</v>
      </c>
      <c r="AF857">
        <v>0</v>
      </c>
      <c r="AG857">
        <v>581.86</v>
      </c>
      <c r="AH857">
        <v>0</v>
      </c>
      <c r="AI857" s="2">
        <v>4654.8500000000004</v>
      </c>
      <c r="AJ857" s="2">
        <v>1392</v>
      </c>
      <c r="AK857" s="2">
        <v>1392</v>
      </c>
      <c r="AL857" t="str">
        <f>"$"</f>
        <v>$</v>
      </c>
    </row>
    <row r="858" spans="1:38" x14ac:dyDescent="0.3">
      <c r="A858" t="str">
        <f>"SO20000532"</f>
        <v>SO20000532</v>
      </c>
      <c r="B858" t="str">
        <f>"E000321177"</f>
        <v>E000321177</v>
      </c>
      <c r="C858" t="str">
        <f>"בוצעה"</f>
        <v>בוצעה</v>
      </c>
      <c r="E858" s="3">
        <v>44155</v>
      </c>
      <c r="F858" s="3">
        <v>44378</v>
      </c>
      <c r="G858" t="str">
        <f>"700065"</f>
        <v>700065</v>
      </c>
      <c r="H858" t="str">
        <f>"אלתא מערכות בע""מ"</f>
        <v>אלתא מערכות בע"מ</v>
      </c>
      <c r="I858" t="str">
        <f>"ערן שלו"</f>
        <v>ערן שלו</v>
      </c>
      <c r="J858" t="str">
        <f>"OP-AR02121"</f>
        <v>OP-AR02121</v>
      </c>
      <c r="K858" s="1" t="str">
        <f>"1032F937-001/-   ETHERNET CABLE MFR-W937 - FILTE"</f>
        <v>1032F937-001/-   ETHERNET CABLE MFR-W937 - FILTE</v>
      </c>
      <c r="L858">
        <v>4</v>
      </c>
      <c r="M858" t="str">
        <f>"PR20000834"</f>
        <v>PR20000834</v>
      </c>
      <c r="N858" t="str">
        <f>"BEL"</f>
        <v>BEL</v>
      </c>
      <c r="O858">
        <v>174</v>
      </c>
      <c r="P858" t="str">
        <f>"$"</f>
        <v>$</v>
      </c>
      <c r="Q858" t="str">
        <f>"117"</f>
        <v>117</v>
      </c>
      <c r="R858" t="str">
        <f>"רתמות"</f>
        <v>רתמות</v>
      </c>
      <c r="S858" t="str">
        <f>"034"</f>
        <v>034</v>
      </c>
      <c r="T858" t="str">
        <f>"מוסקוביץ אולגה"</f>
        <v>מוסקוביץ אולגה</v>
      </c>
      <c r="U858">
        <v>0</v>
      </c>
      <c r="V858">
        <v>0</v>
      </c>
      <c r="W858">
        <v>174</v>
      </c>
      <c r="X858">
        <v>696</v>
      </c>
      <c r="Z858" t="str">
        <f>"Y"</f>
        <v>Y</v>
      </c>
      <c r="AA858">
        <v>0</v>
      </c>
      <c r="AC858">
        <v>0</v>
      </c>
      <c r="AE858">
        <v>0</v>
      </c>
      <c r="AF858">
        <v>0</v>
      </c>
      <c r="AG858">
        <v>581.86</v>
      </c>
      <c r="AH858">
        <v>0</v>
      </c>
      <c r="AI858" s="2">
        <v>2327.42</v>
      </c>
      <c r="AJ858">
        <v>696</v>
      </c>
      <c r="AK858">
        <v>696</v>
      </c>
      <c r="AL858" t="str">
        <f>"$"</f>
        <v>$</v>
      </c>
    </row>
    <row r="859" spans="1:38" x14ac:dyDescent="0.3">
      <c r="A859" t="str">
        <f>"SO20000532"</f>
        <v>SO20000532</v>
      </c>
      <c r="B859" t="str">
        <f>"E000321177"</f>
        <v>E000321177</v>
      </c>
      <c r="C859" t="str">
        <f>"בוצעה"</f>
        <v>בוצעה</v>
      </c>
      <c r="E859" s="3">
        <v>44155</v>
      </c>
      <c r="F859" s="3">
        <v>44378</v>
      </c>
      <c r="G859" t="str">
        <f>"700065"</f>
        <v>700065</v>
      </c>
      <c r="H859" t="str">
        <f>"אלתא מערכות בע""מ"</f>
        <v>אלתא מערכות בע"מ</v>
      </c>
      <c r="I859" t="str">
        <f>"ערן שלו"</f>
        <v>ערן שלו</v>
      </c>
      <c r="J859" t="str">
        <f>"OP-AR02121"</f>
        <v>OP-AR02121</v>
      </c>
      <c r="K859" s="1" t="str">
        <f>"1032F937-001/-   ETHERNET CABLE MFR-W937 - FILTE"</f>
        <v>1032F937-001/-   ETHERNET CABLE MFR-W937 - FILTE</v>
      </c>
      <c r="L859">
        <v>4</v>
      </c>
      <c r="M859" t="str">
        <f>"PR20000834"</f>
        <v>PR20000834</v>
      </c>
      <c r="N859" t="str">
        <f>"BEL"</f>
        <v>BEL</v>
      </c>
      <c r="O859">
        <v>174</v>
      </c>
      <c r="P859" t="str">
        <f>"$"</f>
        <v>$</v>
      </c>
      <c r="Q859" t="str">
        <f>"117"</f>
        <v>117</v>
      </c>
      <c r="R859" t="str">
        <f>"רתמות"</f>
        <v>רתמות</v>
      </c>
      <c r="S859" t="str">
        <f>"034"</f>
        <v>034</v>
      </c>
      <c r="T859" t="str">
        <f>"מוסקוביץ אולגה"</f>
        <v>מוסקוביץ אולגה</v>
      </c>
      <c r="U859">
        <v>0</v>
      </c>
      <c r="V859">
        <v>0</v>
      </c>
      <c r="W859">
        <v>174</v>
      </c>
      <c r="X859">
        <v>696</v>
      </c>
      <c r="Z859" t="str">
        <f>"Y"</f>
        <v>Y</v>
      </c>
      <c r="AA859">
        <v>0</v>
      </c>
      <c r="AC859">
        <v>0</v>
      </c>
      <c r="AE859">
        <v>0</v>
      </c>
      <c r="AF859">
        <v>0</v>
      </c>
      <c r="AG859">
        <v>581.86</v>
      </c>
      <c r="AH859">
        <v>0</v>
      </c>
      <c r="AI859" s="2">
        <v>2327.42</v>
      </c>
      <c r="AJ859">
        <v>696</v>
      </c>
      <c r="AK859">
        <v>696</v>
      </c>
      <c r="AL859" t="str">
        <f>"$"</f>
        <v>$</v>
      </c>
    </row>
    <row r="860" spans="1:38" x14ac:dyDescent="0.3">
      <c r="A860" t="str">
        <f>"SO20000532"</f>
        <v>SO20000532</v>
      </c>
      <c r="B860" t="str">
        <f>"E000321177"</f>
        <v>E000321177</v>
      </c>
      <c r="C860" t="str">
        <f>"בוצעה"</f>
        <v>בוצעה</v>
      </c>
      <c r="E860" s="3">
        <v>44155</v>
      </c>
      <c r="F860" s="3">
        <v>44593</v>
      </c>
      <c r="G860" t="str">
        <f>"700065"</f>
        <v>700065</v>
      </c>
      <c r="H860" t="str">
        <f>"אלתא מערכות בע""מ"</f>
        <v>אלתא מערכות בע"מ</v>
      </c>
      <c r="I860" t="str">
        <f>"ערן שלו"</f>
        <v>ערן שלו</v>
      </c>
      <c r="J860" t="str">
        <f>"OP-AR02121"</f>
        <v>OP-AR02121</v>
      </c>
      <c r="K860" s="1" t="str">
        <f>"1032F937-001/-   ETHERNET CABLE MFR-W937 - FILTE"</f>
        <v>1032F937-001/-   ETHERNET CABLE MFR-W937 - FILTE</v>
      </c>
      <c r="L860">
        <v>4</v>
      </c>
      <c r="M860" t="str">
        <f>"PR20000834"</f>
        <v>PR20000834</v>
      </c>
      <c r="N860" t="str">
        <f>"BEL"</f>
        <v>BEL</v>
      </c>
      <c r="O860">
        <v>174</v>
      </c>
      <c r="P860" t="str">
        <f>"$"</f>
        <v>$</v>
      </c>
      <c r="Q860" t="str">
        <f>"117"</f>
        <v>117</v>
      </c>
      <c r="R860" t="str">
        <f>"רתמות"</f>
        <v>רתמות</v>
      </c>
      <c r="S860" t="str">
        <f>"034"</f>
        <v>034</v>
      </c>
      <c r="T860" t="str">
        <f>"מוסקוביץ אולגה"</f>
        <v>מוסקוביץ אולגה</v>
      </c>
      <c r="U860">
        <v>0</v>
      </c>
      <c r="V860">
        <v>0</v>
      </c>
      <c r="W860">
        <v>174</v>
      </c>
      <c r="X860">
        <v>696</v>
      </c>
      <c r="Z860" t="str">
        <f>"Y"</f>
        <v>Y</v>
      </c>
      <c r="AA860">
        <v>0</v>
      </c>
      <c r="AC860">
        <v>0</v>
      </c>
      <c r="AE860">
        <v>0</v>
      </c>
      <c r="AF860">
        <v>0</v>
      </c>
      <c r="AG860">
        <v>581.86</v>
      </c>
      <c r="AH860">
        <v>0</v>
      </c>
      <c r="AI860" s="2">
        <v>2327.42</v>
      </c>
      <c r="AJ860">
        <v>696</v>
      </c>
      <c r="AK860">
        <v>696</v>
      </c>
      <c r="AL860" t="str">
        <f>"$"</f>
        <v>$</v>
      </c>
    </row>
    <row r="861" spans="1:38" x14ac:dyDescent="0.3">
      <c r="A861" t="str">
        <f>"SO20000532"</f>
        <v>SO20000532</v>
      </c>
      <c r="B861" t="str">
        <f>"E000321177"</f>
        <v>E000321177</v>
      </c>
      <c r="C861" t="str">
        <f>"בוצעה"</f>
        <v>בוצעה</v>
      </c>
      <c r="E861" s="3">
        <v>44155</v>
      </c>
      <c r="F861" s="3">
        <v>45047</v>
      </c>
      <c r="G861" t="str">
        <f>"700065"</f>
        <v>700065</v>
      </c>
      <c r="H861" t="str">
        <f>"אלתא מערכות בע""מ"</f>
        <v>אלתא מערכות בע"מ</v>
      </c>
      <c r="I861" t="str">
        <f>"ערן שלו"</f>
        <v>ערן שלו</v>
      </c>
      <c r="J861" t="str">
        <f>"OP-AR02121"</f>
        <v>OP-AR02121</v>
      </c>
      <c r="K861" s="1" t="str">
        <f>"1032F937-001/-   ETHERNET CABLE MFR-W937 - FILTE"</f>
        <v>1032F937-001/-   ETHERNET CABLE MFR-W937 - FILTE</v>
      </c>
      <c r="L861">
        <v>4</v>
      </c>
      <c r="M861" t="str">
        <f>"PR20000834"</f>
        <v>PR20000834</v>
      </c>
      <c r="N861" t="str">
        <f>"BEL"</f>
        <v>BEL</v>
      </c>
      <c r="O861">
        <v>174</v>
      </c>
      <c r="P861" t="str">
        <f>"$"</f>
        <v>$</v>
      </c>
      <c r="Q861" t="str">
        <f>"117"</f>
        <v>117</v>
      </c>
      <c r="R861" t="str">
        <f>"רתמות"</f>
        <v>רתמות</v>
      </c>
      <c r="S861" t="str">
        <f>"034"</f>
        <v>034</v>
      </c>
      <c r="T861" t="str">
        <f>"מוסקוביץ אולגה"</f>
        <v>מוסקוביץ אולגה</v>
      </c>
      <c r="U861">
        <v>0</v>
      </c>
      <c r="V861">
        <v>0</v>
      </c>
      <c r="W861">
        <v>174</v>
      </c>
      <c r="X861">
        <v>696</v>
      </c>
      <c r="Z861" t="str">
        <f>"Y"</f>
        <v>Y</v>
      </c>
      <c r="AA861">
        <v>0</v>
      </c>
      <c r="AC861">
        <v>0</v>
      </c>
      <c r="AE861">
        <v>0</v>
      </c>
      <c r="AF861">
        <v>0</v>
      </c>
      <c r="AG861">
        <v>581.86</v>
      </c>
      <c r="AH861">
        <v>0</v>
      </c>
      <c r="AI861" s="2">
        <v>2327.42</v>
      </c>
      <c r="AJ861">
        <v>696</v>
      </c>
      <c r="AK861">
        <v>696</v>
      </c>
      <c r="AL861" t="str">
        <f>"$"</f>
        <v>$</v>
      </c>
    </row>
    <row r="862" spans="1:38" x14ac:dyDescent="0.3">
      <c r="A862" t="str">
        <f>"SO20000532"</f>
        <v>SO20000532</v>
      </c>
      <c r="B862" t="str">
        <f>"E000321177"</f>
        <v>E000321177</v>
      </c>
      <c r="C862" t="str">
        <f>"בוצעה"</f>
        <v>בוצעה</v>
      </c>
      <c r="E862" s="3">
        <v>44155</v>
      </c>
      <c r="F862" s="3">
        <v>45047</v>
      </c>
      <c r="G862" t="str">
        <f>"700065"</f>
        <v>700065</v>
      </c>
      <c r="H862" t="str">
        <f>"אלתא מערכות בע""מ"</f>
        <v>אלתא מערכות בע"מ</v>
      </c>
      <c r="I862" t="str">
        <f>"ערן שלו"</f>
        <v>ערן שלו</v>
      </c>
      <c r="J862" t="str">
        <f>"OP-AR02121"</f>
        <v>OP-AR02121</v>
      </c>
      <c r="K862" s="1" t="str">
        <f>"1032F937-001/-   ETHERNET CABLE MFR-W937 - FILTE"</f>
        <v>1032F937-001/-   ETHERNET CABLE MFR-W937 - FILTE</v>
      </c>
      <c r="L862">
        <v>4</v>
      </c>
      <c r="M862" t="str">
        <f>"PR20000834"</f>
        <v>PR20000834</v>
      </c>
      <c r="N862" t="str">
        <f>"BEL"</f>
        <v>BEL</v>
      </c>
      <c r="O862">
        <v>174</v>
      </c>
      <c r="P862" t="str">
        <f>"$"</f>
        <v>$</v>
      </c>
      <c r="Q862" t="str">
        <f>"117"</f>
        <v>117</v>
      </c>
      <c r="R862" t="str">
        <f>"רתמות"</f>
        <v>רתמות</v>
      </c>
      <c r="S862" t="str">
        <f>"034"</f>
        <v>034</v>
      </c>
      <c r="T862" t="str">
        <f>"מוסקוביץ אולגה"</f>
        <v>מוסקוביץ אולגה</v>
      </c>
      <c r="U862">
        <v>0</v>
      </c>
      <c r="V862">
        <v>0</v>
      </c>
      <c r="W862">
        <v>174</v>
      </c>
      <c r="X862">
        <v>696</v>
      </c>
      <c r="Z862" t="str">
        <f>"Y"</f>
        <v>Y</v>
      </c>
      <c r="AA862">
        <v>0</v>
      </c>
      <c r="AC862">
        <v>0</v>
      </c>
      <c r="AE862">
        <v>0</v>
      </c>
      <c r="AF862">
        <v>0</v>
      </c>
      <c r="AG862">
        <v>581.86</v>
      </c>
      <c r="AH862">
        <v>0</v>
      </c>
      <c r="AI862" s="2">
        <v>2327.42</v>
      </c>
      <c r="AJ862">
        <v>696</v>
      </c>
      <c r="AK862">
        <v>696</v>
      </c>
      <c r="AL862" t="str">
        <f>"$"</f>
        <v>$</v>
      </c>
    </row>
    <row r="863" spans="1:38" x14ac:dyDescent="0.3">
      <c r="A863" t="str">
        <f>"SO20000532"</f>
        <v>SO20000532</v>
      </c>
      <c r="B863" t="str">
        <f>"E000321177"</f>
        <v>E000321177</v>
      </c>
      <c r="C863" t="str">
        <f>"בוצעה"</f>
        <v>בוצעה</v>
      </c>
      <c r="E863" s="3">
        <v>44155</v>
      </c>
      <c r="F863" s="3">
        <v>44242</v>
      </c>
      <c r="G863" t="str">
        <f>"700065"</f>
        <v>700065</v>
      </c>
      <c r="H863" t="str">
        <f>"אלתא מערכות בע""מ"</f>
        <v>אלתא מערכות בע"מ</v>
      </c>
      <c r="I863" t="str">
        <f>"ערן שלו"</f>
        <v>ערן שלו</v>
      </c>
      <c r="J863" t="str">
        <f>"OP-AR02122"</f>
        <v>OP-AR02122</v>
      </c>
      <c r="K863" s="1" t="str">
        <f>"1032F938-001/-   ETHERNET CABLE MFR-W938 - FILTE"</f>
        <v>1032F938-001/-   ETHERNET CABLE MFR-W938 - FILTE</v>
      </c>
      <c r="L863">
        <v>8</v>
      </c>
      <c r="M863" t="str">
        <f>"PR20000834"</f>
        <v>PR20000834</v>
      </c>
      <c r="N863" t="str">
        <f>"BEL"</f>
        <v>BEL</v>
      </c>
      <c r="O863">
        <v>174</v>
      </c>
      <c r="P863" t="str">
        <f>"$"</f>
        <v>$</v>
      </c>
      <c r="Q863" t="str">
        <f>"117"</f>
        <v>117</v>
      </c>
      <c r="R863" t="str">
        <f>"רתמות"</f>
        <v>רתמות</v>
      </c>
      <c r="S863" t="str">
        <f>"034"</f>
        <v>034</v>
      </c>
      <c r="T863" t="str">
        <f>"מוסקוביץ אולגה"</f>
        <v>מוסקוביץ אולגה</v>
      </c>
      <c r="U863">
        <v>0</v>
      </c>
      <c r="V863">
        <v>0</v>
      </c>
      <c r="W863">
        <v>174</v>
      </c>
      <c r="X863" s="2">
        <v>1392</v>
      </c>
      <c r="Z863" t="str">
        <f>"Y"</f>
        <v>Y</v>
      </c>
      <c r="AA863">
        <v>0</v>
      </c>
      <c r="AC863">
        <v>0</v>
      </c>
      <c r="AE863">
        <v>0</v>
      </c>
      <c r="AF863">
        <v>0</v>
      </c>
      <c r="AG863">
        <v>581.86</v>
      </c>
      <c r="AH863">
        <v>0</v>
      </c>
      <c r="AI863" s="2">
        <v>4654.8500000000004</v>
      </c>
      <c r="AJ863" s="2">
        <v>1392</v>
      </c>
      <c r="AK863" s="2">
        <v>1392</v>
      </c>
      <c r="AL863" t="str">
        <f>"$"</f>
        <v>$</v>
      </c>
    </row>
    <row r="864" spans="1:38" x14ac:dyDescent="0.3">
      <c r="A864" t="str">
        <f>"SO20000532"</f>
        <v>SO20000532</v>
      </c>
      <c r="B864" t="str">
        <f>"E000321177"</f>
        <v>E000321177</v>
      </c>
      <c r="C864" t="str">
        <f>"בוצעה"</f>
        <v>בוצעה</v>
      </c>
      <c r="E864" s="3">
        <v>44155</v>
      </c>
      <c r="F864" s="3">
        <v>44378</v>
      </c>
      <c r="G864" t="str">
        <f>"700065"</f>
        <v>700065</v>
      </c>
      <c r="H864" t="str">
        <f>"אלתא מערכות בע""מ"</f>
        <v>אלתא מערכות בע"מ</v>
      </c>
      <c r="I864" t="str">
        <f>"ערן שלו"</f>
        <v>ערן שלו</v>
      </c>
      <c r="J864" t="str">
        <f>"OP-AR02122"</f>
        <v>OP-AR02122</v>
      </c>
      <c r="K864" s="1" t="str">
        <f>"1032F938-001/-   ETHERNET CABLE MFR-W938 - FILTE"</f>
        <v>1032F938-001/-   ETHERNET CABLE MFR-W938 - FILTE</v>
      </c>
      <c r="L864">
        <v>4</v>
      </c>
      <c r="M864" t="str">
        <f>"PR20000834"</f>
        <v>PR20000834</v>
      </c>
      <c r="N864" t="str">
        <f>"BEL"</f>
        <v>BEL</v>
      </c>
      <c r="O864">
        <v>174</v>
      </c>
      <c r="P864" t="str">
        <f>"$"</f>
        <v>$</v>
      </c>
      <c r="Q864" t="str">
        <f>"117"</f>
        <v>117</v>
      </c>
      <c r="R864" t="str">
        <f>"רתמות"</f>
        <v>רתמות</v>
      </c>
      <c r="S864" t="str">
        <f>"034"</f>
        <v>034</v>
      </c>
      <c r="T864" t="str">
        <f>"מוסקוביץ אולגה"</f>
        <v>מוסקוביץ אולגה</v>
      </c>
      <c r="U864">
        <v>0</v>
      </c>
      <c r="V864">
        <v>0</v>
      </c>
      <c r="W864">
        <v>174</v>
      </c>
      <c r="X864">
        <v>696</v>
      </c>
      <c r="Z864" t="str">
        <f>"Y"</f>
        <v>Y</v>
      </c>
      <c r="AA864">
        <v>0</v>
      </c>
      <c r="AC864">
        <v>0</v>
      </c>
      <c r="AE864">
        <v>0</v>
      </c>
      <c r="AF864">
        <v>0</v>
      </c>
      <c r="AG864">
        <v>581.86</v>
      </c>
      <c r="AH864">
        <v>0</v>
      </c>
      <c r="AI864" s="2">
        <v>2327.42</v>
      </c>
      <c r="AJ864">
        <v>696</v>
      </c>
      <c r="AK864">
        <v>696</v>
      </c>
      <c r="AL864" t="str">
        <f>"$"</f>
        <v>$</v>
      </c>
    </row>
    <row r="865" spans="1:38" x14ac:dyDescent="0.3">
      <c r="A865" t="str">
        <f>"SO20000532"</f>
        <v>SO20000532</v>
      </c>
      <c r="B865" t="str">
        <f>"E000321177"</f>
        <v>E000321177</v>
      </c>
      <c r="C865" t="str">
        <f>"בוצעה"</f>
        <v>בוצעה</v>
      </c>
      <c r="E865" s="3">
        <v>44155</v>
      </c>
      <c r="F865" s="3">
        <v>44378</v>
      </c>
      <c r="G865" t="str">
        <f>"700065"</f>
        <v>700065</v>
      </c>
      <c r="H865" t="str">
        <f>"אלתא מערכות בע""מ"</f>
        <v>אלתא מערכות בע"מ</v>
      </c>
      <c r="I865" t="str">
        <f>"ערן שלו"</f>
        <v>ערן שלו</v>
      </c>
      <c r="J865" t="str">
        <f>"OP-AR02122"</f>
        <v>OP-AR02122</v>
      </c>
      <c r="K865" s="1" t="str">
        <f>"1032F938-001/-   ETHERNET CABLE MFR-W938 - FILTE"</f>
        <v>1032F938-001/-   ETHERNET CABLE MFR-W938 - FILTE</v>
      </c>
      <c r="L865">
        <v>4</v>
      </c>
      <c r="M865" t="str">
        <f>"PR20000834"</f>
        <v>PR20000834</v>
      </c>
      <c r="N865" t="str">
        <f>"BEL"</f>
        <v>BEL</v>
      </c>
      <c r="O865">
        <v>174</v>
      </c>
      <c r="P865" t="str">
        <f>"$"</f>
        <v>$</v>
      </c>
      <c r="Q865" t="str">
        <f>"117"</f>
        <v>117</v>
      </c>
      <c r="R865" t="str">
        <f>"רתמות"</f>
        <v>רתמות</v>
      </c>
      <c r="S865" t="str">
        <f>"034"</f>
        <v>034</v>
      </c>
      <c r="T865" t="str">
        <f>"מוסקוביץ אולגה"</f>
        <v>מוסקוביץ אולגה</v>
      </c>
      <c r="U865">
        <v>0</v>
      </c>
      <c r="V865">
        <v>0</v>
      </c>
      <c r="W865">
        <v>174</v>
      </c>
      <c r="X865">
        <v>696</v>
      </c>
      <c r="Z865" t="str">
        <f>"Y"</f>
        <v>Y</v>
      </c>
      <c r="AA865">
        <v>0</v>
      </c>
      <c r="AC865">
        <v>0</v>
      </c>
      <c r="AE865">
        <v>0</v>
      </c>
      <c r="AF865">
        <v>0</v>
      </c>
      <c r="AG865">
        <v>581.86</v>
      </c>
      <c r="AH865">
        <v>0</v>
      </c>
      <c r="AI865" s="2">
        <v>2327.42</v>
      </c>
      <c r="AJ865">
        <v>696</v>
      </c>
      <c r="AK865">
        <v>696</v>
      </c>
      <c r="AL865" t="str">
        <f>"$"</f>
        <v>$</v>
      </c>
    </row>
    <row r="866" spans="1:38" x14ac:dyDescent="0.3">
      <c r="A866" t="str">
        <f>"SO20000532"</f>
        <v>SO20000532</v>
      </c>
      <c r="B866" t="str">
        <f>"E000321177"</f>
        <v>E000321177</v>
      </c>
      <c r="C866" t="str">
        <f>"בוצעה"</f>
        <v>בוצעה</v>
      </c>
      <c r="E866" s="3">
        <v>44155</v>
      </c>
      <c r="F866" s="3">
        <v>44593</v>
      </c>
      <c r="G866" t="str">
        <f>"700065"</f>
        <v>700065</v>
      </c>
      <c r="H866" t="str">
        <f>"אלתא מערכות בע""מ"</f>
        <v>אלתא מערכות בע"מ</v>
      </c>
      <c r="I866" t="str">
        <f>"ערן שלו"</f>
        <v>ערן שלו</v>
      </c>
      <c r="J866" t="str">
        <f>"OP-AR02122"</f>
        <v>OP-AR02122</v>
      </c>
      <c r="K866" s="1" t="str">
        <f>"1032F938-001/-   ETHERNET CABLE MFR-W938 - FILTE"</f>
        <v>1032F938-001/-   ETHERNET CABLE MFR-W938 - FILTE</v>
      </c>
      <c r="L866">
        <v>4</v>
      </c>
      <c r="M866" t="str">
        <f>"PR20000834"</f>
        <v>PR20000834</v>
      </c>
      <c r="N866" t="str">
        <f>"BEL"</f>
        <v>BEL</v>
      </c>
      <c r="O866">
        <v>174</v>
      </c>
      <c r="P866" t="str">
        <f>"$"</f>
        <v>$</v>
      </c>
      <c r="Q866" t="str">
        <f>"117"</f>
        <v>117</v>
      </c>
      <c r="R866" t="str">
        <f>"רתמות"</f>
        <v>רתמות</v>
      </c>
      <c r="S866" t="str">
        <f>"034"</f>
        <v>034</v>
      </c>
      <c r="T866" t="str">
        <f>"מוסקוביץ אולגה"</f>
        <v>מוסקוביץ אולגה</v>
      </c>
      <c r="U866">
        <v>0</v>
      </c>
      <c r="V866">
        <v>0</v>
      </c>
      <c r="W866">
        <v>174</v>
      </c>
      <c r="X866">
        <v>696</v>
      </c>
      <c r="Z866" t="str">
        <f>"Y"</f>
        <v>Y</v>
      </c>
      <c r="AA866">
        <v>0</v>
      </c>
      <c r="AC866">
        <v>0</v>
      </c>
      <c r="AE866">
        <v>0</v>
      </c>
      <c r="AF866">
        <v>0</v>
      </c>
      <c r="AG866">
        <v>581.86</v>
      </c>
      <c r="AH866">
        <v>0</v>
      </c>
      <c r="AI866" s="2">
        <v>2327.42</v>
      </c>
      <c r="AJ866">
        <v>696</v>
      </c>
      <c r="AK866">
        <v>696</v>
      </c>
      <c r="AL866" t="str">
        <f>"$"</f>
        <v>$</v>
      </c>
    </row>
    <row r="867" spans="1:38" x14ac:dyDescent="0.3">
      <c r="A867" t="str">
        <f>"SO20000532"</f>
        <v>SO20000532</v>
      </c>
      <c r="B867" t="str">
        <f>"E000321177"</f>
        <v>E000321177</v>
      </c>
      <c r="C867" t="str">
        <f>"בוצעה"</f>
        <v>בוצעה</v>
      </c>
      <c r="E867" s="3">
        <v>44155</v>
      </c>
      <c r="F867" s="3">
        <v>45047</v>
      </c>
      <c r="G867" t="str">
        <f>"700065"</f>
        <v>700065</v>
      </c>
      <c r="H867" t="str">
        <f>"אלתא מערכות בע""מ"</f>
        <v>אלתא מערכות בע"מ</v>
      </c>
      <c r="I867" t="str">
        <f>"ערן שלו"</f>
        <v>ערן שלו</v>
      </c>
      <c r="J867" t="str">
        <f>"OP-AR02122"</f>
        <v>OP-AR02122</v>
      </c>
      <c r="K867" s="1" t="str">
        <f>"1032F938-001/-   ETHERNET CABLE MFR-W938 - FILTE"</f>
        <v>1032F938-001/-   ETHERNET CABLE MFR-W938 - FILTE</v>
      </c>
      <c r="L867">
        <v>4</v>
      </c>
      <c r="M867" t="str">
        <f>"PR20000834"</f>
        <v>PR20000834</v>
      </c>
      <c r="N867" t="str">
        <f>"BEL"</f>
        <v>BEL</v>
      </c>
      <c r="O867">
        <v>174</v>
      </c>
      <c r="P867" t="str">
        <f>"$"</f>
        <v>$</v>
      </c>
      <c r="Q867" t="str">
        <f>"117"</f>
        <v>117</v>
      </c>
      <c r="R867" t="str">
        <f>"רתמות"</f>
        <v>רתמות</v>
      </c>
      <c r="S867" t="str">
        <f>"034"</f>
        <v>034</v>
      </c>
      <c r="T867" t="str">
        <f>"מוסקוביץ אולגה"</f>
        <v>מוסקוביץ אולגה</v>
      </c>
      <c r="U867">
        <v>0</v>
      </c>
      <c r="V867">
        <v>0</v>
      </c>
      <c r="W867">
        <v>174</v>
      </c>
      <c r="X867">
        <v>696</v>
      </c>
      <c r="Z867" t="str">
        <f>"Y"</f>
        <v>Y</v>
      </c>
      <c r="AA867">
        <v>0</v>
      </c>
      <c r="AC867">
        <v>0</v>
      </c>
      <c r="AE867">
        <v>0</v>
      </c>
      <c r="AF867">
        <v>0</v>
      </c>
      <c r="AG867">
        <v>581.86</v>
      </c>
      <c r="AH867">
        <v>0</v>
      </c>
      <c r="AI867" s="2">
        <v>2327.42</v>
      </c>
      <c r="AJ867">
        <v>696</v>
      </c>
      <c r="AK867">
        <v>696</v>
      </c>
      <c r="AL867" t="str">
        <f>"$"</f>
        <v>$</v>
      </c>
    </row>
    <row r="868" spans="1:38" x14ac:dyDescent="0.3">
      <c r="A868" t="str">
        <f>"SO20000532"</f>
        <v>SO20000532</v>
      </c>
      <c r="B868" t="str">
        <f>"E000321177"</f>
        <v>E000321177</v>
      </c>
      <c r="C868" t="str">
        <f>"בוצעה"</f>
        <v>בוצעה</v>
      </c>
      <c r="E868" s="3">
        <v>44155</v>
      </c>
      <c r="F868" s="3">
        <v>45047</v>
      </c>
      <c r="G868" t="str">
        <f>"700065"</f>
        <v>700065</v>
      </c>
      <c r="H868" t="str">
        <f>"אלתא מערכות בע""מ"</f>
        <v>אלתא מערכות בע"מ</v>
      </c>
      <c r="I868" t="str">
        <f>"ערן שלו"</f>
        <v>ערן שלו</v>
      </c>
      <c r="J868" t="str">
        <f>"OP-AR02122"</f>
        <v>OP-AR02122</v>
      </c>
      <c r="K868" s="1" t="str">
        <f>"1032F938-001/-   ETHERNET CABLE MFR-W938 - FILTE"</f>
        <v>1032F938-001/-   ETHERNET CABLE MFR-W938 - FILTE</v>
      </c>
      <c r="L868">
        <v>4</v>
      </c>
      <c r="M868" t="str">
        <f>"PR20000834"</f>
        <v>PR20000834</v>
      </c>
      <c r="N868" t="str">
        <f>"BEL"</f>
        <v>BEL</v>
      </c>
      <c r="O868">
        <v>174</v>
      </c>
      <c r="P868" t="str">
        <f>"$"</f>
        <v>$</v>
      </c>
      <c r="Q868" t="str">
        <f>"117"</f>
        <v>117</v>
      </c>
      <c r="R868" t="str">
        <f>"רתמות"</f>
        <v>רתמות</v>
      </c>
      <c r="S868" t="str">
        <f>"034"</f>
        <v>034</v>
      </c>
      <c r="T868" t="str">
        <f>"מוסקוביץ אולגה"</f>
        <v>מוסקוביץ אולגה</v>
      </c>
      <c r="U868">
        <v>0</v>
      </c>
      <c r="V868">
        <v>0</v>
      </c>
      <c r="W868">
        <v>174</v>
      </c>
      <c r="X868">
        <v>696</v>
      </c>
      <c r="Z868" t="str">
        <f>"Y"</f>
        <v>Y</v>
      </c>
      <c r="AA868">
        <v>0</v>
      </c>
      <c r="AC868">
        <v>0</v>
      </c>
      <c r="AE868">
        <v>0</v>
      </c>
      <c r="AF868">
        <v>0</v>
      </c>
      <c r="AG868">
        <v>581.86</v>
      </c>
      <c r="AH868">
        <v>0</v>
      </c>
      <c r="AI868" s="2">
        <v>2327.42</v>
      </c>
      <c r="AJ868">
        <v>696</v>
      </c>
      <c r="AK868">
        <v>696</v>
      </c>
      <c r="AL868" t="str">
        <f>"$"</f>
        <v>$</v>
      </c>
    </row>
    <row r="869" spans="1:38" x14ac:dyDescent="0.3">
      <c r="A869" t="str">
        <f>"SO20000532"</f>
        <v>SO20000532</v>
      </c>
      <c r="B869" t="str">
        <f>"E000321177"</f>
        <v>E000321177</v>
      </c>
      <c r="C869" t="str">
        <f>"בוצעה"</f>
        <v>בוצעה</v>
      </c>
      <c r="E869" s="3">
        <v>44155</v>
      </c>
      <c r="F869" s="3">
        <v>44242</v>
      </c>
      <c r="G869" t="str">
        <f>"700065"</f>
        <v>700065</v>
      </c>
      <c r="H869" t="str">
        <f>"אלתא מערכות בע""מ"</f>
        <v>אלתא מערכות בע"מ</v>
      </c>
      <c r="I869" t="str">
        <f>"ערן שלו"</f>
        <v>ערן שלו</v>
      </c>
      <c r="J869" t="str">
        <f>"OP-AR02123"</f>
        <v>OP-AR02123</v>
      </c>
      <c r="K869" s="1" t="str">
        <f>"1032F939-001/-   ETHERNET CABLE MFR-W939 - FILTE"</f>
        <v>1032F939-001/-   ETHERNET CABLE MFR-W939 - FILTE</v>
      </c>
      <c r="L869">
        <v>8</v>
      </c>
      <c r="M869" t="str">
        <f>"PR20000834"</f>
        <v>PR20000834</v>
      </c>
      <c r="N869" t="str">
        <f>"BEL"</f>
        <v>BEL</v>
      </c>
      <c r="O869">
        <v>174</v>
      </c>
      <c r="P869" t="str">
        <f>"$"</f>
        <v>$</v>
      </c>
      <c r="Q869" t="str">
        <f>"117"</f>
        <v>117</v>
      </c>
      <c r="R869" t="str">
        <f>"רתמות"</f>
        <v>רתמות</v>
      </c>
      <c r="S869" t="str">
        <f>"034"</f>
        <v>034</v>
      </c>
      <c r="T869" t="str">
        <f>"מוסקוביץ אולגה"</f>
        <v>מוסקוביץ אולגה</v>
      </c>
      <c r="U869">
        <v>0</v>
      </c>
      <c r="V869">
        <v>0</v>
      </c>
      <c r="W869">
        <v>174</v>
      </c>
      <c r="X869" s="2">
        <v>1392</v>
      </c>
      <c r="Z869" t="str">
        <f>"Y"</f>
        <v>Y</v>
      </c>
      <c r="AA869">
        <v>0</v>
      </c>
      <c r="AC869">
        <v>0</v>
      </c>
      <c r="AE869">
        <v>0</v>
      </c>
      <c r="AF869">
        <v>0</v>
      </c>
      <c r="AG869">
        <v>581.86</v>
      </c>
      <c r="AH869">
        <v>0</v>
      </c>
      <c r="AI869" s="2">
        <v>4654.8500000000004</v>
      </c>
      <c r="AJ869" s="2">
        <v>1392</v>
      </c>
      <c r="AK869" s="2">
        <v>1392</v>
      </c>
      <c r="AL869" t="str">
        <f>"$"</f>
        <v>$</v>
      </c>
    </row>
    <row r="870" spans="1:38" x14ac:dyDescent="0.3">
      <c r="A870" t="str">
        <f>"SO20000532"</f>
        <v>SO20000532</v>
      </c>
      <c r="B870" t="str">
        <f>"E000321177"</f>
        <v>E000321177</v>
      </c>
      <c r="C870" t="str">
        <f>"בוצעה"</f>
        <v>בוצעה</v>
      </c>
      <c r="E870" s="3">
        <v>44155</v>
      </c>
      <c r="F870" s="3">
        <v>44378</v>
      </c>
      <c r="G870" t="str">
        <f>"700065"</f>
        <v>700065</v>
      </c>
      <c r="H870" t="str">
        <f>"אלתא מערכות בע""מ"</f>
        <v>אלתא מערכות בע"מ</v>
      </c>
      <c r="I870" t="str">
        <f>"ערן שלו"</f>
        <v>ערן שלו</v>
      </c>
      <c r="J870" t="str">
        <f>"OP-AR02123"</f>
        <v>OP-AR02123</v>
      </c>
      <c r="K870" s="1" t="str">
        <f>"1032F939-001/-   ETHERNET CABLE MFR-W939 - FILTE"</f>
        <v>1032F939-001/-   ETHERNET CABLE MFR-W939 - FILTE</v>
      </c>
      <c r="L870">
        <v>4</v>
      </c>
      <c r="M870" t="str">
        <f>"PR20000834"</f>
        <v>PR20000834</v>
      </c>
      <c r="N870" t="str">
        <f>"BEL"</f>
        <v>BEL</v>
      </c>
      <c r="O870">
        <v>174</v>
      </c>
      <c r="P870" t="str">
        <f>"$"</f>
        <v>$</v>
      </c>
      <c r="Q870" t="str">
        <f>"117"</f>
        <v>117</v>
      </c>
      <c r="R870" t="str">
        <f>"רתמות"</f>
        <v>רתמות</v>
      </c>
      <c r="S870" t="str">
        <f>"034"</f>
        <v>034</v>
      </c>
      <c r="T870" t="str">
        <f>"מוסקוביץ אולגה"</f>
        <v>מוסקוביץ אולגה</v>
      </c>
      <c r="U870">
        <v>0</v>
      </c>
      <c r="V870">
        <v>0</v>
      </c>
      <c r="W870">
        <v>174</v>
      </c>
      <c r="X870">
        <v>696</v>
      </c>
      <c r="Z870" t="str">
        <f>"Y"</f>
        <v>Y</v>
      </c>
      <c r="AA870">
        <v>0</v>
      </c>
      <c r="AC870">
        <v>0</v>
      </c>
      <c r="AE870">
        <v>0</v>
      </c>
      <c r="AF870">
        <v>0</v>
      </c>
      <c r="AG870">
        <v>581.86</v>
      </c>
      <c r="AH870">
        <v>0</v>
      </c>
      <c r="AI870" s="2">
        <v>2327.42</v>
      </c>
      <c r="AJ870">
        <v>696</v>
      </c>
      <c r="AK870">
        <v>696</v>
      </c>
      <c r="AL870" t="str">
        <f>"$"</f>
        <v>$</v>
      </c>
    </row>
    <row r="871" spans="1:38" x14ac:dyDescent="0.3">
      <c r="A871" t="str">
        <f>"SO20000532"</f>
        <v>SO20000532</v>
      </c>
      <c r="B871" t="str">
        <f>"E000321177"</f>
        <v>E000321177</v>
      </c>
      <c r="C871" t="str">
        <f>"בוצעה"</f>
        <v>בוצעה</v>
      </c>
      <c r="E871" s="3">
        <v>44155</v>
      </c>
      <c r="F871" s="3">
        <v>44378</v>
      </c>
      <c r="G871" t="str">
        <f>"700065"</f>
        <v>700065</v>
      </c>
      <c r="H871" t="str">
        <f>"אלתא מערכות בע""מ"</f>
        <v>אלתא מערכות בע"מ</v>
      </c>
      <c r="I871" t="str">
        <f>"ערן שלו"</f>
        <v>ערן שלו</v>
      </c>
      <c r="J871" t="str">
        <f>"OP-AR02123"</f>
        <v>OP-AR02123</v>
      </c>
      <c r="K871" s="1" t="str">
        <f>"1032F939-001/-   ETHERNET CABLE MFR-W939 - FILTE"</f>
        <v>1032F939-001/-   ETHERNET CABLE MFR-W939 - FILTE</v>
      </c>
      <c r="L871">
        <v>4</v>
      </c>
      <c r="M871" t="str">
        <f>"PR20000834"</f>
        <v>PR20000834</v>
      </c>
      <c r="N871" t="str">
        <f>"BEL"</f>
        <v>BEL</v>
      </c>
      <c r="O871">
        <v>174</v>
      </c>
      <c r="P871" t="str">
        <f>"$"</f>
        <v>$</v>
      </c>
      <c r="Q871" t="str">
        <f>"117"</f>
        <v>117</v>
      </c>
      <c r="R871" t="str">
        <f>"רתמות"</f>
        <v>רתמות</v>
      </c>
      <c r="S871" t="str">
        <f>"034"</f>
        <v>034</v>
      </c>
      <c r="T871" t="str">
        <f>"מוסקוביץ אולגה"</f>
        <v>מוסקוביץ אולגה</v>
      </c>
      <c r="U871">
        <v>0</v>
      </c>
      <c r="V871">
        <v>0</v>
      </c>
      <c r="W871">
        <v>174</v>
      </c>
      <c r="X871">
        <v>696</v>
      </c>
      <c r="Z871" t="str">
        <f>"Y"</f>
        <v>Y</v>
      </c>
      <c r="AA871">
        <v>0</v>
      </c>
      <c r="AC871">
        <v>0</v>
      </c>
      <c r="AE871">
        <v>0</v>
      </c>
      <c r="AF871">
        <v>0</v>
      </c>
      <c r="AG871">
        <v>581.86</v>
      </c>
      <c r="AH871">
        <v>0</v>
      </c>
      <c r="AI871" s="2">
        <v>2327.42</v>
      </c>
      <c r="AJ871">
        <v>696</v>
      </c>
      <c r="AK871">
        <v>696</v>
      </c>
      <c r="AL871" t="str">
        <f>"$"</f>
        <v>$</v>
      </c>
    </row>
    <row r="872" spans="1:38" x14ac:dyDescent="0.3">
      <c r="A872" t="str">
        <f>"SO20000532"</f>
        <v>SO20000532</v>
      </c>
      <c r="B872" t="str">
        <f>"E000321177"</f>
        <v>E000321177</v>
      </c>
      <c r="C872" t="str">
        <f>"בוצעה"</f>
        <v>בוצעה</v>
      </c>
      <c r="E872" s="3">
        <v>44155</v>
      </c>
      <c r="F872" s="3">
        <v>44593</v>
      </c>
      <c r="G872" t="str">
        <f>"700065"</f>
        <v>700065</v>
      </c>
      <c r="H872" t="str">
        <f>"אלתא מערכות בע""מ"</f>
        <v>אלתא מערכות בע"מ</v>
      </c>
      <c r="I872" t="str">
        <f>"ערן שלו"</f>
        <v>ערן שלו</v>
      </c>
      <c r="J872" t="str">
        <f>"OP-AR02123"</f>
        <v>OP-AR02123</v>
      </c>
      <c r="K872" s="1" t="str">
        <f>"1032F939-001/-   ETHERNET CABLE MFR-W939 - FILTE"</f>
        <v>1032F939-001/-   ETHERNET CABLE MFR-W939 - FILTE</v>
      </c>
      <c r="L872">
        <v>4</v>
      </c>
      <c r="M872" t="str">
        <f>"PR20000834"</f>
        <v>PR20000834</v>
      </c>
      <c r="N872" t="str">
        <f>"BEL"</f>
        <v>BEL</v>
      </c>
      <c r="O872">
        <v>174</v>
      </c>
      <c r="P872" t="str">
        <f>"$"</f>
        <v>$</v>
      </c>
      <c r="Q872" t="str">
        <f>"117"</f>
        <v>117</v>
      </c>
      <c r="R872" t="str">
        <f>"רתמות"</f>
        <v>רתמות</v>
      </c>
      <c r="S872" t="str">
        <f>"034"</f>
        <v>034</v>
      </c>
      <c r="T872" t="str">
        <f>"מוסקוביץ אולגה"</f>
        <v>מוסקוביץ אולגה</v>
      </c>
      <c r="U872">
        <v>0</v>
      </c>
      <c r="V872">
        <v>0</v>
      </c>
      <c r="W872">
        <v>174</v>
      </c>
      <c r="X872">
        <v>696</v>
      </c>
      <c r="Z872" t="str">
        <f>"Y"</f>
        <v>Y</v>
      </c>
      <c r="AA872">
        <v>0</v>
      </c>
      <c r="AC872">
        <v>0</v>
      </c>
      <c r="AE872">
        <v>0</v>
      </c>
      <c r="AF872">
        <v>0</v>
      </c>
      <c r="AG872">
        <v>581.86</v>
      </c>
      <c r="AH872">
        <v>0</v>
      </c>
      <c r="AI872" s="2">
        <v>2327.42</v>
      </c>
      <c r="AJ872">
        <v>696</v>
      </c>
      <c r="AK872">
        <v>696</v>
      </c>
      <c r="AL872" t="str">
        <f>"$"</f>
        <v>$</v>
      </c>
    </row>
    <row r="873" spans="1:38" x14ac:dyDescent="0.3">
      <c r="A873" t="str">
        <f>"SO20000532"</f>
        <v>SO20000532</v>
      </c>
      <c r="B873" t="str">
        <f>"E000321177"</f>
        <v>E000321177</v>
      </c>
      <c r="C873" t="str">
        <f>"בוצעה"</f>
        <v>בוצעה</v>
      </c>
      <c r="E873" s="3">
        <v>44155</v>
      </c>
      <c r="F873" s="3">
        <v>45047</v>
      </c>
      <c r="G873" t="str">
        <f>"700065"</f>
        <v>700065</v>
      </c>
      <c r="H873" t="str">
        <f>"אלתא מערכות בע""מ"</f>
        <v>אלתא מערכות בע"מ</v>
      </c>
      <c r="I873" t="str">
        <f>"ערן שלו"</f>
        <v>ערן שלו</v>
      </c>
      <c r="J873" t="str">
        <f>"OP-AR02123"</f>
        <v>OP-AR02123</v>
      </c>
      <c r="K873" s="1" t="str">
        <f>"1032F939-001/-   ETHERNET CABLE MFR-W939 - FILTE"</f>
        <v>1032F939-001/-   ETHERNET CABLE MFR-W939 - FILTE</v>
      </c>
      <c r="L873">
        <v>4</v>
      </c>
      <c r="M873" t="str">
        <f>"PR20000834"</f>
        <v>PR20000834</v>
      </c>
      <c r="N873" t="str">
        <f>"BEL"</f>
        <v>BEL</v>
      </c>
      <c r="O873">
        <v>174</v>
      </c>
      <c r="P873" t="str">
        <f>"$"</f>
        <v>$</v>
      </c>
      <c r="Q873" t="str">
        <f>"117"</f>
        <v>117</v>
      </c>
      <c r="R873" t="str">
        <f>"רתמות"</f>
        <v>רתמות</v>
      </c>
      <c r="S873" t="str">
        <f>"034"</f>
        <v>034</v>
      </c>
      <c r="T873" t="str">
        <f>"מוסקוביץ אולגה"</f>
        <v>מוסקוביץ אולגה</v>
      </c>
      <c r="U873">
        <v>0</v>
      </c>
      <c r="V873">
        <v>0</v>
      </c>
      <c r="W873">
        <v>174</v>
      </c>
      <c r="X873">
        <v>696</v>
      </c>
      <c r="Z873" t="str">
        <f>"Y"</f>
        <v>Y</v>
      </c>
      <c r="AA873">
        <v>0</v>
      </c>
      <c r="AC873">
        <v>0</v>
      </c>
      <c r="AE873">
        <v>0</v>
      </c>
      <c r="AF873">
        <v>0</v>
      </c>
      <c r="AG873">
        <v>581.86</v>
      </c>
      <c r="AH873">
        <v>0</v>
      </c>
      <c r="AI873" s="2">
        <v>2327.42</v>
      </c>
      <c r="AJ873">
        <v>696</v>
      </c>
      <c r="AK873">
        <v>696</v>
      </c>
      <c r="AL873" t="str">
        <f>"$"</f>
        <v>$</v>
      </c>
    </row>
    <row r="874" spans="1:38" x14ac:dyDescent="0.3">
      <c r="A874" t="str">
        <f>"SO20000532"</f>
        <v>SO20000532</v>
      </c>
      <c r="B874" t="str">
        <f>"E000321177"</f>
        <v>E000321177</v>
      </c>
      <c r="C874" t="str">
        <f>"בוצעה"</f>
        <v>בוצעה</v>
      </c>
      <c r="E874" s="3">
        <v>44155</v>
      </c>
      <c r="F874" s="3">
        <v>45047</v>
      </c>
      <c r="G874" t="str">
        <f>"700065"</f>
        <v>700065</v>
      </c>
      <c r="H874" t="str">
        <f>"אלתא מערכות בע""מ"</f>
        <v>אלתא מערכות בע"מ</v>
      </c>
      <c r="I874" t="str">
        <f>"ערן שלו"</f>
        <v>ערן שלו</v>
      </c>
      <c r="J874" t="str">
        <f>"OP-AR02123"</f>
        <v>OP-AR02123</v>
      </c>
      <c r="K874" s="1" t="str">
        <f>"1032F939-001/-   ETHERNET CABLE MFR-W939 - FILTE"</f>
        <v>1032F939-001/-   ETHERNET CABLE MFR-W939 - FILTE</v>
      </c>
      <c r="L874">
        <v>4</v>
      </c>
      <c r="M874" t="str">
        <f>"PR20000834"</f>
        <v>PR20000834</v>
      </c>
      <c r="N874" t="str">
        <f>"BEL"</f>
        <v>BEL</v>
      </c>
      <c r="O874">
        <v>174</v>
      </c>
      <c r="P874" t="str">
        <f>"$"</f>
        <v>$</v>
      </c>
      <c r="Q874" t="str">
        <f>"117"</f>
        <v>117</v>
      </c>
      <c r="R874" t="str">
        <f>"רתמות"</f>
        <v>רתמות</v>
      </c>
      <c r="S874" t="str">
        <f>"034"</f>
        <v>034</v>
      </c>
      <c r="T874" t="str">
        <f>"מוסקוביץ אולגה"</f>
        <v>מוסקוביץ אולגה</v>
      </c>
      <c r="U874">
        <v>0</v>
      </c>
      <c r="V874">
        <v>0</v>
      </c>
      <c r="W874">
        <v>174</v>
      </c>
      <c r="X874">
        <v>696</v>
      </c>
      <c r="Z874" t="str">
        <f>"Y"</f>
        <v>Y</v>
      </c>
      <c r="AA874">
        <v>0</v>
      </c>
      <c r="AC874">
        <v>0</v>
      </c>
      <c r="AE874">
        <v>0</v>
      </c>
      <c r="AF874">
        <v>0</v>
      </c>
      <c r="AG874">
        <v>581.86</v>
      </c>
      <c r="AH874">
        <v>0</v>
      </c>
      <c r="AI874" s="2">
        <v>2327.42</v>
      </c>
      <c r="AJ874">
        <v>696</v>
      </c>
      <c r="AK874">
        <v>696</v>
      </c>
      <c r="AL874" t="str">
        <f>"$"</f>
        <v>$</v>
      </c>
    </row>
    <row r="875" spans="1:38" x14ac:dyDescent="0.3">
      <c r="A875" t="str">
        <f>"SO20000532"</f>
        <v>SO20000532</v>
      </c>
      <c r="B875" t="str">
        <f>"E000321177"</f>
        <v>E000321177</v>
      </c>
      <c r="C875" t="str">
        <f>"בוצעה"</f>
        <v>בוצעה</v>
      </c>
      <c r="E875" s="3">
        <v>44155</v>
      </c>
      <c r="F875" s="3">
        <v>44242</v>
      </c>
      <c r="G875" t="str">
        <f>"700065"</f>
        <v>700065</v>
      </c>
      <c r="H875" t="str">
        <f>"אלתא מערכות בע""מ"</f>
        <v>אלתא מערכות בע"מ</v>
      </c>
      <c r="I875" t="str">
        <f>"ערן שלו"</f>
        <v>ערן שלו</v>
      </c>
      <c r="J875" t="str">
        <f>"OP-AR02124"</f>
        <v>OP-AR02124</v>
      </c>
      <c r="K875" s="1" t="str">
        <f>"1032F940-001/-   ETHERNET CABLE MFR-W940 - FILTE"</f>
        <v>1032F940-001/-   ETHERNET CABLE MFR-W940 - FILTE</v>
      </c>
      <c r="L875">
        <v>8</v>
      </c>
      <c r="M875" t="str">
        <f>"PR20000834"</f>
        <v>PR20000834</v>
      </c>
      <c r="N875" t="str">
        <f>"BEL"</f>
        <v>BEL</v>
      </c>
      <c r="O875">
        <v>174</v>
      </c>
      <c r="P875" t="str">
        <f>"$"</f>
        <v>$</v>
      </c>
      <c r="Q875" t="str">
        <f>"117"</f>
        <v>117</v>
      </c>
      <c r="R875" t="str">
        <f>"רתמות"</f>
        <v>רתמות</v>
      </c>
      <c r="S875" t="str">
        <f>"034"</f>
        <v>034</v>
      </c>
      <c r="T875" t="str">
        <f>"מוסקוביץ אולגה"</f>
        <v>מוסקוביץ אולגה</v>
      </c>
      <c r="U875">
        <v>0</v>
      </c>
      <c r="V875">
        <v>0</v>
      </c>
      <c r="W875">
        <v>174</v>
      </c>
      <c r="X875" s="2">
        <v>1392</v>
      </c>
      <c r="Z875" t="str">
        <f>"Y"</f>
        <v>Y</v>
      </c>
      <c r="AA875">
        <v>0</v>
      </c>
      <c r="AC875">
        <v>0</v>
      </c>
      <c r="AE875">
        <v>0</v>
      </c>
      <c r="AF875">
        <v>0</v>
      </c>
      <c r="AG875">
        <v>581.86</v>
      </c>
      <c r="AH875">
        <v>0</v>
      </c>
      <c r="AI875" s="2">
        <v>4654.8500000000004</v>
      </c>
      <c r="AJ875" s="2">
        <v>1392</v>
      </c>
      <c r="AK875" s="2">
        <v>1392</v>
      </c>
      <c r="AL875" t="str">
        <f>"$"</f>
        <v>$</v>
      </c>
    </row>
    <row r="876" spans="1:38" x14ac:dyDescent="0.3">
      <c r="A876" t="str">
        <f>"SO20000532"</f>
        <v>SO20000532</v>
      </c>
      <c r="B876" t="str">
        <f>"E000321177"</f>
        <v>E000321177</v>
      </c>
      <c r="C876" t="str">
        <f>"בוצעה"</f>
        <v>בוצעה</v>
      </c>
      <c r="E876" s="3">
        <v>44155</v>
      </c>
      <c r="F876" s="3">
        <v>44378</v>
      </c>
      <c r="G876" t="str">
        <f>"700065"</f>
        <v>700065</v>
      </c>
      <c r="H876" t="str">
        <f>"אלתא מערכות בע""מ"</f>
        <v>אלתא מערכות בע"מ</v>
      </c>
      <c r="I876" t="str">
        <f>"ערן שלו"</f>
        <v>ערן שלו</v>
      </c>
      <c r="J876" t="str">
        <f>"OP-AR02124"</f>
        <v>OP-AR02124</v>
      </c>
      <c r="K876" s="1" t="str">
        <f>"1032F940-001/-   ETHERNET CABLE MFR-W940 - FILTE"</f>
        <v>1032F940-001/-   ETHERNET CABLE MFR-W940 - FILTE</v>
      </c>
      <c r="L876">
        <v>4</v>
      </c>
      <c r="M876" t="str">
        <f>"PR20000834"</f>
        <v>PR20000834</v>
      </c>
      <c r="N876" t="str">
        <f>"BEL"</f>
        <v>BEL</v>
      </c>
      <c r="O876">
        <v>174</v>
      </c>
      <c r="P876" t="str">
        <f>"$"</f>
        <v>$</v>
      </c>
      <c r="Q876" t="str">
        <f>"117"</f>
        <v>117</v>
      </c>
      <c r="R876" t="str">
        <f>"רתמות"</f>
        <v>רתמות</v>
      </c>
      <c r="S876" t="str">
        <f>"034"</f>
        <v>034</v>
      </c>
      <c r="T876" t="str">
        <f>"מוסקוביץ אולגה"</f>
        <v>מוסקוביץ אולגה</v>
      </c>
      <c r="U876">
        <v>0</v>
      </c>
      <c r="V876">
        <v>0</v>
      </c>
      <c r="W876">
        <v>174</v>
      </c>
      <c r="X876">
        <v>696</v>
      </c>
      <c r="Z876" t="str">
        <f>"Y"</f>
        <v>Y</v>
      </c>
      <c r="AA876">
        <v>0</v>
      </c>
      <c r="AC876">
        <v>0</v>
      </c>
      <c r="AE876">
        <v>0</v>
      </c>
      <c r="AF876">
        <v>0</v>
      </c>
      <c r="AG876">
        <v>581.86</v>
      </c>
      <c r="AH876">
        <v>0</v>
      </c>
      <c r="AI876" s="2">
        <v>2327.42</v>
      </c>
      <c r="AJ876">
        <v>696</v>
      </c>
      <c r="AK876">
        <v>696</v>
      </c>
      <c r="AL876" t="str">
        <f>"$"</f>
        <v>$</v>
      </c>
    </row>
    <row r="877" spans="1:38" x14ac:dyDescent="0.3">
      <c r="A877" t="str">
        <f>"SO20000532"</f>
        <v>SO20000532</v>
      </c>
      <c r="B877" t="str">
        <f>"E000321177"</f>
        <v>E000321177</v>
      </c>
      <c r="C877" t="str">
        <f>"בוצעה"</f>
        <v>בוצעה</v>
      </c>
      <c r="E877" s="3">
        <v>44155</v>
      </c>
      <c r="F877" s="3">
        <v>44378</v>
      </c>
      <c r="G877" t="str">
        <f>"700065"</f>
        <v>700065</v>
      </c>
      <c r="H877" t="str">
        <f>"אלתא מערכות בע""מ"</f>
        <v>אלתא מערכות בע"מ</v>
      </c>
      <c r="I877" t="str">
        <f>"ערן שלו"</f>
        <v>ערן שלו</v>
      </c>
      <c r="J877" t="str">
        <f>"OP-AR02124"</f>
        <v>OP-AR02124</v>
      </c>
      <c r="K877" s="1" t="str">
        <f>"1032F940-001/-   ETHERNET CABLE MFR-W940 - FILTE"</f>
        <v>1032F940-001/-   ETHERNET CABLE MFR-W940 - FILTE</v>
      </c>
      <c r="L877">
        <v>4</v>
      </c>
      <c r="M877" t="str">
        <f>"PR20000834"</f>
        <v>PR20000834</v>
      </c>
      <c r="N877" t="str">
        <f>"BEL"</f>
        <v>BEL</v>
      </c>
      <c r="O877">
        <v>174</v>
      </c>
      <c r="P877" t="str">
        <f>"$"</f>
        <v>$</v>
      </c>
      <c r="Q877" t="str">
        <f>"117"</f>
        <v>117</v>
      </c>
      <c r="R877" t="str">
        <f>"רתמות"</f>
        <v>רתמות</v>
      </c>
      <c r="S877" t="str">
        <f>"034"</f>
        <v>034</v>
      </c>
      <c r="T877" t="str">
        <f>"מוסקוביץ אולגה"</f>
        <v>מוסקוביץ אולגה</v>
      </c>
      <c r="U877">
        <v>0</v>
      </c>
      <c r="V877">
        <v>0</v>
      </c>
      <c r="W877">
        <v>174</v>
      </c>
      <c r="X877">
        <v>696</v>
      </c>
      <c r="Z877" t="str">
        <f>"Y"</f>
        <v>Y</v>
      </c>
      <c r="AA877">
        <v>0</v>
      </c>
      <c r="AC877">
        <v>0</v>
      </c>
      <c r="AE877">
        <v>0</v>
      </c>
      <c r="AF877">
        <v>0</v>
      </c>
      <c r="AG877">
        <v>581.86</v>
      </c>
      <c r="AH877">
        <v>0</v>
      </c>
      <c r="AI877" s="2">
        <v>2327.42</v>
      </c>
      <c r="AJ877">
        <v>696</v>
      </c>
      <c r="AK877">
        <v>696</v>
      </c>
      <c r="AL877" t="str">
        <f>"$"</f>
        <v>$</v>
      </c>
    </row>
    <row r="878" spans="1:38" x14ac:dyDescent="0.3">
      <c r="A878" t="str">
        <f>"SO20000532"</f>
        <v>SO20000532</v>
      </c>
      <c r="B878" t="str">
        <f>"E000321177"</f>
        <v>E000321177</v>
      </c>
      <c r="C878" t="str">
        <f>"בוצעה"</f>
        <v>בוצעה</v>
      </c>
      <c r="E878" s="3">
        <v>44155</v>
      </c>
      <c r="F878" s="3">
        <v>44593</v>
      </c>
      <c r="G878" t="str">
        <f>"700065"</f>
        <v>700065</v>
      </c>
      <c r="H878" t="str">
        <f>"אלתא מערכות בע""מ"</f>
        <v>אלתא מערכות בע"מ</v>
      </c>
      <c r="I878" t="str">
        <f>"ערן שלו"</f>
        <v>ערן שלו</v>
      </c>
      <c r="J878" t="str">
        <f>"OP-AR02124"</f>
        <v>OP-AR02124</v>
      </c>
      <c r="K878" s="1" t="str">
        <f>"1032F940-001/-   ETHERNET CABLE MFR-W940 - FILTE"</f>
        <v>1032F940-001/-   ETHERNET CABLE MFR-W940 - FILTE</v>
      </c>
      <c r="L878">
        <v>4</v>
      </c>
      <c r="M878" t="str">
        <f>"PR20000834"</f>
        <v>PR20000834</v>
      </c>
      <c r="N878" t="str">
        <f>"BEL"</f>
        <v>BEL</v>
      </c>
      <c r="O878">
        <v>174</v>
      </c>
      <c r="P878" t="str">
        <f>"$"</f>
        <v>$</v>
      </c>
      <c r="Q878" t="str">
        <f>"117"</f>
        <v>117</v>
      </c>
      <c r="R878" t="str">
        <f>"רתמות"</f>
        <v>רתמות</v>
      </c>
      <c r="S878" t="str">
        <f>"034"</f>
        <v>034</v>
      </c>
      <c r="T878" t="str">
        <f>"מוסקוביץ אולגה"</f>
        <v>מוסקוביץ אולגה</v>
      </c>
      <c r="U878">
        <v>0</v>
      </c>
      <c r="V878">
        <v>0</v>
      </c>
      <c r="W878">
        <v>174</v>
      </c>
      <c r="X878">
        <v>696</v>
      </c>
      <c r="Z878" t="str">
        <f>"Y"</f>
        <v>Y</v>
      </c>
      <c r="AA878">
        <v>0</v>
      </c>
      <c r="AC878">
        <v>0</v>
      </c>
      <c r="AE878">
        <v>0</v>
      </c>
      <c r="AF878">
        <v>0</v>
      </c>
      <c r="AG878">
        <v>581.86</v>
      </c>
      <c r="AH878">
        <v>0</v>
      </c>
      <c r="AI878" s="2">
        <v>2327.42</v>
      </c>
      <c r="AJ878">
        <v>696</v>
      </c>
      <c r="AK878">
        <v>696</v>
      </c>
      <c r="AL878" t="str">
        <f>"$"</f>
        <v>$</v>
      </c>
    </row>
    <row r="879" spans="1:38" x14ac:dyDescent="0.3">
      <c r="A879" t="str">
        <f>"SO20000532"</f>
        <v>SO20000532</v>
      </c>
      <c r="B879" t="str">
        <f>"E000321177"</f>
        <v>E000321177</v>
      </c>
      <c r="C879" t="str">
        <f>"בוצעה"</f>
        <v>בוצעה</v>
      </c>
      <c r="E879" s="3">
        <v>44155</v>
      </c>
      <c r="F879" s="3">
        <v>45047</v>
      </c>
      <c r="G879" t="str">
        <f>"700065"</f>
        <v>700065</v>
      </c>
      <c r="H879" t="str">
        <f>"אלתא מערכות בע""מ"</f>
        <v>אלתא מערכות בע"מ</v>
      </c>
      <c r="I879" t="str">
        <f>"ערן שלו"</f>
        <v>ערן שלו</v>
      </c>
      <c r="J879" t="str">
        <f>"OP-AR02124"</f>
        <v>OP-AR02124</v>
      </c>
      <c r="K879" s="1" t="str">
        <f>"1032F940-001/-   ETHERNET CABLE MFR-W940 - FILTE"</f>
        <v>1032F940-001/-   ETHERNET CABLE MFR-W940 - FILTE</v>
      </c>
      <c r="L879">
        <v>4</v>
      </c>
      <c r="M879" t="str">
        <f>"PR20000834"</f>
        <v>PR20000834</v>
      </c>
      <c r="N879" t="str">
        <f>"BEL"</f>
        <v>BEL</v>
      </c>
      <c r="O879">
        <v>174</v>
      </c>
      <c r="P879" t="str">
        <f>"$"</f>
        <v>$</v>
      </c>
      <c r="Q879" t="str">
        <f>"117"</f>
        <v>117</v>
      </c>
      <c r="R879" t="str">
        <f>"רתמות"</f>
        <v>רתמות</v>
      </c>
      <c r="S879" t="str">
        <f>"034"</f>
        <v>034</v>
      </c>
      <c r="T879" t="str">
        <f>"מוסקוביץ אולגה"</f>
        <v>מוסקוביץ אולגה</v>
      </c>
      <c r="U879">
        <v>0</v>
      </c>
      <c r="V879">
        <v>0</v>
      </c>
      <c r="W879">
        <v>174</v>
      </c>
      <c r="X879">
        <v>696</v>
      </c>
      <c r="Z879" t="str">
        <f>"Y"</f>
        <v>Y</v>
      </c>
      <c r="AA879">
        <v>0</v>
      </c>
      <c r="AC879">
        <v>0</v>
      </c>
      <c r="AE879">
        <v>0</v>
      </c>
      <c r="AF879">
        <v>0</v>
      </c>
      <c r="AG879">
        <v>581.86</v>
      </c>
      <c r="AH879">
        <v>0</v>
      </c>
      <c r="AI879" s="2">
        <v>2327.42</v>
      </c>
      <c r="AJ879">
        <v>696</v>
      </c>
      <c r="AK879">
        <v>696</v>
      </c>
      <c r="AL879" t="str">
        <f>"$"</f>
        <v>$</v>
      </c>
    </row>
    <row r="880" spans="1:38" x14ac:dyDescent="0.3">
      <c r="A880" t="str">
        <f>"SO20000532"</f>
        <v>SO20000532</v>
      </c>
      <c r="B880" t="str">
        <f>"E000321177"</f>
        <v>E000321177</v>
      </c>
      <c r="C880" t="str">
        <f>"בוצעה"</f>
        <v>בוצעה</v>
      </c>
      <c r="E880" s="3">
        <v>44155</v>
      </c>
      <c r="F880" s="3">
        <v>45047</v>
      </c>
      <c r="G880" t="str">
        <f>"700065"</f>
        <v>700065</v>
      </c>
      <c r="H880" t="str">
        <f>"אלתא מערכות בע""מ"</f>
        <v>אלתא מערכות בע"מ</v>
      </c>
      <c r="I880" t="str">
        <f>"ערן שלו"</f>
        <v>ערן שלו</v>
      </c>
      <c r="J880" t="str">
        <f>"OP-AR02124"</f>
        <v>OP-AR02124</v>
      </c>
      <c r="K880" s="1" t="str">
        <f>"1032F940-001/-   ETHERNET CABLE MFR-W940 - FILTE"</f>
        <v>1032F940-001/-   ETHERNET CABLE MFR-W940 - FILTE</v>
      </c>
      <c r="L880">
        <v>4</v>
      </c>
      <c r="M880" t="str">
        <f>"PR20000834"</f>
        <v>PR20000834</v>
      </c>
      <c r="N880" t="str">
        <f>"BEL"</f>
        <v>BEL</v>
      </c>
      <c r="O880">
        <v>174</v>
      </c>
      <c r="P880" t="str">
        <f>"$"</f>
        <v>$</v>
      </c>
      <c r="Q880" t="str">
        <f>"117"</f>
        <v>117</v>
      </c>
      <c r="R880" t="str">
        <f>"רתמות"</f>
        <v>רתמות</v>
      </c>
      <c r="S880" t="str">
        <f>"034"</f>
        <v>034</v>
      </c>
      <c r="T880" t="str">
        <f>"מוסקוביץ אולגה"</f>
        <v>מוסקוביץ אולגה</v>
      </c>
      <c r="U880">
        <v>0</v>
      </c>
      <c r="V880">
        <v>0</v>
      </c>
      <c r="W880">
        <v>174</v>
      </c>
      <c r="X880">
        <v>696</v>
      </c>
      <c r="Z880" t="str">
        <f>"Y"</f>
        <v>Y</v>
      </c>
      <c r="AA880">
        <v>0</v>
      </c>
      <c r="AC880">
        <v>0</v>
      </c>
      <c r="AE880">
        <v>0</v>
      </c>
      <c r="AF880">
        <v>0</v>
      </c>
      <c r="AG880">
        <v>581.86</v>
      </c>
      <c r="AH880">
        <v>0</v>
      </c>
      <c r="AI880" s="2">
        <v>2327.42</v>
      </c>
      <c r="AJ880">
        <v>696</v>
      </c>
      <c r="AK880">
        <v>696</v>
      </c>
      <c r="AL880" t="str">
        <f>"$"</f>
        <v>$</v>
      </c>
    </row>
    <row r="881" spans="1:38" x14ac:dyDescent="0.3">
      <c r="A881" t="str">
        <f>"SO20000532"</f>
        <v>SO20000532</v>
      </c>
      <c r="B881" t="str">
        <f>"E000321177"</f>
        <v>E000321177</v>
      </c>
      <c r="C881" t="str">
        <f>"בוצעה"</f>
        <v>בוצעה</v>
      </c>
      <c r="E881" s="3">
        <v>44155</v>
      </c>
      <c r="F881" s="3">
        <v>44242</v>
      </c>
      <c r="G881" t="str">
        <f>"700065"</f>
        <v>700065</v>
      </c>
      <c r="H881" t="str">
        <f>"אלתא מערכות בע""מ"</f>
        <v>אלתא מערכות בע"מ</v>
      </c>
      <c r="I881" t="str">
        <f>"ערן שלו"</f>
        <v>ערן שלו</v>
      </c>
      <c r="J881" t="str">
        <f>"OP-AR02125"</f>
        <v>OP-AR02125</v>
      </c>
      <c r="K881" s="1" t="str">
        <f>"1032F941-001/-   ETHERNET CABLE MFR-W941 - FILTE"</f>
        <v>1032F941-001/-   ETHERNET CABLE MFR-W941 - FILTE</v>
      </c>
      <c r="L881">
        <v>8</v>
      </c>
      <c r="M881" t="str">
        <f>"PR20000834"</f>
        <v>PR20000834</v>
      </c>
      <c r="N881" t="str">
        <f>"BEL"</f>
        <v>BEL</v>
      </c>
      <c r="O881">
        <v>174</v>
      </c>
      <c r="P881" t="str">
        <f>"$"</f>
        <v>$</v>
      </c>
      <c r="Q881" t="str">
        <f>"117"</f>
        <v>117</v>
      </c>
      <c r="R881" t="str">
        <f>"רתמות"</f>
        <v>רתמות</v>
      </c>
      <c r="S881" t="str">
        <f>"034"</f>
        <v>034</v>
      </c>
      <c r="T881" t="str">
        <f>"מוסקוביץ אולגה"</f>
        <v>מוסקוביץ אולגה</v>
      </c>
      <c r="U881">
        <v>0</v>
      </c>
      <c r="V881">
        <v>0</v>
      </c>
      <c r="W881">
        <v>174</v>
      </c>
      <c r="X881" s="2">
        <v>1392</v>
      </c>
      <c r="Z881" t="str">
        <f>"Y"</f>
        <v>Y</v>
      </c>
      <c r="AA881">
        <v>0</v>
      </c>
      <c r="AC881">
        <v>0</v>
      </c>
      <c r="AE881">
        <v>0</v>
      </c>
      <c r="AF881">
        <v>0</v>
      </c>
      <c r="AG881">
        <v>581.86</v>
      </c>
      <c r="AH881">
        <v>0</v>
      </c>
      <c r="AI881" s="2">
        <v>4654.8500000000004</v>
      </c>
      <c r="AJ881" s="2">
        <v>1392</v>
      </c>
      <c r="AK881" s="2">
        <v>1392</v>
      </c>
      <c r="AL881" t="str">
        <f>"$"</f>
        <v>$</v>
      </c>
    </row>
    <row r="882" spans="1:38" x14ac:dyDescent="0.3">
      <c r="A882" t="str">
        <f>"SO20000532"</f>
        <v>SO20000532</v>
      </c>
      <c r="B882" t="str">
        <f>"E000321177"</f>
        <v>E000321177</v>
      </c>
      <c r="C882" t="str">
        <f>"בוצעה"</f>
        <v>בוצעה</v>
      </c>
      <c r="E882" s="3">
        <v>44155</v>
      </c>
      <c r="F882" s="3">
        <v>44378</v>
      </c>
      <c r="G882" t="str">
        <f>"700065"</f>
        <v>700065</v>
      </c>
      <c r="H882" t="str">
        <f>"אלתא מערכות בע""מ"</f>
        <v>אלתא מערכות בע"מ</v>
      </c>
      <c r="I882" t="str">
        <f>"ערן שלו"</f>
        <v>ערן שלו</v>
      </c>
      <c r="J882" t="str">
        <f>"OP-AR02125"</f>
        <v>OP-AR02125</v>
      </c>
      <c r="K882" s="1" t="str">
        <f>"1032F941-001/-   ETHERNET CABLE MFR-W941 - FILTE"</f>
        <v>1032F941-001/-   ETHERNET CABLE MFR-W941 - FILTE</v>
      </c>
      <c r="L882">
        <v>4</v>
      </c>
      <c r="M882" t="str">
        <f>"PR20000834"</f>
        <v>PR20000834</v>
      </c>
      <c r="N882" t="str">
        <f>"BEL"</f>
        <v>BEL</v>
      </c>
      <c r="O882">
        <v>174</v>
      </c>
      <c r="P882" t="str">
        <f>"$"</f>
        <v>$</v>
      </c>
      <c r="Q882" t="str">
        <f>"117"</f>
        <v>117</v>
      </c>
      <c r="R882" t="str">
        <f>"רתמות"</f>
        <v>רתמות</v>
      </c>
      <c r="S882" t="str">
        <f>"034"</f>
        <v>034</v>
      </c>
      <c r="T882" t="str">
        <f>"מוסקוביץ אולגה"</f>
        <v>מוסקוביץ אולגה</v>
      </c>
      <c r="U882">
        <v>0</v>
      </c>
      <c r="V882">
        <v>0</v>
      </c>
      <c r="W882">
        <v>174</v>
      </c>
      <c r="X882">
        <v>696</v>
      </c>
      <c r="Z882" t="str">
        <f>"Y"</f>
        <v>Y</v>
      </c>
      <c r="AA882">
        <v>0</v>
      </c>
      <c r="AC882">
        <v>0</v>
      </c>
      <c r="AE882">
        <v>0</v>
      </c>
      <c r="AF882">
        <v>0</v>
      </c>
      <c r="AG882">
        <v>581.86</v>
      </c>
      <c r="AH882">
        <v>0</v>
      </c>
      <c r="AI882" s="2">
        <v>2327.42</v>
      </c>
      <c r="AJ882">
        <v>696</v>
      </c>
      <c r="AK882">
        <v>696</v>
      </c>
      <c r="AL882" t="str">
        <f>"$"</f>
        <v>$</v>
      </c>
    </row>
    <row r="883" spans="1:38" x14ac:dyDescent="0.3">
      <c r="A883" t="str">
        <f>"SO20000532"</f>
        <v>SO20000532</v>
      </c>
      <c r="B883" t="str">
        <f>"E000321177"</f>
        <v>E000321177</v>
      </c>
      <c r="C883" t="str">
        <f>"בוצעה"</f>
        <v>בוצעה</v>
      </c>
      <c r="E883" s="3">
        <v>44155</v>
      </c>
      <c r="F883" s="3">
        <v>44378</v>
      </c>
      <c r="G883" t="str">
        <f>"700065"</f>
        <v>700065</v>
      </c>
      <c r="H883" t="str">
        <f>"אלתא מערכות בע""מ"</f>
        <v>אלתא מערכות בע"מ</v>
      </c>
      <c r="I883" t="str">
        <f>"ערן שלו"</f>
        <v>ערן שלו</v>
      </c>
      <c r="J883" t="str">
        <f>"OP-AR02125"</f>
        <v>OP-AR02125</v>
      </c>
      <c r="K883" s="1" t="str">
        <f>"1032F941-001/-   ETHERNET CABLE MFR-W941 - FILTE"</f>
        <v>1032F941-001/-   ETHERNET CABLE MFR-W941 - FILTE</v>
      </c>
      <c r="L883">
        <v>4</v>
      </c>
      <c r="M883" t="str">
        <f>"PR20000834"</f>
        <v>PR20000834</v>
      </c>
      <c r="N883" t="str">
        <f>"BEL"</f>
        <v>BEL</v>
      </c>
      <c r="O883">
        <v>174</v>
      </c>
      <c r="P883" t="str">
        <f>"$"</f>
        <v>$</v>
      </c>
      <c r="Q883" t="str">
        <f>"117"</f>
        <v>117</v>
      </c>
      <c r="R883" t="str">
        <f>"רתמות"</f>
        <v>רתמות</v>
      </c>
      <c r="S883" t="str">
        <f>"034"</f>
        <v>034</v>
      </c>
      <c r="T883" t="str">
        <f>"מוסקוביץ אולגה"</f>
        <v>מוסקוביץ אולגה</v>
      </c>
      <c r="U883">
        <v>0</v>
      </c>
      <c r="V883">
        <v>0</v>
      </c>
      <c r="W883">
        <v>174</v>
      </c>
      <c r="X883">
        <v>696</v>
      </c>
      <c r="Z883" t="str">
        <f>"Y"</f>
        <v>Y</v>
      </c>
      <c r="AA883">
        <v>0</v>
      </c>
      <c r="AC883">
        <v>0</v>
      </c>
      <c r="AE883">
        <v>0</v>
      </c>
      <c r="AF883">
        <v>0</v>
      </c>
      <c r="AG883">
        <v>581.86</v>
      </c>
      <c r="AH883">
        <v>0</v>
      </c>
      <c r="AI883" s="2">
        <v>2327.42</v>
      </c>
      <c r="AJ883">
        <v>696</v>
      </c>
      <c r="AK883">
        <v>696</v>
      </c>
      <c r="AL883" t="str">
        <f>"$"</f>
        <v>$</v>
      </c>
    </row>
    <row r="884" spans="1:38" x14ac:dyDescent="0.3">
      <c r="A884" t="str">
        <f>"SO20000532"</f>
        <v>SO20000532</v>
      </c>
      <c r="B884" t="str">
        <f>"E000321177"</f>
        <v>E000321177</v>
      </c>
      <c r="C884" t="str">
        <f>"בוצעה"</f>
        <v>בוצעה</v>
      </c>
      <c r="E884" s="3">
        <v>44155</v>
      </c>
      <c r="F884" s="3">
        <v>44593</v>
      </c>
      <c r="G884" t="str">
        <f>"700065"</f>
        <v>700065</v>
      </c>
      <c r="H884" t="str">
        <f>"אלתא מערכות בע""מ"</f>
        <v>אלתא מערכות בע"מ</v>
      </c>
      <c r="I884" t="str">
        <f>"ערן שלו"</f>
        <v>ערן שלו</v>
      </c>
      <c r="J884" t="str">
        <f>"OP-AR02125"</f>
        <v>OP-AR02125</v>
      </c>
      <c r="K884" s="1" t="str">
        <f>"1032F941-001/-   ETHERNET CABLE MFR-W941 - FILTE"</f>
        <v>1032F941-001/-   ETHERNET CABLE MFR-W941 - FILTE</v>
      </c>
      <c r="L884">
        <v>4</v>
      </c>
      <c r="M884" t="str">
        <f>"PR20000834"</f>
        <v>PR20000834</v>
      </c>
      <c r="N884" t="str">
        <f>"BEL"</f>
        <v>BEL</v>
      </c>
      <c r="O884">
        <v>174</v>
      </c>
      <c r="P884" t="str">
        <f>"$"</f>
        <v>$</v>
      </c>
      <c r="Q884" t="str">
        <f>"117"</f>
        <v>117</v>
      </c>
      <c r="R884" t="str">
        <f>"רתמות"</f>
        <v>רתמות</v>
      </c>
      <c r="S884" t="str">
        <f>"034"</f>
        <v>034</v>
      </c>
      <c r="T884" t="str">
        <f>"מוסקוביץ אולגה"</f>
        <v>מוסקוביץ אולגה</v>
      </c>
      <c r="U884">
        <v>0</v>
      </c>
      <c r="V884">
        <v>0</v>
      </c>
      <c r="W884">
        <v>174</v>
      </c>
      <c r="X884">
        <v>696</v>
      </c>
      <c r="Z884" t="str">
        <f>"Y"</f>
        <v>Y</v>
      </c>
      <c r="AA884">
        <v>0</v>
      </c>
      <c r="AC884">
        <v>0</v>
      </c>
      <c r="AE884">
        <v>0</v>
      </c>
      <c r="AF884">
        <v>0</v>
      </c>
      <c r="AG884">
        <v>581.86</v>
      </c>
      <c r="AH884">
        <v>0</v>
      </c>
      <c r="AI884" s="2">
        <v>2327.42</v>
      </c>
      <c r="AJ884">
        <v>696</v>
      </c>
      <c r="AK884">
        <v>696</v>
      </c>
      <c r="AL884" t="str">
        <f>"$"</f>
        <v>$</v>
      </c>
    </row>
    <row r="885" spans="1:38" x14ac:dyDescent="0.3">
      <c r="A885" t="str">
        <f>"SO20000532"</f>
        <v>SO20000532</v>
      </c>
      <c r="B885" t="str">
        <f>"E000321177"</f>
        <v>E000321177</v>
      </c>
      <c r="C885" t="str">
        <f>"בוצעה"</f>
        <v>בוצעה</v>
      </c>
      <c r="E885" s="3">
        <v>44155</v>
      </c>
      <c r="F885" s="3">
        <v>45047</v>
      </c>
      <c r="G885" t="str">
        <f>"700065"</f>
        <v>700065</v>
      </c>
      <c r="H885" t="str">
        <f>"אלתא מערכות בע""מ"</f>
        <v>אלתא מערכות בע"מ</v>
      </c>
      <c r="I885" t="str">
        <f>"ערן שלו"</f>
        <v>ערן שלו</v>
      </c>
      <c r="J885" t="str">
        <f>"OP-AR02125"</f>
        <v>OP-AR02125</v>
      </c>
      <c r="K885" s="1" t="str">
        <f>"1032F941-001/-   ETHERNET CABLE MFR-W941 - FILTE"</f>
        <v>1032F941-001/-   ETHERNET CABLE MFR-W941 - FILTE</v>
      </c>
      <c r="L885">
        <v>4</v>
      </c>
      <c r="M885" t="str">
        <f>"PR20000834"</f>
        <v>PR20000834</v>
      </c>
      <c r="N885" t="str">
        <f>"BEL"</f>
        <v>BEL</v>
      </c>
      <c r="O885">
        <v>174</v>
      </c>
      <c r="P885" t="str">
        <f>"$"</f>
        <v>$</v>
      </c>
      <c r="Q885" t="str">
        <f>"117"</f>
        <v>117</v>
      </c>
      <c r="R885" t="str">
        <f>"רתמות"</f>
        <v>רתמות</v>
      </c>
      <c r="S885" t="str">
        <f>"034"</f>
        <v>034</v>
      </c>
      <c r="T885" t="str">
        <f>"מוסקוביץ אולגה"</f>
        <v>מוסקוביץ אולגה</v>
      </c>
      <c r="U885">
        <v>0</v>
      </c>
      <c r="V885">
        <v>0</v>
      </c>
      <c r="W885">
        <v>174</v>
      </c>
      <c r="X885">
        <v>696</v>
      </c>
      <c r="Z885" t="str">
        <f>"Y"</f>
        <v>Y</v>
      </c>
      <c r="AA885">
        <v>0</v>
      </c>
      <c r="AC885">
        <v>0</v>
      </c>
      <c r="AE885">
        <v>0</v>
      </c>
      <c r="AF885">
        <v>0</v>
      </c>
      <c r="AG885">
        <v>581.86</v>
      </c>
      <c r="AH885">
        <v>0</v>
      </c>
      <c r="AI885" s="2">
        <v>2327.42</v>
      </c>
      <c r="AJ885">
        <v>696</v>
      </c>
      <c r="AK885">
        <v>696</v>
      </c>
      <c r="AL885" t="str">
        <f>"$"</f>
        <v>$</v>
      </c>
    </row>
    <row r="886" spans="1:38" x14ac:dyDescent="0.3">
      <c r="A886" t="str">
        <f>"SO20000532"</f>
        <v>SO20000532</v>
      </c>
      <c r="B886" t="str">
        <f>"E000321177"</f>
        <v>E000321177</v>
      </c>
      <c r="C886" t="str">
        <f>"בוצעה"</f>
        <v>בוצעה</v>
      </c>
      <c r="E886" s="3">
        <v>44155</v>
      </c>
      <c r="F886" s="3">
        <v>45047</v>
      </c>
      <c r="G886" t="str">
        <f>"700065"</f>
        <v>700065</v>
      </c>
      <c r="H886" t="str">
        <f>"אלתא מערכות בע""מ"</f>
        <v>אלתא מערכות בע"מ</v>
      </c>
      <c r="I886" t="str">
        <f>"ערן שלו"</f>
        <v>ערן שלו</v>
      </c>
      <c r="J886" t="str">
        <f>"OP-AR02125"</f>
        <v>OP-AR02125</v>
      </c>
      <c r="K886" s="1" t="str">
        <f>"1032F941-001/-   ETHERNET CABLE MFR-W941 - FILTE"</f>
        <v>1032F941-001/-   ETHERNET CABLE MFR-W941 - FILTE</v>
      </c>
      <c r="L886">
        <v>4</v>
      </c>
      <c r="M886" t="str">
        <f>"PR20000834"</f>
        <v>PR20000834</v>
      </c>
      <c r="N886" t="str">
        <f>"BEL"</f>
        <v>BEL</v>
      </c>
      <c r="O886">
        <v>174</v>
      </c>
      <c r="P886" t="str">
        <f>"$"</f>
        <v>$</v>
      </c>
      <c r="Q886" t="str">
        <f>"117"</f>
        <v>117</v>
      </c>
      <c r="R886" t="str">
        <f>"רתמות"</f>
        <v>רתמות</v>
      </c>
      <c r="S886" t="str">
        <f>"034"</f>
        <v>034</v>
      </c>
      <c r="T886" t="str">
        <f>"מוסקוביץ אולגה"</f>
        <v>מוסקוביץ אולגה</v>
      </c>
      <c r="U886">
        <v>0</v>
      </c>
      <c r="V886">
        <v>0</v>
      </c>
      <c r="W886">
        <v>174</v>
      </c>
      <c r="X886">
        <v>696</v>
      </c>
      <c r="Z886" t="str">
        <f>"Y"</f>
        <v>Y</v>
      </c>
      <c r="AA886">
        <v>0</v>
      </c>
      <c r="AC886">
        <v>0</v>
      </c>
      <c r="AE886">
        <v>0</v>
      </c>
      <c r="AF886">
        <v>0</v>
      </c>
      <c r="AG886">
        <v>581.86</v>
      </c>
      <c r="AH886">
        <v>0</v>
      </c>
      <c r="AI886" s="2">
        <v>2327.42</v>
      </c>
      <c r="AJ886">
        <v>696</v>
      </c>
      <c r="AK886">
        <v>696</v>
      </c>
      <c r="AL886" t="str">
        <f>"$"</f>
        <v>$</v>
      </c>
    </row>
    <row r="887" spans="1:38" x14ac:dyDescent="0.3">
      <c r="A887" t="str">
        <f>"SO20000532"</f>
        <v>SO20000532</v>
      </c>
      <c r="B887" t="str">
        <f>"E000321177"</f>
        <v>E000321177</v>
      </c>
      <c r="C887" t="str">
        <f>"בוצעה"</f>
        <v>בוצעה</v>
      </c>
      <c r="E887" s="3">
        <v>44155</v>
      </c>
      <c r="F887" s="3">
        <v>44242</v>
      </c>
      <c r="G887" t="str">
        <f>"700065"</f>
        <v>700065</v>
      </c>
      <c r="H887" t="str">
        <f>"אלתא מערכות בע""מ"</f>
        <v>אלתא מערכות בע"מ</v>
      </c>
      <c r="I887" t="str">
        <f>"ערן שלו"</f>
        <v>ערן שלו</v>
      </c>
      <c r="J887" t="str">
        <f>"OP-AR02126"</f>
        <v>OP-AR02126</v>
      </c>
      <c r="K887" s="1" t="str">
        <f>"1032F942-001/-   ETHERNET CABLE MFR-W942 - FILTE"</f>
        <v>1032F942-001/-   ETHERNET CABLE MFR-W942 - FILTE</v>
      </c>
      <c r="L887">
        <v>8</v>
      </c>
      <c r="M887" t="str">
        <f>"PR20000834"</f>
        <v>PR20000834</v>
      </c>
      <c r="N887" t="str">
        <f>"BEL"</f>
        <v>BEL</v>
      </c>
      <c r="O887">
        <v>174</v>
      </c>
      <c r="P887" t="str">
        <f>"$"</f>
        <v>$</v>
      </c>
      <c r="Q887" t="str">
        <f>"117"</f>
        <v>117</v>
      </c>
      <c r="R887" t="str">
        <f>"רתמות"</f>
        <v>רתמות</v>
      </c>
      <c r="S887" t="str">
        <f>"034"</f>
        <v>034</v>
      </c>
      <c r="T887" t="str">
        <f>"מוסקוביץ אולגה"</f>
        <v>מוסקוביץ אולגה</v>
      </c>
      <c r="U887">
        <v>0</v>
      </c>
      <c r="V887">
        <v>0</v>
      </c>
      <c r="W887">
        <v>174</v>
      </c>
      <c r="X887" s="2">
        <v>1392</v>
      </c>
      <c r="Z887" t="str">
        <f>"Y"</f>
        <v>Y</v>
      </c>
      <c r="AA887">
        <v>0</v>
      </c>
      <c r="AC887">
        <v>0</v>
      </c>
      <c r="AE887">
        <v>0</v>
      </c>
      <c r="AF887">
        <v>0</v>
      </c>
      <c r="AG887">
        <v>581.86</v>
      </c>
      <c r="AH887">
        <v>0</v>
      </c>
      <c r="AI887" s="2">
        <v>4654.8500000000004</v>
      </c>
      <c r="AJ887" s="2">
        <v>1392</v>
      </c>
      <c r="AK887" s="2">
        <v>1392</v>
      </c>
      <c r="AL887" t="str">
        <f>"$"</f>
        <v>$</v>
      </c>
    </row>
    <row r="888" spans="1:38" x14ac:dyDescent="0.3">
      <c r="A888" t="str">
        <f>"SO20000532"</f>
        <v>SO20000532</v>
      </c>
      <c r="B888" t="str">
        <f>"E000321177"</f>
        <v>E000321177</v>
      </c>
      <c r="C888" t="str">
        <f>"בוצעה"</f>
        <v>בוצעה</v>
      </c>
      <c r="E888" s="3">
        <v>44155</v>
      </c>
      <c r="F888" s="3">
        <v>44378</v>
      </c>
      <c r="G888" t="str">
        <f>"700065"</f>
        <v>700065</v>
      </c>
      <c r="H888" t="str">
        <f>"אלתא מערכות בע""מ"</f>
        <v>אלתא מערכות בע"מ</v>
      </c>
      <c r="I888" t="str">
        <f>"ערן שלו"</f>
        <v>ערן שלו</v>
      </c>
      <c r="J888" t="str">
        <f>"OP-AR02126"</f>
        <v>OP-AR02126</v>
      </c>
      <c r="K888" s="1" t="str">
        <f>"1032F942-001/-   ETHERNET CABLE MFR-W942 - FILTE"</f>
        <v>1032F942-001/-   ETHERNET CABLE MFR-W942 - FILTE</v>
      </c>
      <c r="L888">
        <v>4</v>
      </c>
      <c r="M888" t="str">
        <f>"PR20000834"</f>
        <v>PR20000834</v>
      </c>
      <c r="N888" t="str">
        <f>"BEL"</f>
        <v>BEL</v>
      </c>
      <c r="O888">
        <v>174</v>
      </c>
      <c r="P888" t="str">
        <f>"$"</f>
        <v>$</v>
      </c>
      <c r="Q888" t="str">
        <f>"117"</f>
        <v>117</v>
      </c>
      <c r="R888" t="str">
        <f>"רתמות"</f>
        <v>רתמות</v>
      </c>
      <c r="S888" t="str">
        <f>"034"</f>
        <v>034</v>
      </c>
      <c r="T888" t="str">
        <f>"מוסקוביץ אולגה"</f>
        <v>מוסקוביץ אולגה</v>
      </c>
      <c r="U888">
        <v>0</v>
      </c>
      <c r="V888">
        <v>0</v>
      </c>
      <c r="W888">
        <v>174</v>
      </c>
      <c r="X888">
        <v>696</v>
      </c>
      <c r="Z888" t="str">
        <f>"Y"</f>
        <v>Y</v>
      </c>
      <c r="AA888">
        <v>0</v>
      </c>
      <c r="AC888">
        <v>0</v>
      </c>
      <c r="AE888">
        <v>0</v>
      </c>
      <c r="AF888">
        <v>0</v>
      </c>
      <c r="AG888">
        <v>581.86</v>
      </c>
      <c r="AH888">
        <v>0</v>
      </c>
      <c r="AI888" s="2">
        <v>2327.42</v>
      </c>
      <c r="AJ888">
        <v>696</v>
      </c>
      <c r="AK888">
        <v>696</v>
      </c>
      <c r="AL888" t="str">
        <f>"$"</f>
        <v>$</v>
      </c>
    </row>
    <row r="889" spans="1:38" x14ac:dyDescent="0.3">
      <c r="A889" t="str">
        <f>"SO20000532"</f>
        <v>SO20000532</v>
      </c>
      <c r="B889" t="str">
        <f>"E000321177"</f>
        <v>E000321177</v>
      </c>
      <c r="C889" t="str">
        <f>"בוצעה"</f>
        <v>בוצעה</v>
      </c>
      <c r="E889" s="3">
        <v>44155</v>
      </c>
      <c r="F889" s="3">
        <v>44378</v>
      </c>
      <c r="G889" t="str">
        <f>"700065"</f>
        <v>700065</v>
      </c>
      <c r="H889" t="str">
        <f>"אלתא מערכות בע""מ"</f>
        <v>אלתא מערכות בע"מ</v>
      </c>
      <c r="I889" t="str">
        <f>"ערן שלו"</f>
        <v>ערן שלו</v>
      </c>
      <c r="J889" t="str">
        <f>"OP-AR02126"</f>
        <v>OP-AR02126</v>
      </c>
      <c r="K889" s="1" t="str">
        <f>"1032F942-001/-   ETHERNET CABLE MFR-W942 - FILTE"</f>
        <v>1032F942-001/-   ETHERNET CABLE MFR-W942 - FILTE</v>
      </c>
      <c r="L889">
        <v>4</v>
      </c>
      <c r="M889" t="str">
        <f>"PR20000834"</f>
        <v>PR20000834</v>
      </c>
      <c r="N889" t="str">
        <f>"BEL"</f>
        <v>BEL</v>
      </c>
      <c r="O889">
        <v>174</v>
      </c>
      <c r="P889" t="str">
        <f>"$"</f>
        <v>$</v>
      </c>
      <c r="Q889" t="str">
        <f>"117"</f>
        <v>117</v>
      </c>
      <c r="R889" t="str">
        <f>"רתמות"</f>
        <v>רתמות</v>
      </c>
      <c r="S889" t="str">
        <f>"034"</f>
        <v>034</v>
      </c>
      <c r="T889" t="str">
        <f>"מוסקוביץ אולגה"</f>
        <v>מוסקוביץ אולגה</v>
      </c>
      <c r="U889">
        <v>0</v>
      </c>
      <c r="V889">
        <v>0</v>
      </c>
      <c r="W889">
        <v>174</v>
      </c>
      <c r="X889">
        <v>696</v>
      </c>
      <c r="Z889" t="str">
        <f>"Y"</f>
        <v>Y</v>
      </c>
      <c r="AA889">
        <v>0</v>
      </c>
      <c r="AC889">
        <v>0</v>
      </c>
      <c r="AE889">
        <v>0</v>
      </c>
      <c r="AF889">
        <v>0</v>
      </c>
      <c r="AG889">
        <v>581.86</v>
      </c>
      <c r="AH889">
        <v>0</v>
      </c>
      <c r="AI889" s="2">
        <v>2327.42</v>
      </c>
      <c r="AJ889">
        <v>696</v>
      </c>
      <c r="AK889">
        <v>696</v>
      </c>
      <c r="AL889" t="str">
        <f>"$"</f>
        <v>$</v>
      </c>
    </row>
    <row r="890" spans="1:38" x14ac:dyDescent="0.3">
      <c r="A890" t="str">
        <f>"SO20000532"</f>
        <v>SO20000532</v>
      </c>
      <c r="B890" t="str">
        <f>"E000321177"</f>
        <v>E000321177</v>
      </c>
      <c r="C890" t="str">
        <f>"בוצעה"</f>
        <v>בוצעה</v>
      </c>
      <c r="E890" s="3">
        <v>44155</v>
      </c>
      <c r="F890" s="3">
        <v>44593</v>
      </c>
      <c r="G890" t="str">
        <f>"700065"</f>
        <v>700065</v>
      </c>
      <c r="H890" t="str">
        <f>"אלתא מערכות בע""מ"</f>
        <v>אלתא מערכות בע"מ</v>
      </c>
      <c r="I890" t="str">
        <f>"ערן שלו"</f>
        <v>ערן שלו</v>
      </c>
      <c r="J890" t="str">
        <f>"OP-AR02126"</f>
        <v>OP-AR02126</v>
      </c>
      <c r="K890" s="1" t="str">
        <f>"1032F942-001/-   ETHERNET CABLE MFR-W942 - FILTE"</f>
        <v>1032F942-001/-   ETHERNET CABLE MFR-W942 - FILTE</v>
      </c>
      <c r="L890">
        <v>4</v>
      </c>
      <c r="M890" t="str">
        <f>"PR20000834"</f>
        <v>PR20000834</v>
      </c>
      <c r="N890" t="str">
        <f>"BEL"</f>
        <v>BEL</v>
      </c>
      <c r="O890">
        <v>174</v>
      </c>
      <c r="P890" t="str">
        <f>"$"</f>
        <v>$</v>
      </c>
      <c r="Q890" t="str">
        <f>"117"</f>
        <v>117</v>
      </c>
      <c r="R890" t="str">
        <f>"רתמות"</f>
        <v>רתמות</v>
      </c>
      <c r="S890" t="str">
        <f>"034"</f>
        <v>034</v>
      </c>
      <c r="T890" t="str">
        <f>"מוסקוביץ אולגה"</f>
        <v>מוסקוביץ אולגה</v>
      </c>
      <c r="U890">
        <v>0</v>
      </c>
      <c r="V890">
        <v>0</v>
      </c>
      <c r="W890">
        <v>174</v>
      </c>
      <c r="X890">
        <v>696</v>
      </c>
      <c r="Z890" t="str">
        <f>"Y"</f>
        <v>Y</v>
      </c>
      <c r="AA890">
        <v>0</v>
      </c>
      <c r="AC890">
        <v>0</v>
      </c>
      <c r="AE890">
        <v>0</v>
      </c>
      <c r="AF890">
        <v>0</v>
      </c>
      <c r="AG890">
        <v>581.86</v>
      </c>
      <c r="AH890">
        <v>0</v>
      </c>
      <c r="AI890" s="2">
        <v>2327.42</v>
      </c>
      <c r="AJ890">
        <v>696</v>
      </c>
      <c r="AK890">
        <v>696</v>
      </c>
      <c r="AL890" t="str">
        <f>"$"</f>
        <v>$</v>
      </c>
    </row>
    <row r="891" spans="1:38" x14ac:dyDescent="0.3">
      <c r="A891" t="str">
        <f>"SO20000532"</f>
        <v>SO20000532</v>
      </c>
      <c r="B891" t="str">
        <f>"E000321177"</f>
        <v>E000321177</v>
      </c>
      <c r="C891" t="str">
        <f>"בוצעה"</f>
        <v>בוצעה</v>
      </c>
      <c r="E891" s="3">
        <v>44155</v>
      </c>
      <c r="F891" s="3">
        <v>45047</v>
      </c>
      <c r="G891" t="str">
        <f>"700065"</f>
        <v>700065</v>
      </c>
      <c r="H891" t="str">
        <f>"אלתא מערכות בע""מ"</f>
        <v>אלתא מערכות בע"מ</v>
      </c>
      <c r="I891" t="str">
        <f>"ערן שלו"</f>
        <v>ערן שלו</v>
      </c>
      <c r="J891" t="str">
        <f>"OP-AR02126"</f>
        <v>OP-AR02126</v>
      </c>
      <c r="K891" s="1" t="str">
        <f>"1032F942-001/-   ETHERNET CABLE MFR-W942 - FILTE"</f>
        <v>1032F942-001/-   ETHERNET CABLE MFR-W942 - FILTE</v>
      </c>
      <c r="L891">
        <v>4</v>
      </c>
      <c r="M891" t="str">
        <f>"PR20000834"</f>
        <v>PR20000834</v>
      </c>
      <c r="N891" t="str">
        <f>"BEL"</f>
        <v>BEL</v>
      </c>
      <c r="O891">
        <v>174</v>
      </c>
      <c r="P891" t="str">
        <f>"$"</f>
        <v>$</v>
      </c>
      <c r="Q891" t="str">
        <f>"117"</f>
        <v>117</v>
      </c>
      <c r="R891" t="str">
        <f>"רתמות"</f>
        <v>רתמות</v>
      </c>
      <c r="S891" t="str">
        <f>"034"</f>
        <v>034</v>
      </c>
      <c r="T891" t="str">
        <f>"מוסקוביץ אולגה"</f>
        <v>מוסקוביץ אולגה</v>
      </c>
      <c r="U891">
        <v>0</v>
      </c>
      <c r="V891">
        <v>0</v>
      </c>
      <c r="W891">
        <v>174</v>
      </c>
      <c r="X891">
        <v>696</v>
      </c>
      <c r="Z891" t="str">
        <f>"Y"</f>
        <v>Y</v>
      </c>
      <c r="AA891">
        <v>0</v>
      </c>
      <c r="AC891">
        <v>0</v>
      </c>
      <c r="AE891">
        <v>0</v>
      </c>
      <c r="AF891">
        <v>0</v>
      </c>
      <c r="AG891">
        <v>581.86</v>
      </c>
      <c r="AH891">
        <v>0</v>
      </c>
      <c r="AI891" s="2">
        <v>2327.42</v>
      </c>
      <c r="AJ891">
        <v>696</v>
      </c>
      <c r="AK891">
        <v>696</v>
      </c>
      <c r="AL891" t="str">
        <f>"$"</f>
        <v>$</v>
      </c>
    </row>
    <row r="892" spans="1:38" x14ac:dyDescent="0.3">
      <c r="A892" t="str">
        <f>"SO20000532"</f>
        <v>SO20000532</v>
      </c>
      <c r="B892" t="str">
        <f>"E000321177"</f>
        <v>E000321177</v>
      </c>
      <c r="C892" t="str">
        <f>"בוצעה"</f>
        <v>בוצעה</v>
      </c>
      <c r="E892" s="3">
        <v>44155</v>
      </c>
      <c r="F892" s="3">
        <v>45047</v>
      </c>
      <c r="G892" t="str">
        <f>"700065"</f>
        <v>700065</v>
      </c>
      <c r="H892" t="str">
        <f>"אלתא מערכות בע""מ"</f>
        <v>אלתא מערכות בע"מ</v>
      </c>
      <c r="I892" t="str">
        <f>"ערן שלו"</f>
        <v>ערן שלו</v>
      </c>
      <c r="J892" t="str">
        <f>"OP-AR02126"</f>
        <v>OP-AR02126</v>
      </c>
      <c r="K892" s="1" t="str">
        <f>"1032F942-001/-   ETHERNET CABLE MFR-W942 - FILTE"</f>
        <v>1032F942-001/-   ETHERNET CABLE MFR-W942 - FILTE</v>
      </c>
      <c r="L892">
        <v>4</v>
      </c>
      <c r="M892" t="str">
        <f>"PR20000834"</f>
        <v>PR20000834</v>
      </c>
      <c r="N892" t="str">
        <f>"BEL"</f>
        <v>BEL</v>
      </c>
      <c r="O892">
        <v>174</v>
      </c>
      <c r="P892" t="str">
        <f>"$"</f>
        <v>$</v>
      </c>
      <c r="Q892" t="str">
        <f>"117"</f>
        <v>117</v>
      </c>
      <c r="R892" t="str">
        <f>"רתמות"</f>
        <v>רתמות</v>
      </c>
      <c r="S892" t="str">
        <f>"034"</f>
        <v>034</v>
      </c>
      <c r="T892" t="str">
        <f>"מוסקוביץ אולגה"</f>
        <v>מוסקוביץ אולגה</v>
      </c>
      <c r="U892">
        <v>0</v>
      </c>
      <c r="V892">
        <v>0</v>
      </c>
      <c r="W892">
        <v>174</v>
      </c>
      <c r="X892">
        <v>696</v>
      </c>
      <c r="Z892" t="str">
        <f>"Y"</f>
        <v>Y</v>
      </c>
      <c r="AA892">
        <v>0</v>
      </c>
      <c r="AC892">
        <v>0</v>
      </c>
      <c r="AE892">
        <v>0</v>
      </c>
      <c r="AF892">
        <v>0</v>
      </c>
      <c r="AG892">
        <v>581.86</v>
      </c>
      <c r="AH892">
        <v>0</v>
      </c>
      <c r="AI892" s="2">
        <v>2327.42</v>
      </c>
      <c r="AJ892">
        <v>696</v>
      </c>
      <c r="AK892">
        <v>696</v>
      </c>
      <c r="AL892" t="str">
        <f>"$"</f>
        <v>$</v>
      </c>
    </row>
    <row r="893" spans="1:38" x14ac:dyDescent="0.3">
      <c r="A893" t="str">
        <f>"SO20000532"</f>
        <v>SO20000532</v>
      </c>
      <c r="B893" t="str">
        <f>"E000321177"</f>
        <v>E000321177</v>
      </c>
      <c r="C893" t="str">
        <f>"בוצעה"</f>
        <v>בוצעה</v>
      </c>
      <c r="E893" s="3">
        <v>44155</v>
      </c>
      <c r="F893" s="3">
        <v>44242</v>
      </c>
      <c r="G893" t="str">
        <f>"700065"</f>
        <v>700065</v>
      </c>
      <c r="H893" t="str">
        <f>"אלתא מערכות בע""מ"</f>
        <v>אלתא מערכות בע"מ</v>
      </c>
      <c r="I893" t="str">
        <f>"ערן שלו"</f>
        <v>ערן שלו</v>
      </c>
      <c r="J893" t="str">
        <f>"OP-AR02127"</f>
        <v>OP-AR02127</v>
      </c>
      <c r="K893" s="1" t="str">
        <f>"1032F943-001/-   ETHERNET CABLE MFR-W943 - FILTE"</f>
        <v>1032F943-001/-   ETHERNET CABLE MFR-W943 - FILTE</v>
      </c>
      <c r="L893">
        <v>8</v>
      </c>
      <c r="M893" t="str">
        <f>"PR20000834"</f>
        <v>PR20000834</v>
      </c>
      <c r="N893" t="str">
        <f>"BEL"</f>
        <v>BEL</v>
      </c>
      <c r="O893">
        <v>174</v>
      </c>
      <c r="P893" t="str">
        <f>"$"</f>
        <v>$</v>
      </c>
      <c r="Q893" t="str">
        <f>"117"</f>
        <v>117</v>
      </c>
      <c r="R893" t="str">
        <f>"רתמות"</f>
        <v>רתמות</v>
      </c>
      <c r="S893" t="str">
        <f>"034"</f>
        <v>034</v>
      </c>
      <c r="T893" t="str">
        <f>"מוסקוביץ אולגה"</f>
        <v>מוסקוביץ אולגה</v>
      </c>
      <c r="U893">
        <v>0</v>
      </c>
      <c r="V893">
        <v>0</v>
      </c>
      <c r="W893">
        <v>174</v>
      </c>
      <c r="X893" s="2">
        <v>1392</v>
      </c>
      <c r="Z893" t="str">
        <f>"Y"</f>
        <v>Y</v>
      </c>
      <c r="AA893">
        <v>0</v>
      </c>
      <c r="AC893">
        <v>0</v>
      </c>
      <c r="AE893">
        <v>0</v>
      </c>
      <c r="AF893">
        <v>0</v>
      </c>
      <c r="AG893">
        <v>581.86</v>
      </c>
      <c r="AH893">
        <v>0</v>
      </c>
      <c r="AI893" s="2">
        <v>4654.8500000000004</v>
      </c>
      <c r="AJ893" s="2">
        <v>1392</v>
      </c>
      <c r="AK893" s="2">
        <v>1392</v>
      </c>
      <c r="AL893" t="str">
        <f>"$"</f>
        <v>$</v>
      </c>
    </row>
    <row r="894" spans="1:38" x14ac:dyDescent="0.3">
      <c r="A894" t="str">
        <f>"SO20000532"</f>
        <v>SO20000532</v>
      </c>
      <c r="B894" t="str">
        <f>"E000321177"</f>
        <v>E000321177</v>
      </c>
      <c r="C894" t="str">
        <f>"בוצעה"</f>
        <v>בוצעה</v>
      </c>
      <c r="E894" s="3">
        <v>44155</v>
      </c>
      <c r="F894" s="3">
        <v>44378</v>
      </c>
      <c r="G894" t="str">
        <f>"700065"</f>
        <v>700065</v>
      </c>
      <c r="H894" t="str">
        <f>"אלתא מערכות בע""מ"</f>
        <v>אלתא מערכות בע"מ</v>
      </c>
      <c r="I894" t="str">
        <f>"ערן שלו"</f>
        <v>ערן שלו</v>
      </c>
      <c r="J894" t="str">
        <f>"OP-AR02127"</f>
        <v>OP-AR02127</v>
      </c>
      <c r="K894" s="1" t="str">
        <f>"1032F943-001/-   ETHERNET CABLE MFR-W943 - FILTE"</f>
        <v>1032F943-001/-   ETHERNET CABLE MFR-W943 - FILTE</v>
      </c>
      <c r="L894">
        <v>4</v>
      </c>
      <c r="M894" t="str">
        <f>"PR20000834"</f>
        <v>PR20000834</v>
      </c>
      <c r="N894" t="str">
        <f>"BEL"</f>
        <v>BEL</v>
      </c>
      <c r="O894">
        <v>174</v>
      </c>
      <c r="P894" t="str">
        <f>"$"</f>
        <v>$</v>
      </c>
      <c r="Q894" t="str">
        <f>"117"</f>
        <v>117</v>
      </c>
      <c r="R894" t="str">
        <f>"רתמות"</f>
        <v>רתמות</v>
      </c>
      <c r="S894" t="str">
        <f>"034"</f>
        <v>034</v>
      </c>
      <c r="T894" t="str">
        <f>"מוסקוביץ אולגה"</f>
        <v>מוסקוביץ אולגה</v>
      </c>
      <c r="U894">
        <v>0</v>
      </c>
      <c r="V894">
        <v>0</v>
      </c>
      <c r="W894">
        <v>174</v>
      </c>
      <c r="X894">
        <v>696</v>
      </c>
      <c r="Z894" t="str">
        <f>"Y"</f>
        <v>Y</v>
      </c>
      <c r="AA894">
        <v>0</v>
      </c>
      <c r="AC894">
        <v>0</v>
      </c>
      <c r="AE894">
        <v>0</v>
      </c>
      <c r="AF894">
        <v>0</v>
      </c>
      <c r="AG894">
        <v>581.86</v>
      </c>
      <c r="AH894">
        <v>0</v>
      </c>
      <c r="AI894" s="2">
        <v>2327.42</v>
      </c>
      <c r="AJ894">
        <v>696</v>
      </c>
      <c r="AK894">
        <v>696</v>
      </c>
      <c r="AL894" t="str">
        <f>"$"</f>
        <v>$</v>
      </c>
    </row>
    <row r="895" spans="1:38" x14ac:dyDescent="0.3">
      <c r="A895" t="str">
        <f>"SO20000532"</f>
        <v>SO20000532</v>
      </c>
      <c r="B895" t="str">
        <f>"E000321177"</f>
        <v>E000321177</v>
      </c>
      <c r="C895" t="str">
        <f>"בוצעה"</f>
        <v>בוצעה</v>
      </c>
      <c r="E895" s="3">
        <v>44155</v>
      </c>
      <c r="F895" s="3">
        <v>44378</v>
      </c>
      <c r="G895" t="str">
        <f>"700065"</f>
        <v>700065</v>
      </c>
      <c r="H895" t="str">
        <f>"אלתא מערכות בע""מ"</f>
        <v>אלתא מערכות בע"מ</v>
      </c>
      <c r="I895" t="str">
        <f>"ערן שלו"</f>
        <v>ערן שלו</v>
      </c>
      <c r="J895" t="str">
        <f>"OP-AR02127"</f>
        <v>OP-AR02127</v>
      </c>
      <c r="K895" s="1" t="str">
        <f>"1032F943-001/-   ETHERNET CABLE MFR-W943 - FILTE"</f>
        <v>1032F943-001/-   ETHERNET CABLE MFR-W943 - FILTE</v>
      </c>
      <c r="L895">
        <v>4</v>
      </c>
      <c r="M895" t="str">
        <f>"PR20000834"</f>
        <v>PR20000834</v>
      </c>
      <c r="N895" t="str">
        <f>"BEL"</f>
        <v>BEL</v>
      </c>
      <c r="O895">
        <v>174</v>
      </c>
      <c r="P895" t="str">
        <f>"$"</f>
        <v>$</v>
      </c>
      <c r="Q895" t="str">
        <f>"117"</f>
        <v>117</v>
      </c>
      <c r="R895" t="str">
        <f>"רתמות"</f>
        <v>רתמות</v>
      </c>
      <c r="S895" t="str">
        <f>"034"</f>
        <v>034</v>
      </c>
      <c r="T895" t="str">
        <f>"מוסקוביץ אולגה"</f>
        <v>מוסקוביץ אולגה</v>
      </c>
      <c r="U895">
        <v>0</v>
      </c>
      <c r="V895">
        <v>0</v>
      </c>
      <c r="W895">
        <v>174</v>
      </c>
      <c r="X895">
        <v>696</v>
      </c>
      <c r="Z895" t="str">
        <f>"Y"</f>
        <v>Y</v>
      </c>
      <c r="AA895">
        <v>0</v>
      </c>
      <c r="AC895">
        <v>0</v>
      </c>
      <c r="AE895">
        <v>0</v>
      </c>
      <c r="AF895">
        <v>0</v>
      </c>
      <c r="AG895">
        <v>581.86</v>
      </c>
      <c r="AH895">
        <v>0</v>
      </c>
      <c r="AI895" s="2">
        <v>2327.42</v>
      </c>
      <c r="AJ895">
        <v>696</v>
      </c>
      <c r="AK895">
        <v>696</v>
      </c>
      <c r="AL895" t="str">
        <f>"$"</f>
        <v>$</v>
      </c>
    </row>
    <row r="896" spans="1:38" x14ac:dyDescent="0.3">
      <c r="A896" t="str">
        <f>"SO20000532"</f>
        <v>SO20000532</v>
      </c>
      <c r="B896" t="str">
        <f>"E000321177"</f>
        <v>E000321177</v>
      </c>
      <c r="C896" t="str">
        <f>"בוצעה"</f>
        <v>בוצעה</v>
      </c>
      <c r="E896" s="3">
        <v>44155</v>
      </c>
      <c r="F896" s="3">
        <v>44593</v>
      </c>
      <c r="G896" t="str">
        <f>"700065"</f>
        <v>700065</v>
      </c>
      <c r="H896" t="str">
        <f>"אלתא מערכות בע""מ"</f>
        <v>אלתא מערכות בע"מ</v>
      </c>
      <c r="I896" t="str">
        <f>"ערן שלו"</f>
        <v>ערן שלו</v>
      </c>
      <c r="J896" t="str">
        <f>"OP-AR02127"</f>
        <v>OP-AR02127</v>
      </c>
      <c r="K896" s="1" t="str">
        <f>"1032F943-001/-   ETHERNET CABLE MFR-W943 - FILTE"</f>
        <v>1032F943-001/-   ETHERNET CABLE MFR-W943 - FILTE</v>
      </c>
      <c r="L896">
        <v>4</v>
      </c>
      <c r="M896" t="str">
        <f>"PR20000834"</f>
        <v>PR20000834</v>
      </c>
      <c r="N896" t="str">
        <f>"BEL"</f>
        <v>BEL</v>
      </c>
      <c r="O896">
        <v>174</v>
      </c>
      <c r="P896" t="str">
        <f>"$"</f>
        <v>$</v>
      </c>
      <c r="Q896" t="str">
        <f>"117"</f>
        <v>117</v>
      </c>
      <c r="R896" t="str">
        <f>"רתמות"</f>
        <v>רתמות</v>
      </c>
      <c r="S896" t="str">
        <f>"034"</f>
        <v>034</v>
      </c>
      <c r="T896" t="str">
        <f>"מוסקוביץ אולגה"</f>
        <v>מוסקוביץ אולגה</v>
      </c>
      <c r="U896">
        <v>0</v>
      </c>
      <c r="V896">
        <v>0</v>
      </c>
      <c r="W896">
        <v>174</v>
      </c>
      <c r="X896">
        <v>696</v>
      </c>
      <c r="Z896" t="str">
        <f>"Y"</f>
        <v>Y</v>
      </c>
      <c r="AA896">
        <v>0</v>
      </c>
      <c r="AC896">
        <v>0</v>
      </c>
      <c r="AE896">
        <v>0</v>
      </c>
      <c r="AF896">
        <v>0</v>
      </c>
      <c r="AG896">
        <v>581.86</v>
      </c>
      <c r="AH896">
        <v>0</v>
      </c>
      <c r="AI896" s="2">
        <v>2327.42</v>
      </c>
      <c r="AJ896">
        <v>696</v>
      </c>
      <c r="AK896">
        <v>696</v>
      </c>
      <c r="AL896" t="str">
        <f>"$"</f>
        <v>$</v>
      </c>
    </row>
    <row r="897" spans="1:38" x14ac:dyDescent="0.3">
      <c r="A897" t="str">
        <f>"SO20000532"</f>
        <v>SO20000532</v>
      </c>
      <c r="B897" t="str">
        <f>"E000321177"</f>
        <v>E000321177</v>
      </c>
      <c r="C897" t="str">
        <f>"בוצעה"</f>
        <v>בוצעה</v>
      </c>
      <c r="E897" s="3">
        <v>44155</v>
      </c>
      <c r="F897" s="3">
        <v>45047</v>
      </c>
      <c r="G897" t="str">
        <f>"700065"</f>
        <v>700065</v>
      </c>
      <c r="H897" t="str">
        <f>"אלתא מערכות בע""מ"</f>
        <v>אלתא מערכות בע"מ</v>
      </c>
      <c r="I897" t="str">
        <f>"ערן שלו"</f>
        <v>ערן שלו</v>
      </c>
      <c r="J897" t="str">
        <f>"OP-AR02127"</f>
        <v>OP-AR02127</v>
      </c>
      <c r="K897" s="1" t="str">
        <f>"1032F943-001/-   ETHERNET CABLE MFR-W943 - FILTE"</f>
        <v>1032F943-001/-   ETHERNET CABLE MFR-W943 - FILTE</v>
      </c>
      <c r="L897">
        <v>4</v>
      </c>
      <c r="M897" t="str">
        <f>"PR20000834"</f>
        <v>PR20000834</v>
      </c>
      <c r="N897" t="str">
        <f>"BEL"</f>
        <v>BEL</v>
      </c>
      <c r="O897">
        <v>174</v>
      </c>
      <c r="P897" t="str">
        <f>"$"</f>
        <v>$</v>
      </c>
      <c r="Q897" t="str">
        <f>"117"</f>
        <v>117</v>
      </c>
      <c r="R897" t="str">
        <f>"רתמות"</f>
        <v>רתמות</v>
      </c>
      <c r="S897" t="str">
        <f>"034"</f>
        <v>034</v>
      </c>
      <c r="T897" t="str">
        <f>"מוסקוביץ אולגה"</f>
        <v>מוסקוביץ אולגה</v>
      </c>
      <c r="U897">
        <v>0</v>
      </c>
      <c r="V897">
        <v>0</v>
      </c>
      <c r="W897">
        <v>174</v>
      </c>
      <c r="X897">
        <v>696</v>
      </c>
      <c r="Z897" t="str">
        <f>"Y"</f>
        <v>Y</v>
      </c>
      <c r="AA897">
        <v>0</v>
      </c>
      <c r="AC897">
        <v>0</v>
      </c>
      <c r="AE897">
        <v>0</v>
      </c>
      <c r="AF897">
        <v>0</v>
      </c>
      <c r="AG897">
        <v>581.86</v>
      </c>
      <c r="AH897">
        <v>0</v>
      </c>
      <c r="AI897" s="2">
        <v>2327.42</v>
      </c>
      <c r="AJ897">
        <v>696</v>
      </c>
      <c r="AK897">
        <v>696</v>
      </c>
      <c r="AL897" t="str">
        <f>"$"</f>
        <v>$</v>
      </c>
    </row>
    <row r="898" spans="1:38" x14ac:dyDescent="0.3">
      <c r="A898" t="str">
        <f>"SO20000532"</f>
        <v>SO20000532</v>
      </c>
      <c r="B898" t="str">
        <f>"E000321177"</f>
        <v>E000321177</v>
      </c>
      <c r="C898" t="str">
        <f>"בוצעה"</f>
        <v>בוצעה</v>
      </c>
      <c r="E898" s="3">
        <v>44155</v>
      </c>
      <c r="F898" s="3">
        <v>45047</v>
      </c>
      <c r="G898" t="str">
        <f>"700065"</f>
        <v>700065</v>
      </c>
      <c r="H898" t="str">
        <f>"אלתא מערכות בע""מ"</f>
        <v>אלתא מערכות בע"מ</v>
      </c>
      <c r="I898" t="str">
        <f>"ערן שלו"</f>
        <v>ערן שלו</v>
      </c>
      <c r="J898" t="str">
        <f>"OP-AR02127"</f>
        <v>OP-AR02127</v>
      </c>
      <c r="K898" s="1" t="str">
        <f>"1032F943-001/-   ETHERNET CABLE MFR-W943 - FILTE"</f>
        <v>1032F943-001/-   ETHERNET CABLE MFR-W943 - FILTE</v>
      </c>
      <c r="L898">
        <v>4</v>
      </c>
      <c r="M898" t="str">
        <f>"PR20000834"</f>
        <v>PR20000834</v>
      </c>
      <c r="N898" t="str">
        <f>"BEL"</f>
        <v>BEL</v>
      </c>
      <c r="O898">
        <v>174</v>
      </c>
      <c r="P898" t="str">
        <f>"$"</f>
        <v>$</v>
      </c>
      <c r="Q898" t="str">
        <f>"117"</f>
        <v>117</v>
      </c>
      <c r="R898" t="str">
        <f>"רתמות"</f>
        <v>רתמות</v>
      </c>
      <c r="S898" t="str">
        <f>"034"</f>
        <v>034</v>
      </c>
      <c r="T898" t="str">
        <f>"מוסקוביץ אולגה"</f>
        <v>מוסקוביץ אולגה</v>
      </c>
      <c r="U898">
        <v>0</v>
      </c>
      <c r="V898">
        <v>0</v>
      </c>
      <c r="W898">
        <v>174</v>
      </c>
      <c r="X898">
        <v>696</v>
      </c>
      <c r="Z898" t="str">
        <f>"Y"</f>
        <v>Y</v>
      </c>
      <c r="AA898">
        <v>0</v>
      </c>
      <c r="AC898">
        <v>0</v>
      </c>
      <c r="AE898">
        <v>0</v>
      </c>
      <c r="AF898">
        <v>0</v>
      </c>
      <c r="AG898">
        <v>581.86</v>
      </c>
      <c r="AH898">
        <v>0</v>
      </c>
      <c r="AI898" s="2">
        <v>2327.42</v>
      </c>
      <c r="AJ898">
        <v>696</v>
      </c>
      <c r="AK898">
        <v>696</v>
      </c>
      <c r="AL898" t="str">
        <f>"$"</f>
        <v>$</v>
      </c>
    </row>
    <row r="899" spans="1:38" x14ac:dyDescent="0.3">
      <c r="A899" t="str">
        <f>"SO20000532"</f>
        <v>SO20000532</v>
      </c>
      <c r="B899" t="str">
        <f>"E000321177"</f>
        <v>E000321177</v>
      </c>
      <c r="C899" t="str">
        <f>"בוצעה"</f>
        <v>בוצעה</v>
      </c>
      <c r="E899" s="3">
        <v>44155</v>
      </c>
      <c r="F899" s="3">
        <v>44242</v>
      </c>
      <c r="G899" t="str">
        <f>"700065"</f>
        <v>700065</v>
      </c>
      <c r="H899" t="str">
        <f>"אלתא מערכות בע""מ"</f>
        <v>אלתא מערכות בע"מ</v>
      </c>
      <c r="I899" t="str">
        <f>"ערן שלו"</f>
        <v>ערן שלו</v>
      </c>
      <c r="J899" t="str">
        <f>"OP-AR02128"</f>
        <v>OP-AR02128</v>
      </c>
      <c r="K899" s="1" t="str">
        <f>"1032F944-001/-   ETHERNET CABLE MFR-W944 - FILTE"</f>
        <v>1032F944-001/-   ETHERNET CABLE MFR-W944 - FILTE</v>
      </c>
      <c r="L899">
        <v>8</v>
      </c>
      <c r="M899" t="str">
        <f>"PR20000834"</f>
        <v>PR20000834</v>
      </c>
      <c r="N899" t="str">
        <f>"BEL"</f>
        <v>BEL</v>
      </c>
      <c r="O899">
        <v>174</v>
      </c>
      <c r="P899" t="str">
        <f>"$"</f>
        <v>$</v>
      </c>
      <c r="Q899" t="str">
        <f>"117"</f>
        <v>117</v>
      </c>
      <c r="R899" t="str">
        <f>"רתמות"</f>
        <v>רתמות</v>
      </c>
      <c r="S899" t="str">
        <f>"034"</f>
        <v>034</v>
      </c>
      <c r="T899" t="str">
        <f>"מוסקוביץ אולגה"</f>
        <v>מוסקוביץ אולגה</v>
      </c>
      <c r="U899">
        <v>0</v>
      </c>
      <c r="V899">
        <v>0</v>
      </c>
      <c r="W899">
        <v>174</v>
      </c>
      <c r="X899" s="2">
        <v>1392</v>
      </c>
      <c r="Z899" t="str">
        <f>"Y"</f>
        <v>Y</v>
      </c>
      <c r="AA899">
        <v>0</v>
      </c>
      <c r="AC899">
        <v>0</v>
      </c>
      <c r="AE899">
        <v>0</v>
      </c>
      <c r="AF899">
        <v>0</v>
      </c>
      <c r="AG899">
        <v>581.86</v>
      </c>
      <c r="AH899">
        <v>0</v>
      </c>
      <c r="AI899" s="2">
        <v>4654.8500000000004</v>
      </c>
      <c r="AJ899" s="2">
        <v>1392</v>
      </c>
      <c r="AK899" s="2">
        <v>1392</v>
      </c>
      <c r="AL899" t="str">
        <f>"$"</f>
        <v>$</v>
      </c>
    </row>
    <row r="900" spans="1:38" x14ac:dyDescent="0.3">
      <c r="A900" t="str">
        <f>"SO20000532"</f>
        <v>SO20000532</v>
      </c>
      <c r="B900" t="str">
        <f>"E000321177"</f>
        <v>E000321177</v>
      </c>
      <c r="C900" t="str">
        <f>"בוצעה"</f>
        <v>בוצעה</v>
      </c>
      <c r="E900" s="3">
        <v>44155</v>
      </c>
      <c r="F900" s="3">
        <v>44378</v>
      </c>
      <c r="G900" t="str">
        <f>"700065"</f>
        <v>700065</v>
      </c>
      <c r="H900" t="str">
        <f>"אלתא מערכות בע""מ"</f>
        <v>אלתא מערכות בע"מ</v>
      </c>
      <c r="I900" t="str">
        <f>"ערן שלו"</f>
        <v>ערן שלו</v>
      </c>
      <c r="J900" t="str">
        <f>"OP-AR02128"</f>
        <v>OP-AR02128</v>
      </c>
      <c r="K900" s="1" t="str">
        <f>"1032F944-001/-   ETHERNET CABLE MFR-W944 - FILTE"</f>
        <v>1032F944-001/-   ETHERNET CABLE MFR-W944 - FILTE</v>
      </c>
      <c r="L900">
        <v>4</v>
      </c>
      <c r="M900" t="str">
        <f>"PR20000834"</f>
        <v>PR20000834</v>
      </c>
      <c r="N900" t="str">
        <f>"BEL"</f>
        <v>BEL</v>
      </c>
      <c r="O900">
        <v>174</v>
      </c>
      <c r="P900" t="str">
        <f>"$"</f>
        <v>$</v>
      </c>
      <c r="Q900" t="str">
        <f>"117"</f>
        <v>117</v>
      </c>
      <c r="R900" t="str">
        <f>"רתמות"</f>
        <v>רתמות</v>
      </c>
      <c r="S900" t="str">
        <f>"034"</f>
        <v>034</v>
      </c>
      <c r="T900" t="str">
        <f>"מוסקוביץ אולגה"</f>
        <v>מוסקוביץ אולגה</v>
      </c>
      <c r="U900">
        <v>0</v>
      </c>
      <c r="V900">
        <v>0</v>
      </c>
      <c r="W900">
        <v>174</v>
      </c>
      <c r="X900">
        <v>696</v>
      </c>
      <c r="Z900" t="str">
        <f>"Y"</f>
        <v>Y</v>
      </c>
      <c r="AA900">
        <v>0</v>
      </c>
      <c r="AC900">
        <v>0</v>
      </c>
      <c r="AE900">
        <v>0</v>
      </c>
      <c r="AF900">
        <v>0</v>
      </c>
      <c r="AG900">
        <v>581.86</v>
      </c>
      <c r="AH900">
        <v>0</v>
      </c>
      <c r="AI900" s="2">
        <v>2327.42</v>
      </c>
      <c r="AJ900">
        <v>696</v>
      </c>
      <c r="AK900">
        <v>696</v>
      </c>
      <c r="AL900" t="str">
        <f>"$"</f>
        <v>$</v>
      </c>
    </row>
    <row r="901" spans="1:38" x14ac:dyDescent="0.3">
      <c r="A901" t="str">
        <f>"SO20000532"</f>
        <v>SO20000532</v>
      </c>
      <c r="B901" t="str">
        <f>"E000321177"</f>
        <v>E000321177</v>
      </c>
      <c r="C901" t="str">
        <f>"בוצעה"</f>
        <v>בוצעה</v>
      </c>
      <c r="E901" s="3">
        <v>44155</v>
      </c>
      <c r="F901" s="3">
        <v>44378</v>
      </c>
      <c r="G901" t="str">
        <f>"700065"</f>
        <v>700065</v>
      </c>
      <c r="H901" t="str">
        <f>"אלתא מערכות בע""מ"</f>
        <v>אלתא מערכות בע"מ</v>
      </c>
      <c r="I901" t="str">
        <f>"ערן שלו"</f>
        <v>ערן שלו</v>
      </c>
      <c r="J901" t="str">
        <f>"OP-AR02128"</f>
        <v>OP-AR02128</v>
      </c>
      <c r="K901" s="1" t="str">
        <f>"1032F944-001/-   ETHERNET CABLE MFR-W944 - FILTE"</f>
        <v>1032F944-001/-   ETHERNET CABLE MFR-W944 - FILTE</v>
      </c>
      <c r="L901">
        <v>4</v>
      </c>
      <c r="M901" t="str">
        <f>"PR20000834"</f>
        <v>PR20000834</v>
      </c>
      <c r="N901" t="str">
        <f>"BEL"</f>
        <v>BEL</v>
      </c>
      <c r="O901">
        <v>174</v>
      </c>
      <c r="P901" t="str">
        <f>"$"</f>
        <v>$</v>
      </c>
      <c r="Q901" t="str">
        <f>"117"</f>
        <v>117</v>
      </c>
      <c r="R901" t="str">
        <f>"רתמות"</f>
        <v>רתמות</v>
      </c>
      <c r="S901" t="str">
        <f>"034"</f>
        <v>034</v>
      </c>
      <c r="T901" t="str">
        <f>"מוסקוביץ אולגה"</f>
        <v>מוסקוביץ אולגה</v>
      </c>
      <c r="U901">
        <v>0</v>
      </c>
      <c r="V901">
        <v>0</v>
      </c>
      <c r="W901">
        <v>174</v>
      </c>
      <c r="X901">
        <v>696</v>
      </c>
      <c r="Z901" t="str">
        <f>"Y"</f>
        <v>Y</v>
      </c>
      <c r="AA901">
        <v>0</v>
      </c>
      <c r="AC901">
        <v>0</v>
      </c>
      <c r="AE901">
        <v>0</v>
      </c>
      <c r="AF901">
        <v>0</v>
      </c>
      <c r="AG901">
        <v>581.86</v>
      </c>
      <c r="AH901">
        <v>0</v>
      </c>
      <c r="AI901" s="2">
        <v>2327.42</v>
      </c>
      <c r="AJ901">
        <v>696</v>
      </c>
      <c r="AK901">
        <v>696</v>
      </c>
      <c r="AL901" t="str">
        <f>"$"</f>
        <v>$</v>
      </c>
    </row>
    <row r="902" spans="1:38" x14ac:dyDescent="0.3">
      <c r="A902" t="str">
        <f>"SO20000532"</f>
        <v>SO20000532</v>
      </c>
      <c r="B902" t="str">
        <f>"E000321177"</f>
        <v>E000321177</v>
      </c>
      <c r="C902" t="str">
        <f>"בוצעה"</f>
        <v>בוצעה</v>
      </c>
      <c r="E902" s="3">
        <v>44155</v>
      </c>
      <c r="F902" s="3">
        <v>44593</v>
      </c>
      <c r="G902" t="str">
        <f>"700065"</f>
        <v>700065</v>
      </c>
      <c r="H902" t="str">
        <f>"אלתא מערכות בע""מ"</f>
        <v>אלתא מערכות בע"מ</v>
      </c>
      <c r="I902" t="str">
        <f>"ערן שלו"</f>
        <v>ערן שלו</v>
      </c>
      <c r="J902" t="str">
        <f>"OP-AR02128"</f>
        <v>OP-AR02128</v>
      </c>
      <c r="K902" s="1" t="str">
        <f>"1032F944-001/-   ETHERNET CABLE MFR-W944 - FILTE"</f>
        <v>1032F944-001/-   ETHERNET CABLE MFR-W944 - FILTE</v>
      </c>
      <c r="L902">
        <v>4</v>
      </c>
      <c r="M902" t="str">
        <f>"PR20000834"</f>
        <v>PR20000834</v>
      </c>
      <c r="N902" t="str">
        <f>"BEL"</f>
        <v>BEL</v>
      </c>
      <c r="O902">
        <v>174</v>
      </c>
      <c r="P902" t="str">
        <f>"$"</f>
        <v>$</v>
      </c>
      <c r="Q902" t="str">
        <f>"117"</f>
        <v>117</v>
      </c>
      <c r="R902" t="str">
        <f>"רתמות"</f>
        <v>רתמות</v>
      </c>
      <c r="S902" t="str">
        <f>"034"</f>
        <v>034</v>
      </c>
      <c r="T902" t="str">
        <f>"מוסקוביץ אולגה"</f>
        <v>מוסקוביץ אולגה</v>
      </c>
      <c r="U902">
        <v>0</v>
      </c>
      <c r="V902">
        <v>0</v>
      </c>
      <c r="W902">
        <v>174</v>
      </c>
      <c r="X902">
        <v>696</v>
      </c>
      <c r="Z902" t="str">
        <f>"Y"</f>
        <v>Y</v>
      </c>
      <c r="AA902">
        <v>0</v>
      </c>
      <c r="AC902">
        <v>0</v>
      </c>
      <c r="AE902">
        <v>0</v>
      </c>
      <c r="AF902">
        <v>0</v>
      </c>
      <c r="AG902">
        <v>581.86</v>
      </c>
      <c r="AH902">
        <v>0</v>
      </c>
      <c r="AI902" s="2">
        <v>2327.42</v>
      </c>
      <c r="AJ902">
        <v>696</v>
      </c>
      <c r="AK902">
        <v>696</v>
      </c>
      <c r="AL902" t="str">
        <f>"$"</f>
        <v>$</v>
      </c>
    </row>
    <row r="903" spans="1:38" x14ac:dyDescent="0.3">
      <c r="A903" t="str">
        <f>"SO20000532"</f>
        <v>SO20000532</v>
      </c>
      <c r="B903" t="str">
        <f>"E000321177"</f>
        <v>E000321177</v>
      </c>
      <c r="C903" t="str">
        <f>"בוצעה"</f>
        <v>בוצעה</v>
      </c>
      <c r="E903" s="3">
        <v>44155</v>
      </c>
      <c r="F903" s="3">
        <v>45047</v>
      </c>
      <c r="G903" t="str">
        <f>"700065"</f>
        <v>700065</v>
      </c>
      <c r="H903" t="str">
        <f>"אלתא מערכות בע""מ"</f>
        <v>אלתא מערכות בע"מ</v>
      </c>
      <c r="I903" t="str">
        <f>"ערן שלו"</f>
        <v>ערן שלו</v>
      </c>
      <c r="J903" t="str">
        <f>"OP-AR02128"</f>
        <v>OP-AR02128</v>
      </c>
      <c r="K903" s="1" t="str">
        <f>"1032F944-001/-   ETHERNET CABLE MFR-W944 - FILTE"</f>
        <v>1032F944-001/-   ETHERNET CABLE MFR-W944 - FILTE</v>
      </c>
      <c r="L903">
        <v>4</v>
      </c>
      <c r="M903" t="str">
        <f>"PR20000834"</f>
        <v>PR20000834</v>
      </c>
      <c r="N903" t="str">
        <f>"BEL"</f>
        <v>BEL</v>
      </c>
      <c r="O903">
        <v>174</v>
      </c>
      <c r="P903" t="str">
        <f>"$"</f>
        <v>$</v>
      </c>
      <c r="Q903" t="str">
        <f>"117"</f>
        <v>117</v>
      </c>
      <c r="R903" t="str">
        <f>"רתמות"</f>
        <v>רתמות</v>
      </c>
      <c r="S903" t="str">
        <f>"034"</f>
        <v>034</v>
      </c>
      <c r="T903" t="str">
        <f>"מוסקוביץ אולגה"</f>
        <v>מוסקוביץ אולגה</v>
      </c>
      <c r="U903">
        <v>0</v>
      </c>
      <c r="V903">
        <v>0</v>
      </c>
      <c r="W903">
        <v>174</v>
      </c>
      <c r="X903">
        <v>696</v>
      </c>
      <c r="Z903" t="str">
        <f>"Y"</f>
        <v>Y</v>
      </c>
      <c r="AA903">
        <v>0</v>
      </c>
      <c r="AC903">
        <v>0</v>
      </c>
      <c r="AE903">
        <v>0</v>
      </c>
      <c r="AF903">
        <v>0</v>
      </c>
      <c r="AG903">
        <v>581.86</v>
      </c>
      <c r="AH903">
        <v>0</v>
      </c>
      <c r="AI903" s="2">
        <v>2327.42</v>
      </c>
      <c r="AJ903">
        <v>696</v>
      </c>
      <c r="AK903">
        <v>696</v>
      </c>
      <c r="AL903" t="str">
        <f>"$"</f>
        <v>$</v>
      </c>
    </row>
    <row r="904" spans="1:38" x14ac:dyDescent="0.3">
      <c r="A904" t="str">
        <f>"SO20000532"</f>
        <v>SO20000532</v>
      </c>
      <c r="B904" t="str">
        <f>"E000321177"</f>
        <v>E000321177</v>
      </c>
      <c r="C904" t="str">
        <f>"בוצעה"</f>
        <v>בוצעה</v>
      </c>
      <c r="E904" s="3">
        <v>44155</v>
      </c>
      <c r="F904" s="3">
        <v>45047</v>
      </c>
      <c r="G904" t="str">
        <f>"700065"</f>
        <v>700065</v>
      </c>
      <c r="H904" t="str">
        <f>"אלתא מערכות בע""מ"</f>
        <v>אלתא מערכות בע"מ</v>
      </c>
      <c r="I904" t="str">
        <f>"ערן שלו"</f>
        <v>ערן שלו</v>
      </c>
      <c r="J904" t="str">
        <f>"OP-AR02128"</f>
        <v>OP-AR02128</v>
      </c>
      <c r="K904" s="1" t="str">
        <f>"1032F944-001/-   ETHERNET CABLE MFR-W944 - FILTE"</f>
        <v>1032F944-001/-   ETHERNET CABLE MFR-W944 - FILTE</v>
      </c>
      <c r="L904">
        <v>4</v>
      </c>
      <c r="M904" t="str">
        <f>"PR20000834"</f>
        <v>PR20000834</v>
      </c>
      <c r="N904" t="str">
        <f>"BEL"</f>
        <v>BEL</v>
      </c>
      <c r="O904">
        <v>174</v>
      </c>
      <c r="P904" t="str">
        <f>"$"</f>
        <v>$</v>
      </c>
      <c r="Q904" t="str">
        <f>"117"</f>
        <v>117</v>
      </c>
      <c r="R904" t="str">
        <f>"רתמות"</f>
        <v>רתמות</v>
      </c>
      <c r="S904" t="str">
        <f>"034"</f>
        <v>034</v>
      </c>
      <c r="T904" t="str">
        <f>"מוסקוביץ אולגה"</f>
        <v>מוסקוביץ אולגה</v>
      </c>
      <c r="U904">
        <v>0</v>
      </c>
      <c r="V904">
        <v>0</v>
      </c>
      <c r="W904">
        <v>174</v>
      </c>
      <c r="X904">
        <v>696</v>
      </c>
      <c r="Z904" t="str">
        <f>"Y"</f>
        <v>Y</v>
      </c>
      <c r="AA904">
        <v>0</v>
      </c>
      <c r="AC904">
        <v>0</v>
      </c>
      <c r="AE904">
        <v>0</v>
      </c>
      <c r="AF904">
        <v>0</v>
      </c>
      <c r="AG904">
        <v>581.86</v>
      </c>
      <c r="AH904">
        <v>0</v>
      </c>
      <c r="AI904" s="2">
        <v>2327.42</v>
      </c>
      <c r="AJ904">
        <v>696</v>
      </c>
      <c r="AK904">
        <v>696</v>
      </c>
      <c r="AL904" t="str">
        <f>"$"</f>
        <v>$</v>
      </c>
    </row>
    <row r="905" spans="1:38" x14ac:dyDescent="0.3">
      <c r="A905" t="str">
        <f>"SO20000532"</f>
        <v>SO20000532</v>
      </c>
      <c r="B905" t="str">
        <f>"E000321177"</f>
        <v>E000321177</v>
      </c>
      <c r="C905" t="str">
        <f>"בוצעה"</f>
        <v>בוצעה</v>
      </c>
      <c r="E905" s="3">
        <v>44155</v>
      </c>
      <c r="F905" s="3">
        <v>44242</v>
      </c>
      <c r="G905" t="str">
        <f>"700065"</f>
        <v>700065</v>
      </c>
      <c r="H905" t="str">
        <f>"אלתא מערכות בע""מ"</f>
        <v>אלתא מערכות בע"מ</v>
      </c>
      <c r="I905" t="str">
        <f>"ערן שלו"</f>
        <v>ערן שלו</v>
      </c>
      <c r="J905" t="str">
        <f>"OP-AR02129"</f>
        <v>OP-AR02129</v>
      </c>
      <c r="K905" s="1" t="str">
        <f>"1032F945-001/-   ETHERNET CABLE MFR-W945 - FILTE"</f>
        <v>1032F945-001/-   ETHERNET CABLE MFR-W945 - FILTE</v>
      </c>
      <c r="L905">
        <v>8</v>
      </c>
      <c r="M905" t="str">
        <f>"PR20000834"</f>
        <v>PR20000834</v>
      </c>
      <c r="N905" t="str">
        <f>"BEL"</f>
        <v>BEL</v>
      </c>
      <c r="O905">
        <v>176.77</v>
      </c>
      <c r="P905" t="str">
        <f>"$"</f>
        <v>$</v>
      </c>
      <c r="Q905" t="str">
        <f>"117"</f>
        <v>117</v>
      </c>
      <c r="R905" t="str">
        <f>"רתמות"</f>
        <v>רתמות</v>
      </c>
      <c r="S905" t="str">
        <f>"034"</f>
        <v>034</v>
      </c>
      <c r="T905" t="str">
        <f>"מוסקוביץ אולגה"</f>
        <v>מוסקוביץ אולגה</v>
      </c>
      <c r="U905">
        <v>0</v>
      </c>
      <c r="V905">
        <v>0</v>
      </c>
      <c r="W905">
        <v>176.77</v>
      </c>
      <c r="X905" s="2">
        <v>1414.16</v>
      </c>
      <c r="Z905" t="str">
        <f>"Y"</f>
        <v>Y</v>
      </c>
      <c r="AA905">
        <v>0</v>
      </c>
      <c r="AC905">
        <v>0</v>
      </c>
      <c r="AE905">
        <v>0</v>
      </c>
      <c r="AF905">
        <v>0</v>
      </c>
      <c r="AG905">
        <v>591.12</v>
      </c>
      <c r="AH905">
        <v>0</v>
      </c>
      <c r="AI905" s="2">
        <v>4728.95</v>
      </c>
      <c r="AJ905" s="2">
        <v>1414.16</v>
      </c>
      <c r="AK905" s="2">
        <v>1414.16</v>
      </c>
      <c r="AL905" t="str">
        <f>"$"</f>
        <v>$</v>
      </c>
    </row>
    <row r="906" spans="1:38" x14ac:dyDescent="0.3">
      <c r="A906" t="str">
        <f>"SO20000532"</f>
        <v>SO20000532</v>
      </c>
      <c r="B906" t="str">
        <f>"E000321177"</f>
        <v>E000321177</v>
      </c>
      <c r="C906" t="str">
        <f>"בוצעה"</f>
        <v>בוצעה</v>
      </c>
      <c r="E906" s="3">
        <v>44155</v>
      </c>
      <c r="F906" s="3">
        <v>44378</v>
      </c>
      <c r="G906" t="str">
        <f>"700065"</f>
        <v>700065</v>
      </c>
      <c r="H906" t="str">
        <f>"אלתא מערכות בע""מ"</f>
        <v>אלתא מערכות בע"מ</v>
      </c>
      <c r="I906" t="str">
        <f>"ערן שלו"</f>
        <v>ערן שלו</v>
      </c>
      <c r="J906" t="str">
        <f>"OP-AR02129"</f>
        <v>OP-AR02129</v>
      </c>
      <c r="K906" s="1" t="str">
        <f>"1032F945-001/-   ETHERNET CABLE MFR-W945 - FILTE"</f>
        <v>1032F945-001/-   ETHERNET CABLE MFR-W945 - FILTE</v>
      </c>
      <c r="L906">
        <v>4</v>
      </c>
      <c r="M906" t="str">
        <f>"PR20000834"</f>
        <v>PR20000834</v>
      </c>
      <c r="N906" t="str">
        <f>"BEL"</f>
        <v>BEL</v>
      </c>
      <c r="O906">
        <v>176.77</v>
      </c>
      <c r="P906" t="str">
        <f>"$"</f>
        <v>$</v>
      </c>
      <c r="Q906" t="str">
        <f>"117"</f>
        <v>117</v>
      </c>
      <c r="R906" t="str">
        <f>"רתמות"</f>
        <v>רתמות</v>
      </c>
      <c r="S906" t="str">
        <f>"034"</f>
        <v>034</v>
      </c>
      <c r="T906" t="str">
        <f>"מוסקוביץ אולגה"</f>
        <v>מוסקוביץ אולגה</v>
      </c>
      <c r="U906">
        <v>0</v>
      </c>
      <c r="V906">
        <v>0</v>
      </c>
      <c r="W906">
        <v>176.77</v>
      </c>
      <c r="X906">
        <v>707.08</v>
      </c>
      <c r="Z906" t="str">
        <f>"Y"</f>
        <v>Y</v>
      </c>
      <c r="AA906">
        <v>0</v>
      </c>
      <c r="AC906">
        <v>0</v>
      </c>
      <c r="AE906">
        <v>0</v>
      </c>
      <c r="AF906">
        <v>0</v>
      </c>
      <c r="AG906">
        <v>591.12</v>
      </c>
      <c r="AH906">
        <v>0</v>
      </c>
      <c r="AI906" s="2">
        <v>2364.48</v>
      </c>
      <c r="AJ906">
        <v>707.08</v>
      </c>
      <c r="AK906">
        <v>707.08</v>
      </c>
      <c r="AL906" t="str">
        <f>"$"</f>
        <v>$</v>
      </c>
    </row>
    <row r="907" spans="1:38" x14ac:dyDescent="0.3">
      <c r="A907" t="str">
        <f>"SO20000532"</f>
        <v>SO20000532</v>
      </c>
      <c r="B907" t="str">
        <f>"E000321177"</f>
        <v>E000321177</v>
      </c>
      <c r="C907" t="str">
        <f>"בוצעה"</f>
        <v>בוצעה</v>
      </c>
      <c r="E907" s="3">
        <v>44155</v>
      </c>
      <c r="F907" s="3">
        <v>44378</v>
      </c>
      <c r="G907" t="str">
        <f>"700065"</f>
        <v>700065</v>
      </c>
      <c r="H907" t="str">
        <f>"אלתא מערכות בע""מ"</f>
        <v>אלתא מערכות בע"מ</v>
      </c>
      <c r="I907" t="str">
        <f>"ערן שלו"</f>
        <v>ערן שלו</v>
      </c>
      <c r="J907" t="str">
        <f>"OP-AR02129"</f>
        <v>OP-AR02129</v>
      </c>
      <c r="K907" s="1" t="str">
        <f>"1032F945-001/-   ETHERNET CABLE MFR-W945 - FILTE"</f>
        <v>1032F945-001/-   ETHERNET CABLE MFR-W945 - FILTE</v>
      </c>
      <c r="L907">
        <v>4</v>
      </c>
      <c r="M907" t="str">
        <f>"PR20000834"</f>
        <v>PR20000834</v>
      </c>
      <c r="N907" t="str">
        <f>"BEL"</f>
        <v>BEL</v>
      </c>
      <c r="O907">
        <v>176.77</v>
      </c>
      <c r="P907" t="str">
        <f>"$"</f>
        <v>$</v>
      </c>
      <c r="Q907" t="str">
        <f>"117"</f>
        <v>117</v>
      </c>
      <c r="R907" t="str">
        <f>"רתמות"</f>
        <v>רתמות</v>
      </c>
      <c r="S907" t="str">
        <f>"034"</f>
        <v>034</v>
      </c>
      <c r="T907" t="str">
        <f>"מוסקוביץ אולגה"</f>
        <v>מוסקוביץ אולגה</v>
      </c>
      <c r="U907">
        <v>0</v>
      </c>
      <c r="V907">
        <v>0</v>
      </c>
      <c r="W907">
        <v>176.77</v>
      </c>
      <c r="X907">
        <v>707.08</v>
      </c>
      <c r="Z907" t="str">
        <f>"Y"</f>
        <v>Y</v>
      </c>
      <c r="AA907">
        <v>0</v>
      </c>
      <c r="AC907">
        <v>0</v>
      </c>
      <c r="AE907">
        <v>0</v>
      </c>
      <c r="AF907">
        <v>0</v>
      </c>
      <c r="AG907">
        <v>591.12</v>
      </c>
      <c r="AH907">
        <v>0</v>
      </c>
      <c r="AI907" s="2">
        <v>2364.48</v>
      </c>
      <c r="AJ907">
        <v>707.08</v>
      </c>
      <c r="AK907">
        <v>707.08</v>
      </c>
      <c r="AL907" t="str">
        <f>"$"</f>
        <v>$</v>
      </c>
    </row>
    <row r="908" spans="1:38" x14ac:dyDescent="0.3">
      <c r="A908" t="str">
        <f>"SO20000532"</f>
        <v>SO20000532</v>
      </c>
      <c r="B908" t="str">
        <f>"E000321177"</f>
        <v>E000321177</v>
      </c>
      <c r="C908" t="str">
        <f>"בוצעה"</f>
        <v>בוצעה</v>
      </c>
      <c r="E908" s="3">
        <v>44155</v>
      </c>
      <c r="F908" s="3">
        <v>44593</v>
      </c>
      <c r="G908" t="str">
        <f>"700065"</f>
        <v>700065</v>
      </c>
      <c r="H908" t="str">
        <f>"אלתא מערכות בע""מ"</f>
        <v>אלתא מערכות בע"מ</v>
      </c>
      <c r="I908" t="str">
        <f>"ערן שלו"</f>
        <v>ערן שלו</v>
      </c>
      <c r="J908" t="str">
        <f>"OP-AR02129"</f>
        <v>OP-AR02129</v>
      </c>
      <c r="K908" s="1" t="str">
        <f>"1032F945-001/-   ETHERNET CABLE MFR-W945 - FILTE"</f>
        <v>1032F945-001/-   ETHERNET CABLE MFR-W945 - FILTE</v>
      </c>
      <c r="L908">
        <v>4</v>
      </c>
      <c r="M908" t="str">
        <f>"PR20000834"</f>
        <v>PR20000834</v>
      </c>
      <c r="N908" t="str">
        <f>"BEL"</f>
        <v>BEL</v>
      </c>
      <c r="O908">
        <v>176.77</v>
      </c>
      <c r="P908" t="str">
        <f>"$"</f>
        <v>$</v>
      </c>
      <c r="Q908" t="str">
        <f>"117"</f>
        <v>117</v>
      </c>
      <c r="R908" t="str">
        <f>"רתמות"</f>
        <v>רתמות</v>
      </c>
      <c r="S908" t="str">
        <f>"034"</f>
        <v>034</v>
      </c>
      <c r="T908" t="str">
        <f>"מוסקוביץ אולגה"</f>
        <v>מוסקוביץ אולגה</v>
      </c>
      <c r="U908">
        <v>0</v>
      </c>
      <c r="V908">
        <v>0</v>
      </c>
      <c r="W908">
        <v>176.77</v>
      </c>
      <c r="X908">
        <v>707.08</v>
      </c>
      <c r="Z908" t="str">
        <f>"Y"</f>
        <v>Y</v>
      </c>
      <c r="AA908">
        <v>0</v>
      </c>
      <c r="AC908">
        <v>0</v>
      </c>
      <c r="AE908">
        <v>0</v>
      </c>
      <c r="AF908">
        <v>0</v>
      </c>
      <c r="AG908">
        <v>591.12</v>
      </c>
      <c r="AH908">
        <v>0</v>
      </c>
      <c r="AI908" s="2">
        <v>2364.48</v>
      </c>
      <c r="AJ908">
        <v>707.08</v>
      </c>
      <c r="AK908">
        <v>707.08</v>
      </c>
      <c r="AL908" t="str">
        <f>"$"</f>
        <v>$</v>
      </c>
    </row>
    <row r="909" spans="1:38" x14ac:dyDescent="0.3">
      <c r="A909" t="str">
        <f>"SO20000532"</f>
        <v>SO20000532</v>
      </c>
      <c r="B909" t="str">
        <f>"E000321177"</f>
        <v>E000321177</v>
      </c>
      <c r="C909" t="str">
        <f>"בוצעה"</f>
        <v>בוצעה</v>
      </c>
      <c r="E909" s="3">
        <v>44155</v>
      </c>
      <c r="F909" s="3">
        <v>45047</v>
      </c>
      <c r="G909" t="str">
        <f>"700065"</f>
        <v>700065</v>
      </c>
      <c r="H909" t="str">
        <f>"אלתא מערכות בע""מ"</f>
        <v>אלתא מערכות בע"מ</v>
      </c>
      <c r="I909" t="str">
        <f>"ערן שלו"</f>
        <v>ערן שלו</v>
      </c>
      <c r="J909" t="str">
        <f>"OP-AR02129"</f>
        <v>OP-AR02129</v>
      </c>
      <c r="K909" s="1" t="str">
        <f>"1032F945-001/-   ETHERNET CABLE MFR-W945 - FILTE"</f>
        <v>1032F945-001/-   ETHERNET CABLE MFR-W945 - FILTE</v>
      </c>
      <c r="L909">
        <v>4</v>
      </c>
      <c r="M909" t="str">
        <f>"PR20000834"</f>
        <v>PR20000834</v>
      </c>
      <c r="N909" t="str">
        <f>"BEL"</f>
        <v>BEL</v>
      </c>
      <c r="O909">
        <v>176.77</v>
      </c>
      <c r="P909" t="str">
        <f>"$"</f>
        <v>$</v>
      </c>
      <c r="Q909" t="str">
        <f>"117"</f>
        <v>117</v>
      </c>
      <c r="R909" t="str">
        <f>"רתמות"</f>
        <v>רתמות</v>
      </c>
      <c r="S909" t="str">
        <f>"034"</f>
        <v>034</v>
      </c>
      <c r="T909" t="str">
        <f>"מוסקוביץ אולגה"</f>
        <v>מוסקוביץ אולגה</v>
      </c>
      <c r="U909">
        <v>0</v>
      </c>
      <c r="V909">
        <v>0</v>
      </c>
      <c r="W909">
        <v>176.77</v>
      </c>
      <c r="X909">
        <v>707.08</v>
      </c>
      <c r="Z909" t="str">
        <f>"Y"</f>
        <v>Y</v>
      </c>
      <c r="AA909">
        <v>0</v>
      </c>
      <c r="AC909">
        <v>0</v>
      </c>
      <c r="AE909">
        <v>0</v>
      </c>
      <c r="AF909">
        <v>0</v>
      </c>
      <c r="AG909">
        <v>591.12</v>
      </c>
      <c r="AH909">
        <v>0</v>
      </c>
      <c r="AI909" s="2">
        <v>2364.48</v>
      </c>
      <c r="AJ909">
        <v>707.08</v>
      </c>
      <c r="AK909">
        <v>707.08</v>
      </c>
      <c r="AL909" t="str">
        <f>"$"</f>
        <v>$</v>
      </c>
    </row>
    <row r="910" spans="1:38" x14ac:dyDescent="0.3">
      <c r="A910" t="str">
        <f>"SO20000532"</f>
        <v>SO20000532</v>
      </c>
      <c r="B910" t="str">
        <f>"E000321177"</f>
        <v>E000321177</v>
      </c>
      <c r="C910" t="str">
        <f>"בוצעה"</f>
        <v>בוצעה</v>
      </c>
      <c r="E910" s="3">
        <v>44155</v>
      </c>
      <c r="F910" s="3">
        <v>45047</v>
      </c>
      <c r="G910" t="str">
        <f>"700065"</f>
        <v>700065</v>
      </c>
      <c r="H910" t="str">
        <f>"אלתא מערכות בע""מ"</f>
        <v>אלתא מערכות בע"מ</v>
      </c>
      <c r="I910" t="str">
        <f>"ערן שלו"</f>
        <v>ערן שלו</v>
      </c>
      <c r="J910" t="str">
        <f>"OP-AR02129"</f>
        <v>OP-AR02129</v>
      </c>
      <c r="K910" s="1" t="str">
        <f>"1032F945-001/-   ETHERNET CABLE MFR-W945 - FILTE"</f>
        <v>1032F945-001/-   ETHERNET CABLE MFR-W945 - FILTE</v>
      </c>
      <c r="L910">
        <v>4</v>
      </c>
      <c r="M910" t="str">
        <f>"PR20000834"</f>
        <v>PR20000834</v>
      </c>
      <c r="N910" t="str">
        <f>"BEL"</f>
        <v>BEL</v>
      </c>
      <c r="O910">
        <v>176.77</v>
      </c>
      <c r="P910" t="str">
        <f>"$"</f>
        <v>$</v>
      </c>
      <c r="Q910" t="str">
        <f>"117"</f>
        <v>117</v>
      </c>
      <c r="R910" t="str">
        <f>"רתמות"</f>
        <v>רתמות</v>
      </c>
      <c r="S910" t="str">
        <f>"034"</f>
        <v>034</v>
      </c>
      <c r="T910" t="str">
        <f>"מוסקוביץ אולגה"</f>
        <v>מוסקוביץ אולגה</v>
      </c>
      <c r="U910">
        <v>0</v>
      </c>
      <c r="V910">
        <v>0</v>
      </c>
      <c r="W910">
        <v>176.77</v>
      </c>
      <c r="X910">
        <v>707.08</v>
      </c>
      <c r="Z910" t="str">
        <f>"Y"</f>
        <v>Y</v>
      </c>
      <c r="AA910">
        <v>0</v>
      </c>
      <c r="AC910">
        <v>0</v>
      </c>
      <c r="AE910">
        <v>0</v>
      </c>
      <c r="AF910">
        <v>0</v>
      </c>
      <c r="AG910">
        <v>591.12</v>
      </c>
      <c r="AH910">
        <v>0</v>
      </c>
      <c r="AI910" s="2">
        <v>2364.48</v>
      </c>
      <c r="AJ910">
        <v>707.08</v>
      </c>
      <c r="AK910">
        <v>707.08</v>
      </c>
      <c r="AL910" t="str">
        <f>"$"</f>
        <v>$</v>
      </c>
    </row>
    <row r="911" spans="1:38" x14ac:dyDescent="0.3">
      <c r="A911" t="str">
        <f>"SO20000532"</f>
        <v>SO20000532</v>
      </c>
      <c r="B911" t="str">
        <f>"E000321177"</f>
        <v>E000321177</v>
      </c>
      <c r="C911" t="str">
        <f>"בוצעה"</f>
        <v>בוצעה</v>
      </c>
      <c r="E911" s="3">
        <v>44155</v>
      </c>
      <c r="F911" s="3">
        <v>44291</v>
      </c>
      <c r="G911" t="str">
        <f>"700065"</f>
        <v>700065</v>
      </c>
      <c r="H911" t="str">
        <f>"אלתא מערכות בע""מ"</f>
        <v>אלתא מערכות בע"מ</v>
      </c>
      <c r="I911" t="str">
        <f>"ערן שלו"</f>
        <v>ערן שלו</v>
      </c>
      <c r="J911" t="str">
        <f>"OP-AR02130"</f>
        <v>OP-AR02130</v>
      </c>
      <c r="K911" s="1" t="str">
        <f>"1032F946-001/-   HARNESS MFR-W946 - TBU1 TO SENS"</f>
        <v>1032F946-001/-   HARNESS MFR-W946 - TBU1 TO SENS</v>
      </c>
      <c r="L911">
        <v>2</v>
      </c>
      <c r="M911" t="str">
        <f>"PR20000834"</f>
        <v>PR20000834</v>
      </c>
      <c r="N911" t="str">
        <f>"BEL"</f>
        <v>BEL</v>
      </c>
      <c r="O911" s="2">
        <v>1452.1</v>
      </c>
      <c r="P911" t="str">
        <f>"$"</f>
        <v>$</v>
      </c>
      <c r="Q911" t="str">
        <f>"117"</f>
        <v>117</v>
      </c>
      <c r="R911" t="str">
        <f>"רתמות"</f>
        <v>רתמות</v>
      </c>
      <c r="S911" t="str">
        <f>"034"</f>
        <v>034</v>
      </c>
      <c r="T911" t="str">
        <f>"מוסקוביץ אולגה"</f>
        <v>מוסקוביץ אולגה</v>
      </c>
      <c r="U911">
        <v>0</v>
      </c>
      <c r="V911">
        <v>0</v>
      </c>
      <c r="W911" s="2">
        <v>1452.1</v>
      </c>
      <c r="X911" s="2">
        <v>2904.2</v>
      </c>
      <c r="Z911" t="str">
        <f>"Y"</f>
        <v>Y</v>
      </c>
      <c r="AA911">
        <v>0</v>
      </c>
      <c r="AC911">
        <v>0</v>
      </c>
      <c r="AE911">
        <v>0</v>
      </c>
      <c r="AF911">
        <v>0</v>
      </c>
      <c r="AG911" s="2">
        <v>4855.82</v>
      </c>
      <c r="AH911">
        <v>0</v>
      </c>
      <c r="AI911" s="2">
        <v>9711.64</v>
      </c>
      <c r="AJ911" s="2">
        <v>2904.2</v>
      </c>
      <c r="AK911" s="2">
        <v>2904.2</v>
      </c>
      <c r="AL911" t="str">
        <f>"$"</f>
        <v>$</v>
      </c>
    </row>
    <row r="912" spans="1:38" x14ac:dyDescent="0.3">
      <c r="A912" t="str">
        <f>"SO20000532"</f>
        <v>SO20000532</v>
      </c>
      <c r="B912" t="str">
        <f>"E000321177"</f>
        <v>E000321177</v>
      </c>
      <c r="C912" t="str">
        <f>"בוצעה"</f>
        <v>בוצעה</v>
      </c>
      <c r="E912" s="3">
        <v>44155</v>
      </c>
      <c r="F912" s="3">
        <v>44291</v>
      </c>
      <c r="G912" t="str">
        <f>"700065"</f>
        <v>700065</v>
      </c>
      <c r="H912" t="str">
        <f>"אלתא מערכות בע""מ"</f>
        <v>אלתא מערכות בע"מ</v>
      </c>
      <c r="I912" t="str">
        <f>"ערן שלו"</f>
        <v>ערן שלו</v>
      </c>
      <c r="J912" t="str">
        <f>"OP-AR02130"</f>
        <v>OP-AR02130</v>
      </c>
      <c r="K912" s="1" t="str">
        <f>"1032F946-001/-   HARNESS MFR-W946 - TBU1 TO SENS"</f>
        <v>1032F946-001/-   HARNESS MFR-W946 - TBU1 TO SENS</v>
      </c>
      <c r="L912">
        <v>2</v>
      </c>
      <c r="M912" t="str">
        <f>"PR20000834"</f>
        <v>PR20000834</v>
      </c>
      <c r="N912" t="str">
        <f>"BEL"</f>
        <v>BEL</v>
      </c>
      <c r="O912" s="2">
        <v>1452.1</v>
      </c>
      <c r="P912" t="str">
        <f>"$"</f>
        <v>$</v>
      </c>
      <c r="Q912" t="str">
        <f>"117"</f>
        <v>117</v>
      </c>
      <c r="R912" t="str">
        <f>"רתמות"</f>
        <v>רתמות</v>
      </c>
      <c r="S912" t="str">
        <f>"034"</f>
        <v>034</v>
      </c>
      <c r="T912" t="str">
        <f>"מוסקוביץ אולגה"</f>
        <v>מוסקוביץ אולגה</v>
      </c>
      <c r="U912">
        <v>0</v>
      </c>
      <c r="V912">
        <v>0</v>
      </c>
      <c r="W912" s="2">
        <v>1452.1</v>
      </c>
      <c r="X912" s="2">
        <v>2904.2</v>
      </c>
      <c r="Z912" t="str">
        <f>"Y"</f>
        <v>Y</v>
      </c>
      <c r="AA912">
        <v>0</v>
      </c>
      <c r="AC912">
        <v>0</v>
      </c>
      <c r="AE912">
        <v>0</v>
      </c>
      <c r="AF912">
        <v>0</v>
      </c>
      <c r="AG912" s="2">
        <v>4855.82</v>
      </c>
      <c r="AH912">
        <v>0</v>
      </c>
      <c r="AI912" s="2">
        <v>9711.64</v>
      </c>
      <c r="AJ912" s="2">
        <v>2904.2</v>
      </c>
      <c r="AK912" s="2">
        <v>2904.2</v>
      </c>
      <c r="AL912" t="str">
        <f>"$"</f>
        <v>$</v>
      </c>
    </row>
    <row r="913" spans="1:38" x14ac:dyDescent="0.3">
      <c r="A913" t="str">
        <f>"SO20000532"</f>
        <v>SO20000532</v>
      </c>
      <c r="B913" t="str">
        <f>"E000321177"</f>
        <v>E000321177</v>
      </c>
      <c r="C913" t="str">
        <f>"בוצעה"</f>
        <v>בוצעה</v>
      </c>
      <c r="E913" s="3">
        <v>44155</v>
      </c>
      <c r="F913" s="3">
        <v>44291</v>
      </c>
      <c r="G913" t="str">
        <f>"700065"</f>
        <v>700065</v>
      </c>
      <c r="H913" t="str">
        <f>"אלתא מערכות בע""מ"</f>
        <v>אלתא מערכות בע"מ</v>
      </c>
      <c r="I913" t="str">
        <f>"ערן שלו"</f>
        <v>ערן שלו</v>
      </c>
      <c r="J913" t="str">
        <f>"OP-AR02130"</f>
        <v>OP-AR02130</v>
      </c>
      <c r="K913" s="1" t="str">
        <f>"1032F946-001/-   HARNESS MFR-W946 - TBU1 TO SENS"</f>
        <v>1032F946-001/-   HARNESS MFR-W946 - TBU1 TO SENS</v>
      </c>
      <c r="L913">
        <v>2</v>
      </c>
      <c r="M913" t="str">
        <f>"PR20000834"</f>
        <v>PR20000834</v>
      </c>
      <c r="N913" t="str">
        <f>"BEL"</f>
        <v>BEL</v>
      </c>
      <c r="O913" s="2">
        <v>1452.1</v>
      </c>
      <c r="P913" t="str">
        <f>"$"</f>
        <v>$</v>
      </c>
      <c r="Q913" t="str">
        <f>"117"</f>
        <v>117</v>
      </c>
      <c r="R913" t="str">
        <f>"רתמות"</f>
        <v>רתמות</v>
      </c>
      <c r="S913" t="str">
        <f>"034"</f>
        <v>034</v>
      </c>
      <c r="T913" t="str">
        <f>"מוסקוביץ אולגה"</f>
        <v>מוסקוביץ אולגה</v>
      </c>
      <c r="U913">
        <v>0</v>
      </c>
      <c r="V913">
        <v>0</v>
      </c>
      <c r="W913" s="2">
        <v>1452.1</v>
      </c>
      <c r="X913" s="2">
        <v>2904.2</v>
      </c>
      <c r="Z913" t="str">
        <f>"Y"</f>
        <v>Y</v>
      </c>
      <c r="AA913">
        <v>0</v>
      </c>
      <c r="AC913">
        <v>0</v>
      </c>
      <c r="AE913">
        <v>0</v>
      </c>
      <c r="AF913">
        <v>0</v>
      </c>
      <c r="AG913" s="2">
        <v>4855.82</v>
      </c>
      <c r="AH913">
        <v>0</v>
      </c>
      <c r="AI913" s="2">
        <v>9711.64</v>
      </c>
      <c r="AJ913" s="2">
        <v>2904.2</v>
      </c>
      <c r="AK913" s="2">
        <v>2904.2</v>
      </c>
      <c r="AL913" t="str">
        <f>"$"</f>
        <v>$</v>
      </c>
    </row>
    <row r="914" spans="1:38" x14ac:dyDescent="0.3">
      <c r="A914" t="str">
        <f>"SO20000532"</f>
        <v>SO20000532</v>
      </c>
      <c r="B914" t="str">
        <f>"E000321177"</f>
        <v>E000321177</v>
      </c>
      <c r="C914" t="str">
        <f>"בוצעה"</f>
        <v>בוצעה</v>
      </c>
      <c r="E914" s="3">
        <v>44155</v>
      </c>
      <c r="F914" s="3">
        <v>44291</v>
      </c>
      <c r="G914" t="str">
        <f>"700065"</f>
        <v>700065</v>
      </c>
      <c r="H914" t="str">
        <f>"אלתא מערכות בע""מ"</f>
        <v>אלתא מערכות בע"מ</v>
      </c>
      <c r="I914" t="str">
        <f>"ערן שלו"</f>
        <v>ערן שלו</v>
      </c>
      <c r="J914" t="str">
        <f>"OP-AR02130"</f>
        <v>OP-AR02130</v>
      </c>
      <c r="K914" s="1" t="str">
        <f>"1032F946-001/-   HARNESS MFR-W946 - TBU1 TO SENS"</f>
        <v>1032F946-001/-   HARNESS MFR-W946 - TBU1 TO SENS</v>
      </c>
      <c r="L914">
        <v>1</v>
      </c>
      <c r="M914" t="str">
        <f>"PR20000834"</f>
        <v>PR20000834</v>
      </c>
      <c r="N914" t="str">
        <f>"BEL"</f>
        <v>BEL</v>
      </c>
      <c r="O914" s="2">
        <v>1452.1</v>
      </c>
      <c r="P914" t="str">
        <f>"$"</f>
        <v>$</v>
      </c>
      <c r="Q914" t="str">
        <f>"117"</f>
        <v>117</v>
      </c>
      <c r="R914" t="str">
        <f>"רתמות"</f>
        <v>רתמות</v>
      </c>
      <c r="S914" t="str">
        <f>"034"</f>
        <v>034</v>
      </c>
      <c r="T914" t="str">
        <f>"מוסקוביץ אולגה"</f>
        <v>מוסקוביץ אולגה</v>
      </c>
      <c r="U914">
        <v>0</v>
      </c>
      <c r="V914">
        <v>0</v>
      </c>
      <c r="W914" s="2">
        <v>1452.1</v>
      </c>
      <c r="X914" s="2">
        <v>1452.1</v>
      </c>
      <c r="Z914" t="str">
        <f>"Y"</f>
        <v>Y</v>
      </c>
      <c r="AA914">
        <v>0</v>
      </c>
      <c r="AC914">
        <v>0</v>
      </c>
      <c r="AE914">
        <v>0</v>
      </c>
      <c r="AF914">
        <v>0</v>
      </c>
      <c r="AG914" s="2">
        <v>4855.82</v>
      </c>
      <c r="AH914">
        <v>0</v>
      </c>
      <c r="AI914" s="2">
        <v>4855.82</v>
      </c>
      <c r="AJ914" s="2">
        <v>1452.1</v>
      </c>
      <c r="AK914" s="2">
        <v>1452.1</v>
      </c>
      <c r="AL914" t="str">
        <f>"$"</f>
        <v>$</v>
      </c>
    </row>
    <row r="915" spans="1:38" x14ac:dyDescent="0.3">
      <c r="A915" t="str">
        <f>"SO20000532"</f>
        <v>SO20000532</v>
      </c>
      <c r="B915" t="str">
        <f>"E000321177"</f>
        <v>E000321177</v>
      </c>
      <c r="C915" t="str">
        <f>"בוצעה"</f>
        <v>בוצעה</v>
      </c>
      <c r="E915" s="3">
        <v>44155</v>
      </c>
      <c r="F915" s="3">
        <v>44291</v>
      </c>
      <c r="G915" t="str">
        <f>"700065"</f>
        <v>700065</v>
      </c>
      <c r="H915" t="str">
        <f>"אלתא מערכות בע""מ"</f>
        <v>אלתא מערכות בע"מ</v>
      </c>
      <c r="I915" t="str">
        <f>"ערן שלו"</f>
        <v>ערן שלו</v>
      </c>
      <c r="J915" t="str">
        <f>"OP-AR02131"</f>
        <v>OP-AR02131</v>
      </c>
      <c r="K915" s="1" t="str">
        <f>"1032F947-001   HARNESS MFR-W947 - TBU1 TO SENS"</f>
        <v>1032F947-001   HARNESS MFR-W947 - TBU1 TO SENS</v>
      </c>
      <c r="L915">
        <v>1</v>
      </c>
      <c r="M915" t="str">
        <f>"PR20000834"</f>
        <v>PR20000834</v>
      </c>
      <c r="N915" t="str">
        <f>"BEL"</f>
        <v>BEL</v>
      </c>
      <c r="O915">
        <v>282.2</v>
      </c>
      <c r="P915" t="str">
        <f>"$"</f>
        <v>$</v>
      </c>
      <c r="Q915" t="str">
        <f>"117"</f>
        <v>117</v>
      </c>
      <c r="R915" t="str">
        <f>"רתמות"</f>
        <v>רתמות</v>
      </c>
      <c r="S915" t="str">
        <f>"034"</f>
        <v>034</v>
      </c>
      <c r="T915" t="str">
        <f>"מוסקוביץ אולגה"</f>
        <v>מוסקוביץ אולגה</v>
      </c>
      <c r="U915">
        <v>0</v>
      </c>
      <c r="V915">
        <v>0</v>
      </c>
      <c r="W915">
        <v>282.2</v>
      </c>
      <c r="X915">
        <v>282.2</v>
      </c>
      <c r="Z915" t="str">
        <f>"Y"</f>
        <v>Y</v>
      </c>
      <c r="AA915">
        <v>1</v>
      </c>
      <c r="AC915">
        <v>0</v>
      </c>
      <c r="AE915">
        <v>0</v>
      </c>
      <c r="AF915">
        <v>0</v>
      </c>
      <c r="AG915">
        <v>943.68</v>
      </c>
      <c r="AH915">
        <v>0</v>
      </c>
      <c r="AI915">
        <v>943.68</v>
      </c>
      <c r="AJ915">
        <v>282.2</v>
      </c>
      <c r="AK915">
        <v>282.2</v>
      </c>
      <c r="AL915" t="str">
        <f>"$"</f>
        <v>$</v>
      </c>
    </row>
    <row r="916" spans="1:38" x14ac:dyDescent="0.3">
      <c r="A916" t="str">
        <f>"SO20000532"</f>
        <v>SO20000532</v>
      </c>
      <c r="B916" t="str">
        <f>"E000321177"</f>
        <v>E000321177</v>
      </c>
      <c r="C916" t="str">
        <f>"בוצעה"</f>
        <v>בוצעה</v>
      </c>
      <c r="E916" s="3">
        <v>44155</v>
      </c>
      <c r="F916" s="3">
        <v>44291</v>
      </c>
      <c r="G916" t="str">
        <f>"700065"</f>
        <v>700065</v>
      </c>
      <c r="H916" t="str">
        <f>"אלתא מערכות בע""מ"</f>
        <v>אלתא מערכות בע"מ</v>
      </c>
      <c r="I916" t="str">
        <f>"ערן שלו"</f>
        <v>ערן שלו</v>
      </c>
      <c r="J916" t="str">
        <f>"OP-AR02131"</f>
        <v>OP-AR02131</v>
      </c>
      <c r="K916" s="1" t="str">
        <f>"1032F947-001   HARNESS MFR-W947 - TBU1 TO SENS"</f>
        <v>1032F947-001   HARNESS MFR-W947 - TBU1 TO SENS</v>
      </c>
      <c r="L916">
        <v>2</v>
      </c>
      <c r="M916" t="str">
        <f>"PR20000834"</f>
        <v>PR20000834</v>
      </c>
      <c r="N916" t="str">
        <f>"BEL"</f>
        <v>BEL</v>
      </c>
      <c r="O916">
        <v>282.2</v>
      </c>
      <c r="P916" t="str">
        <f>"$"</f>
        <v>$</v>
      </c>
      <c r="Q916" t="str">
        <f>"117"</f>
        <v>117</v>
      </c>
      <c r="R916" t="str">
        <f>"רתמות"</f>
        <v>רתמות</v>
      </c>
      <c r="S916" t="str">
        <f>"034"</f>
        <v>034</v>
      </c>
      <c r="T916" t="str">
        <f>"מוסקוביץ אולגה"</f>
        <v>מוסקוביץ אולגה</v>
      </c>
      <c r="U916">
        <v>0</v>
      </c>
      <c r="V916">
        <v>0</v>
      </c>
      <c r="W916">
        <v>282.2</v>
      </c>
      <c r="X916">
        <v>564.4</v>
      </c>
      <c r="Z916" t="str">
        <f>"Y"</f>
        <v>Y</v>
      </c>
      <c r="AA916">
        <v>2</v>
      </c>
      <c r="AC916">
        <v>0</v>
      </c>
      <c r="AE916">
        <v>0</v>
      </c>
      <c r="AF916">
        <v>0</v>
      </c>
      <c r="AG916">
        <v>943.68</v>
      </c>
      <c r="AH916">
        <v>0</v>
      </c>
      <c r="AI916" s="2">
        <v>1887.35</v>
      </c>
      <c r="AJ916">
        <v>564.4</v>
      </c>
      <c r="AK916">
        <v>564.4</v>
      </c>
      <c r="AL916" t="str">
        <f>"$"</f>
        <v>$</v>
      </c>
    </row>
    <row r="917" spans="1:38" x14ac:dyDescent="0.3">
      <c r="A917" t="str">
        <f>"SO20000532"</f>
        <v>SO20000532</v>
      </c>
      <c r="B917" t="str">
        <f>"E000321177"</f>
        <v>E000321177</v>
      </c>
      <c r="C917" t="str">
        <f>"בוצעה"</f>
        <v>בוצעה</v>
      </c>
      <c r="E917" s="3">
        <v>44155</v>
      </c>
      <c r="F917" s="3">
        <v>44291</v>
      </c>
      <c r="G917" t="str">
        <f>"700065"</f>
        <v>700065</v>
      </c>
      <c r="H917" t="str">
        <f>"אלתא מערכות בע""מ"</f>
        <v>אלתא מערכות בע"מ</v>
      </c>
      <c r="I917" t="str">
        <f>"ערן שלו"</f>
        <v>ערן שלו</v>
      </c>
      <c r="J917" t="str">
        <f>"OP-AR02131"</f>
        <v>OP-AR02131</v>
      </c>
      <c r="K917" s="1" t="str">
        <f>"1032F947-001   HARNESS MFR-W947 - TBU1 TO SENS"</f>
        <v>1032F947-001   HARNESS MFR-W947 - TBU1 TO SENS</v>
      </c>
      <c r="L917">
        <v>2</v>
      </c>
      <c r="M917" t="str">
        <f>"PR20000834"</f>
        <v>PR20000834</v>
      </c>
      <c r="N917" t="str">
        <f>"BEL"</f>
        <v>BEL</v>
      </c>
      <c r="O917">
        <v>282.2</v>
      </c>
      <c r="P917" t="str">
        <f>"$"</f>
        <v>$</v>
      </c>
      <c r="Q917" t="str">
        <f>"117"</f>
        <v>117</v>
      </c>
      <c r="R917" t="str">
        <f>"רתמות"</f>
        <v>רתמות</v>
      </c>
      <c r="S917" t="str">
        <f>"034"</f>
        <v>034</v>
      </c>
      <c r="T917" t="str">
        <f>"מוסקוביץ אולגה"</f>
        <v>מוסקוביץ אולגה</v>
      </c>
      <c r="U917">
        <v>0</v>
      </c>
      <c r="V917">
        <v>0</v>
      </c>
      <c r="W917">
        <v>282.2</v>
      </c>
      <c r="X917">
        <v>564.4</v>
      </c>
      <c r="Z917" t="str">
        <f>"Y"</f>
        <v>Y</v>
      </c>
      <c r="AA917">
        <v>2</v>
      </c>
      <c r="AC917">
        <v>0</v>
      </c>
      <c r="AE917">
        <v>0</v>
      </c>
      <c r="AF917">
        <v>0</v>
      </c>
      <c r="AG917">
        <v>943.68</v>
      </c>
      <c r="AH917">
        <v>0</v>
      </c>
      <c r="AI917" s="2">
        <v>1887.35</v>
      </c>
      <c r="AJ917">
        <v>564.4</v>
      </c>
      <c r="AK917">
        <v>564.4</v>
      </c>
      <c r="AL917" t="str">
        <f>"$"</f>
        <v>$</v>
      </c>
    </row>
    <row r="918" spans="1:38" x14ac:dyDescent="0.3">
      <c r="A918" t="str">
        <f>"SO20000532"</f>
        <v>SO20000532</v>
      </c>
      <c r="B918" t="str">
        <f>"E000321177"</f>
        <v>E000321177</v>
      </c>
      <c r="C918" t="str">
        <f>"בוצעה"</f>
        <v>בוצעה</v>
      </c>
      <c r="E918" s="3">
        <v>44155</v>
      </c>
      <c r="F918" s="3">
        <v>44291</v>
      </c>
      <c r="G918" t="str">
        <f>"700065"</f>
        <v>700065</v>
      </c>
      <c r="H918" t="str">
        <f>"אלתא מערכות בע""מ"</f>
        <v>אלתא מערכות בע"מ</v>
      </c>
      <c r="I918" t="str">
        <f>"ערן שלו"</f>
        <v>ערן שלו</v>
      </c>
      <c r="J918" t="str">
        <f>"OP-AR02131"</f>
        <v>OP-AR02131</v>
      </c>
      <c r="K918" s="1" t="str">
        <f>"1032F947-001   HARNESS MFR-W947 - TBU1 TO SENS"</f>
        <v>1032F947-001   HARNESS MFR-W947 - TBU1 TO SENS</v>
      </c>
      <c r="L918">
        <v>2</v>
      </c>
      <c r="M918" t="str">
        <f>"PR20000834"</f>
        <v>PR20000834</v>
      </c>
      <c r="N918" t="str">
        <f>"BEL"</f>
        <v>BEL</v>
      </c>
      <c r="O918">
        <v>282.2</v>
      </c>
      <c r="P918" t="str">
        <f>"$"</f>
        <v>$</v>
      </c>
      <c r="Q918" t="str">
        <f>"117"</f>
        <v>117</v>
      </c>
      <c r="R918" t="str">
        <f>"רתמות"</f>
        <v>רתמות</v>
      </c>
      <c r="S918" t="str">
        <f>"034"</f>
        <v>034</v>
      </c>
      <c r="T918" t="str">
        <f>"מוסקוביץ אולגה"</f>
        <v>מוסקוביץ אולגה</v>
      </c>
      <c r="U918">
        <v>0</v>
      </c>
      <c r="V918">
        <v>0</v>
      </c>
      <c r="W918">
        <v>282.2</v>
      </c>
      <c r="X918">
        <v>564.4</v>
      </c>
      <c r="Z918" t="str">
        <f>"Y"</f>
        <v>Y</v>
      </c>
      <c r="AA918">
        <v>-5</v>
      </c>
      <c r="AC918">
        <v>0</v>
      </c>
      <c r="AE918">
        <v>0</v>
      </c>
      <c r="AF918">
        <v>0</v>
      </c>
      <c r="AG918">
        <v>943.68</v>
      </c>
      <c r="AH918">
        <v>0</v>
      </c>
      <c r="AI918" s="2">
        <v>1887.35</v>
      </c>
      <c r="AJ918">
        <v>564.4</v>
      </c>
      <c r="AK918">
        <v>564.4</v>
      </c>
      <c r="AL918" t="str">
        <f>"$"</f>
        <v>$</v>
      </c>
    </row>
    <row r="919" spans="1:38" x14ac:dyDescent="0.3">
      <c r="A919" t="str">
        <f>"SO20000532"</f>
        <v>SO20000532</v>
      </c>
      <c r="B919" t="str">
        <f>"E000321177"</f>
        <v>E000321177</v>
      </c>
      <c r="C919" t="str">
        <f>"בוצעה"</f>
        <v>בוצעה</v>
      </c>
      <c r="E919" s="3">
        <v>44155</v>
      </c>
      <c r="F919" s="3">
        <v>44291</v>
      </c>
      <c r="G919" t="str">
        <f>"700065"</f>
        <v>700065</v>
      </c>
      <c r="H919" t="str">
        <f>"אלתא מערכות בע""מ"</f>
        <v>אלתא מערכות בע"מ</v>
      </c>
      <c r="I919" t="str">
        <f>"ערן שלו"</f>
        <v>ערן שלו</v>
      </c>
      <c r="J919" t="str">
        <f>"OP-AR02132"</f>
        <v>OP-AR02132</v>
      </c>
      <c r="K919" s="1" t="str">
        <f>"1032F948-001/-   HARNESS MFR-W948 - TBU2 TO SENS"</f>
        <v>1032F948-001/-   HARNESS MFR-W948 - TBU2 TO SENS</v>
      </c>
      <c r="L919">
        <v>2</v>
      </c>
      <c r="M919" t="str">
        <f>"PR20000834"</f>
        <v>PR20000834</v>
      </c>
      <c r="N919" t="str">
        <f>"BEL"</f>
        <v>BEL</v>
      </c>
      <c r="O919" s="2">
        <v>1452.1</v>
      </c>
      <c r="P919" t="str">
        <f>"$"</f>
        <v>$</v>
      </c>
      <c r="Q919" t="str">
        <f>"117"</f>
        <v>117</v>
      </c>
      <c r="R919" t="str">
        <f>"רתמות"</f>
        <v>רתמות</v>
      </c>
      <c r="S919" t="str">
        <f>"034"</f>
        <v>034</v>
      </c>
      <c r="T919" t="str">
        <f>"מוסקוביץ אולגה"</f>
        <v>מוסקוביץ אולגה</v>
      </c>
      <c r="U919">
        <v>0</v>
      </c>
      <c r="V919">
        <v>0</v>
      </c>
      <c r="W919" s="2">
        <v>1452.1</v>
      </c>
      <c r="X919" s="2">
        <v>2904.2</v>
      </c>
      <c r="Z919" t="str">
        <f>"Y"</f>
        <v>Y</v>
      </c>
      <c r="AA919">
        <v>0</v>
      </c>
      <c r="AC919">
        <v>0</v>
      </c>
      <c r="AE919">
        <v>0</v>
      </c>
      <c r="AF919">
        <v>0</v>
      </c>
      <c r="AG919" s="2">
        <v>4855.82</v>
      </c>
      <c r="AH919">
        <v>0</v>
      </c>
      <c r="AI919" s="2">
        <v>9711.64</v>
      </c>
      <c r="AJ919" s="2">
        <v>2904.2</v>
      </c>
      <c r="AK919" s="2">
        <v>2904.2</v>
      </c>
      <c r="AL919" t="str">
        <f>"$"</f>
        <v>$</v>
      </c>
    </row>
    <row r="920" spans="1:38" x14ac:dyDescent="0.3">
      <c r="A920" t="str">
        <f>"SO20000532"</f>
        <v>SO20000532</v>
      </c>
      <c r="B920" t="str">
        <f>"E000321177"</f>
        <v>E000321177</v>
      </c>
      <c r="C920" t="str">
        <f>"בוצעה"</f>
        <v>בוצעה</v>
      </c>
      <c r="E920" s="3">
        <v>44155</v>
      </c>
      <c r="F920" s="3">
        <v>44291</v>
      </c>
      <c r="G920" t="str">
        <f>"700065"</f>
        <v>700065</v>
      </c>
      <c r="H920" t="str">
        <f>"אלתא מערכות בע""מ"</f>
        <v>אלתא מערכות בע"מ</v>
      </c>
      <c r="I920" t="str">
        <f>"ערן שלו"</f>
        <v>ערן שלו</v>
      </c>
      <c r="J920" t="str">
        <f>"OP-AR02132"</f>
        <v>OP-AR02132</v>
      </c>
      <c r="K920" s="1" t="str">
        <f>"1032F948-001/-   HARNESS MFR-W948 - TBU2 TO SENS"</f>
        <v>1032F948-001/-   HARNESS MFR-W948 - TBU2 TO SENS</v>
      </c>
      <c r="L920">
        <v>2</v>
      </c>
      <c r="M920" t="str">
        <f>"PR20000834"</f>
        <v>PR20000834</v>
      </c>
      <c r="N920" t="str">
        <f>"BEL"</f>
        <v>BEL</v>
      </c>
      <c r="O920" s="2">
        <v>1452.1</v>
      </c>
      <c r="P920" t="str">
        <f>"$"</f>
        <v>$</v>
      </c>
      <c r="Q920" t="str">
        <f>"117"</f>
        <v>117</v>
      </c>
      <c r="R920" t="str">
        <f>"רתמות"</f>
        <v>רתמות</v>
      </c>
      <c r="S920" t="str">
        <f>"034"</f>
        <v>034</v>
      </c>
      <c r="T920" t="str">
        <f>"מוסקוביץ אולגה"</f>
        <v>מוסקוביץ אולגה</v>
      </c>
      <c r="U920">
        <v>0</v>
      </c>
      <c r="V920">
        <v>0</v>
      </c>
      <c r="W920" s="2">
        <v>1452.1</v>
      </c>
      <c r="X920" s="2">
        <v>2904.2</v>
      </c>
      <c r="Z920" t="str">
        <f>"Y"</f>
        <v>Y</v>
      </c>
      <c r="AA920">
        <v>0</v>
      </c>
      <c r="AC920">
        <v>0</v>
      </c>
      <c r="AE920">
        <v>0</v>
      </c>
      <c r="AF920">
        <v>0</v>
      </c>
      <c r="AG920" s="2">
        <v>4855.82</v>
      </c>
      <c r="AH920">
        <v>0</v>
      </c>
      <c r="AI920" s="2">
        <v>9711.64</v>
      </c>
      <c r="AJ920" s="2">
        <v>2904.2</v>
      </c>
      <c r="AK920" s="2">
        <v>2904.2</v>
      </c>
      <c r="AL920" t="str">
        <f>"$"</f>
        <v>$</v>
      </c>
    </row>
    <row r="921" spans="1:38" x14ac:dyDescent="0.3">
      <c r="A921" t="str">
        <f>"SO20000532"</f>
        <v>SO20000532</v>
      </c>
      <c r="B921" t="str">
        <f>"E000321177"</f>
        <v>E000321177</v>
      </c>
      <c r="C921" t="str">
        <f>"בוצעה"</f>
        <v>בוצעה</v>
      </c>
      <c r="E921" s="3">
        <v>44155</v>
      </c>
      <c r="F921" s="3">
        <v>44291</v>
      </c>
      <c r="G921" t="str">
        <f>"700065"</f>
        <v>700065</v>
      </c>
      <c r="H921" t="str">
        <f>"אלתא מערכות בע""מ"</f>
        <v>אלתא מערכות בע"מ</v>
      </c>
      <c r="I921" t="str">
        <f>"ערן שלו"</f>
        <v>ערן שלו</v>
      </c>
      <c r="J921" t="str">
        <f>"OP-AR02132"</f>
        <v>OP-AR02132</v>
      </c>
      <c r="K921" s="1" t="str">
        <f>"1032F948-001/-   HARNESS MFR-W948 - TBU2 TO SENS"</f>
        <v>1032F948-001/-   HARNESS MFR-W948 - TBU2 TO SENS</v>
      </c>
      <c r="L921">
        <v>1</v>
      </c>
      <c r="M921" t="str">
        <f>"PR20000834"</f>
        <v>PR20000834</v>
      </c>
      <c r="N921" t="str">
        <f>"BEL"</f>
        <v>BEL</v>
      </c>
      <c r="O921" s="2">
        <v>1452.1</v>
      </c>
      <c r="P921" t="str">
        <f>"$"</f>
        <v>$</v>
      </c>
      <c r="Q921" t="str">
        <f>"117"</f>
        <v>117</v>
      </c>
      <c r="R921" t="str">
        <f>"רתמות"</f>
        <v>רתמות</v>
      </c>
      <c r="S921" t="str">
        <f>"034"</f>
        <v>034</v>
      </c>
      <c r="T921" t="str">
        <f>"מוסקוביץ אולגה"</f>
        <v>מוסקוביץ אולגה</v>
      </c>
      <c r="U921">
        <v>0</v>
      </c>
      <c r="V921">
        <v>0</v>
      </c>
      <c r="W921" s="2">
        <v>1452.1</v>
      </c>
      <c r="X921" s="2">
        <v>1452.1</v>
      </c>
      <c r="Z921" t="str">
        <f>"Y"</f>
        <v>Y</v>
      </c>
      <c r="AA921">
        <v>0</v>
      </c>
      <c r="AC921">
        <v>0</v>
      </c>
      <c r="AE921">
        <v>0</v>
      </c>
      <c r="AF921">
        <v>0</v>
      </c>
      <c r="AG921" s="2">
        <v>4855.82</v>
      </c>
      <c r="AH921">
        <v>0</v>
      </c>
      <c r="AI921" s="2">
        <v>4855.82</v>
      </c>
      <c r="AJ921" s="2">
        <v>1452.1</v>
      </c>
      <c r="AK921" s="2">
        <v>1452.1</v>
      </c>
      <c r="AL921" t="str">
        <f>"$"</f>
        <v>$</v>
      </c>
    </row>
    <row r="922" spans="1:38" x14ac:dyDescent="0.3">
      <c r="A922" t="str">
        <f>"SO20000532"</f>
        <v>SO20000532</v>
      </c>
      <c r="B922" t="str">
        <f>"E000321177"</f>
        <v>E000321177</v>
      </c>
      <c r="C922" t="str">
        <f>"בוצעה"</f>
        <v>בוצעה</v>
      </c>
      <c r="E922" s="3">
        <v>44155</v>
      </c>
      <c r="F922" s="3">
        <v>44291</v>
      </c>
      <c r="G922" t="str">
        <f>"700065"</f>
        <v>700065</v>
      </c>
      <c r="H922" t="str">
        <f>"אלתא מערכות בע""מ"</f>
        <v>אלתא מערכות בע"מ</v>
      </c>
      <c r="I922" t="str">
        <f>"ערן שלו"</f>
        <v>ערן שלו</v>
      </c>
      <c r="J922" t="str">
        <f>"OP-AR02132"</f>
        <v>OP-AR02132</v>
      </c>
      <c r="K922" s="1" t="str">
        <f>"1032F948-001/-   HARNESS MFR-W948 - TBU2 TO SENS"</f>
        <v>1032F948-001/-   HARNESS MFR-W948 - TBU2 TO SENS</v>
      </c>
      <c r="L922">
        <v>2</v>
      </c>
      <c r="M922" t="str">
        <f>"PR20000834"</f>
        <v>PR20000834</v>
      </c>
      <c r="N922" t="str">
        <f>"BEL"</f>
        <v>BEL</v>
      </c>
      <c r="O922" s="2">
        <v>1452.1</v>
      </c>
      <c r="P922" t="str">
        <f>"$"</f>
        <v>$</v>
      </c>
      <c r="Q922" t="str">
        <f>"117"</f>
        <v>117</v>
      </c>
      <c r="R922" t="str">
        <f>"רתמות"</f>
        <v>רתמות</v>
      </c>
      <c r="S922" t="str">
        <f>"034"</f>
        <v>034</v>
      </c>
      <c r="T922" t="str">
        <f>"מוסקוביץ אולגה"</f>
        <v>מוסקוביץ אולגה</v>
      </c>
      <c r="U922">
        <v>0</v>
      </c>
      <c r="V922">
        <v>0</v>
      </c>
      <c r="W922" s="2">
        <v>1452.1</v>
      </c>
      <c r="X922" s="2">
        <v>2904.2</v>
      </c>
      <c r="Z922" t="str">
        <f>"Y"</f>
        <v>Y</v>
      </c>
      <c r="AA922">
        <v>0</v>
      </c>
      <c r="AC922">
        <v>0</v>
      </c>
      <c r="AE922">
        <v>0</v>
      </c>
      <c r="AF922">
        <v>0</v>
      </c>
      <c r="AG922" s="2">
        <v>4855.82</v>
      </c>
      <c r="AH922">
        <v>0</v>
      </c>
      <c r="AI922" s="2">
        <v>9711.64</v>
      </c>
      <c r="AJ922" s="2">
        <v>2904.2</v>
      </c>
      <c r="AK922" s="2">
        <v>2904.2</v>
      </c>
      <c r="AL922" t="str">
        <f>"$"</f>
        <v>$</v>
      </c>
    </row>
    <row r="923" spans="1:38" x14ac:dyDescent="0.3">
      <c r="A923" t="str">
        <f>"SO20000532"</f>
        <v>SO20000532</v>
      </c>
      <c r="B923" t="str">
        <f>"E000321177"</f>
        <v>E000321177</v>
      </c>
      <c r="C923" t="str">
        <f>"בוצעה"</f>
        <v>בוצעה</v>
      </c>
      <c r="E923" s="3">
        <v>44155</v>
      </c>
      <c r="F923" s="3">
        <v>44291</v>
      </c>
      <c r="G923" t="str">
        <f>"700065"</f>
        <v>700065</v>
      </c>
      <c r="H923" t="str">
        <f>"אלתא מערכות בע""מ"</f>
        <v>אלתא מערכות בע"מ</v>
      </c>
      <c r="I923" t="str">
        <f>"ערן שלו"</f>
        <v>ערן שלו</v>
      </c>
      <c r="J923" t="str">
        <f>"OP-AR02133"</f>
        <v>OP-AR02133</v>
      </c>
      <c r="K923" s="1" t="str">
        <f>"1032F949-001/A   HARNESS MFR-W949 - TBU2 TO SENS"</f>
        <v>1032F949-001/A   HARNESS MFR-W949 - TBU2 TO SENS</v>
      </c>
      <c r="L923">
        <v>2</v>
      </c>
      <c r="M923" t="str">
        <f>"PR20000834"</f>
        <v>PR20000834</v>
      </c>
      <c r="N923" t="str">
        <f>"BEL"</f>
        <v>BEL</v>
      </c>
      <c r="O923">
        <v>282.2</v>
      </c>
      <c r="P923" t="str">
        <f>"$"</f>
        <v>$</v>
      </c>
      <c r="Q923" t="str">
        <f>"117"</f>
        <v>117</v>
      </c>
      <c r="R923" t="str">
        <f>"רתמות"</f>
        <v>רתמות</v>
      </c>
      <c r="S923" t="str">
        <f>"034"</f>
        <v>034</v>
      </c>
      <c r="T923" t="str">
        <f>"מוסקוביץ אולגה"</f>
        <v>מוסקוביץ אולגה</v>
      </c>
      <c r="U923">
        <v>0</v>
      </c>
      <c r="V923">
        <v>0</v>
      </c>
      <c r="W923">
        <v>282.2</v>
      </c>
      <c r="X923">
        <v>564.4</v>
      </c>
      <c r="Z923" t="str">
        <f>"Y"</f>
        <v>Y</v>
      </c>
      <c r="AA923">
        <v>0</v>
      </c>
      <c r="AC923">
        <v>0</v>
      </c>
      <c r="AE923">
        <v>0</v>
      </c>
      <c r="AF923">
        <v>0</v>
      </c>
      <c r="AG923">
        <v>943.68</v>
      </c>
      <c r="AH923">
        <v>0</v>
      </c>
      <c r="AI923" s="2">
        <v>1887.35</v>
      </c>
      <c r="AJ923">
        <v>564.4</v>
      </c>
      <c r="AK923">
        <v>564.4</v>
      </c>
      <c r="AL923" t="str">
        <f>"$"</f>
        <v>$</v>
      </c>
    </row>
    <row r="924" spans="1:38" x14ac:dyDescent="0.3">
      <c r="A924" t="str">
        <f>"SO20000532"</f>
        <v>SO20000532</v>
      </c>
      <c r="B924" t="str">
        <f>"E000321177"</f>
        <v>E000321177</v>
      </c>
      <c r="C924" t="str">
        <f>"בוצעה"</f>
        <v>בוצעה</v>
      </c>
      <c r="E924" s="3">
        <v>44155</v>
      </c>
      <c r="F924" s="3">
        <v>44291</v>
      </c>
      <c r="G924" t="str">
        <f>"700065"</f>
        <v>700065</v>
      </c>
      <c r="H924" t="str">
        <f>"אלתא מערכות בע""מ"</f>
        <v>אלתא מערכות בע"מ</v>
      </c>
      <c r="I924" t="str">
        <f>"ערן שלו"</f>
        <v>ערן שלו</v>
      </c>
      <c r="J924" t="str">
        <f>"OP-AR02133"</f>
        <v>OP-AR02133</v>
      </c>
      <c r="K924" s="1" t="str">
        <f>"1032F949-001/A   HARNESS MFR-W949 - TBU2 TO SENS"</f>
        <v>1032F949-001/A   HARNESS MFR-W949 - TBU2 TO SENS</v>
      </c>
      <c r="L924">
        <v>1</v>
      </c>
      <c r="M924" t="str">
        <f>"PR20000834"</f>
        <v>PR20000834</v>
      </c>
      <c r="N924" t="str">
        <f>"BEL"</f>
        <v>BEL</v>
      </c>
      <c r="O924">
        <v>282.2</v>
      </c>
      <c r="P924" t="str">
        <f>"$"</f>
        <v>$</v>
      </c>
      <c r="Q924" t="str">
        <f>"117"</f>
        <v>117</v>
      </c>
      <c r="R924" t="str">
        <f>"רתמות"</f>
        <v>רתמות</v>
      </c>
      <c r="S924" t="str">
        <f>"034"</f>
        <v>034</v>
      </c>
      <c r="T924" t="str">
        <f>"מוסקוביץ אולגה"</f>
        <v>מוסקוביץ אולגה</v>
      </c>
      <c r="U924">
        <v>0</v>
      </c>
      <c r="V924">
        <v>0</v>
      </c>
      <c r="W924">
        <v>282.2</v>
      </c>
      <c r="X924">
        <v>282.2</v>
      </c>
      <c r="Z924" t="str">
        <f>"Y"</f>
        <v>Y</v>
      </c>
      <c r="AA924">
        <v>0</v>
      </c>
      <c r="AC924">
        <v>0</v>
      </c>
      <c r="AE924">
        <v>0</v>
      </c>
      <c r="AF924">
        <v>0</v>
      </c>
      <c r="AG924">
        <v>943.68</v>
      </c>
      <c r="AH924">
        <v>0</v>
      </c>
      <c r="AI924">
        <v>943.68</v>
      </c>
      <c r="AJ924">
        <v>282.2</v>
      </c>
      <c r="AK924">
        <v>282.2</v>
      </c>
      <c r="AL924" t="str">
        <f>"$"</f>
        <v>$</v>
      </c>
    </row>
    <row r="925" spans="1:38" x14ac:dyDescent="0.3">
      <c r="A925" t="str">
        <f>"SO20000532"</f>
        <v>SO20000532</v>
      </c>
      <c r="B925" t="str">
        <f>"E000321177"</f>
        <v>E000321177</v>
      </c>
      <c r="C925" t="str">
        <f>"בוצעה"</f>
        <v>בוצעה</v>
      </c>
      <c r="E925" s="3">
        <v>44155</v>
      </c>
      <c r="F925" s="3">
        <v>44291</v>
      </c>
      <c r="G925" t="str">
        <f>"700065"</f>
        <v>700065</v>
      </c>
      <c r="H925" t="str">
        <f>"אלתא מערכות בע""מ"</f>
        <v>אלתא מערכות בע"מ</v>
      </c>
      <c r="I925" t="str">
        <f>"ערן שלו"</f>
        <v>ערן שלו</v>
      </c>
      <c r="J925" t="str">
        <f>"OP-AR02133"</f>
        <v>OP-AR02133</v>
      </c>
      <c r="K925" s="1" t="str">
        <f>"1032F949-001/A   HARNESS MFR-W949 - TBU2 TO SENS"</f>
        <v>1032F949-001/A   HARNESS MFR-W949 - TBU2 TO SENS</v>
      </c>
      <c r="L925">
        <v>2</v>
      </c>
      <c r="M925" t="str">
        <f>"PR20000834"</f>
        <v>PR20000834</v>
      </c>
      <c r="N925" t="str">
        <f>"BEL"</f>
        <v>BEL</v>
      </c>
      <c r="O925">
        <v>282.2</v>
      </c>
      <c r="P925" t="str">
        <f>"$"</f>
        <v>$</v>
      </c>
      <c r="Q925" t="str">
        <f>"117"</f>
        <v>117</v>
      </c>
      <c r="R925" t="str">
        <f>"רתמות"</f>
        <v>רתמות</v>
      </c>
      <c r="S925" t="str">
        <f>"034"</f>
        <v>034</v>
      </c>
      <c r="T925" t="str">
        <f>"מוסקוביץ אולגה"</f>
        <v>מוסקוביץ אולגה</v>
      </c>
      <c r="U925">
        <v>0</v>
      </c>
      <c r="V925">
        <v>0</v>
      </c>
      <c r="W925">
        <v>282.2</v>
      </c>
      <c r="X925">
        <v>564.4</v>
      </c>
      <c r="Z925" t="str">
        <f>"Y"</f>
        <v>Y</v>
      </c>
      <c r="AA925">
        <v>0</v>
      </c>
      <c r="AC925">
        <v>0</v>
      </c>
      <c r="AE925">
        <v>0</v>
      </c>
      <c r="AF925">
        <v>0</v>
      </c>
      <c r="AG925">
        <v>943.68</v>
      </c>
      <c r="AH925">
        <v>0</v>
      </c>
      <c r="AI925" s="2">
        <v>1887.35</v>
      </c>
      <c r="AJ925">
        <v>564.4</v>
      </c>
      <c r="AK925">
        <v>564.4</v>
      </c>
      <c r="AL925" t="str">
        <f>"$"</f>
        <v>$</v>
      </c>
    </row>
    <row r="926" spans="1:38" x14ac:dyDescent="0.3">
      <c r="A926" t="str">
        <f>"SO20000532"</f>
        <v>SO20000532</v>
      </c>
      <c r="B926" t="str">
        <f>"E000321177"</f>
        <v>E000321177</v>
      </c>
      <c r="C926" t="str">
        <f>"בוצעה"</f>
        <v>בוצעה</v>
      </c>
      <c r="E926" s="3">
        <v>44155</v>
      </c>
      <c r="F926" s="3">
        <v>44291</v>
      </c>
      <c r="G926" t="str">
        <f>"700065"</f>
        <v>700065</v>
      </c>
      <c r="H926" t="str">
        <f>"אלתא מערכות בע""מ"</f>
        <v>אלתא מערכות בע"מ</v>
      </c>
      <c r="I926" t="str">
        <f>"ערן שלו"</f>
        <v>ערן שלו</v>
      </c>
      <c r="J926" t="str">
        <f>"OP-AR02133"</f>
        <v>OP-AR02133</v>
      </c>
      <c r="K926" s="1" t="str">
        <f>"1032F949-001/A   HARNESS MFR-W949 - TBU2 TO SENS"</f>
        <v>1032F949-001/A   HARNESS MFR-W949 - TBU2 TO SENS</v>
      </c>
      <c r="L926">
        <v>2</v>
      </c>
      <c r="M926" t="str">
        <f>"PR20000834"</f>
        <v>PR20000834</v>
      </c>
      <c r="N926" t="str">
        <f>"BEL"</f>
        <v>BEL</v>
      </c>
      <c r="O926">
        <v>282.2</v>
      </c>
      <c r="P926" t="str">
        <f>"$"</f>
        <v>$</v>
      </c>
      <c r="Q926" t="str">
        <f>"117"</f>
        <v>117</v>
      </c>
      <c r="R926" t="str">
        <f>"רתמות"</f>
        <v>רתמות</v>
      </c>
      <c r="S926" t="str">
        <f>"034"</f>
        <v>034</v>
      </c>
      <c r="T926" t="str">
        <f>"מוסקוביץ אולגה"</f>
        <v>מוסקוביץ אולגה</v>
      </c>
      <c r="U926">
        <v>0</v>
      </c>
      <c r="V926">
        <v>0</v>
      </c>
      <c r="W926">
        <v>282.2</v>
      </c>
      <c r="X926">
        <v>564.4</v>
      </c>
      <c r="Z926" t="str">
        <f>"Y"</f>
        <v>Y</v>
      </c>
      <c r="AA926">
        <v>0</v>
      </c>
      <c r="AC926">
        <v>0</v>
      </c>
      <c r="AE926">
        <v>0</v>
      </c>
      <c r="AF926">
        <v>0</v>
      </c>
      <c r="AG926">
        <v>943.68</v>
      </c>
      <c r="AH926">
        <v>0</v>
      </c>
      <c r="AI926" s="2">
        <v>1887.35</v>
      </c>
      <c r="AJ926">
        <v>564.4</v>
      </c>
      <c r="AK926">
        <v>564.4</v>
      </c>
      <c r="AL926" t="str">
        <f>"$"</f>
        <v>$</v>
      </c>
    </row>
    <row r="927" spans="1:38" x14ac:dyDescent="0.3">
      <c r="A927" t="str">
        <f>"SO20000532"</f>
        <v>SO20000532</v>
      </c>
      <c r="B927" t="str">
        <f>"E000321177"</f>
        <v>E000321177</v>
      </c>
      <c r="C927" t="str">
        <f>"בוצעה"</f>
        <v>בוצעה</v>
      </c>
      <c r="E927" s="3">
        <v>44155</v>
      </c>
      <c r="F927" s="3">
        <v>44242</v>
      </c>
      <c r="G927" t="str">
        <f>"700065"</f>
        <v>700065</v>
      </c>
      <c r="H927" t="str">
        <f>"אלתא מערכות בע""מ"</f>
        <v>אלתא מערכות בע"מ</v>
      </c>
      <c r="I927" t="str">
        <f>"ערן שלו"</f>
        <v>ערן שלו</v>
      </c>
      <c r="J927" t="str">
        <f>"OP-AR02102"</f>
        <v>OP-AR02102</v>
      </c>
      <c r="K927" s="1" t="str">
        <f>"1032F920-001/-   ETHERNET CABLE MFR-W920 - FILTE"</f>
        <v>1032F920-001/-   ETHERNET CABLE MFR-W920 - FILTE</v>
      </c>
      <c r="L927">
        <v>8</v>
      </c>
      <c r="M927" t="str">
        <f>"PR20000834"</f>
        <v>PR20000834</v>
      </c>
      <c r="N927" t="str">
        <f>"BEL"</f>
        <v>BEL</v>
      </c>
      <c r="O927">
        <v>174</v>
      </c>
      <c r="P927" t="str">
        <f>"$"</f>
        <v>$</v>
      </c>
      <c r="Q927" t="str">
        <f>"117"</f>
        <v>117</v>
      </c>
      <c r="R927" t="str">
        <f>"רתמות"</f>
        <v>רתמות</v>
      </c>
      <c r="S927" t="str">
        <f>"034"</f>
        <v>034</v>
      </c>
      <c r="T927" t="str">
        <f>"מוסקוביץ אולגה"</f>
        <v>מוסקוביץ אולגה</v>
      </c>
      <c r="U927">
        <v>0</v>
      </c>
      <c r="V927">
        <v>0</v>
      </c>
      <c r="W927">
        <v>174</v>
      </c>
      <c r="X927" s="2">
        <v>1392</v>
      </c>
      <c r="Z927" t="str">
        <f>"Y"</f>
        <v>Y</v>
      </c>
      <c r="AA927">
        <v>0</v>
      </c>
      <c r="AC927">
        <v>0</v>
      </c>
      <c r="AE927">
        <v>0</v>
      </c>
      <c r="AF927">
        <v>0</v>
      </c>
      <c r="AG927">
        <v>581.86</v>
      </c>
      <c r="AH927">
        <v>0</v>
      </c>
      <c r="AI927" s="2">
        <v>4654.8500000000004</v>
      </c>
      <c r="AJ927" s="2">
        <v>1392</v>
      </c>
      <c r="AK927" s="2">
        <v>1392</v>
      </c>
      <c r="AL927" t="str">
        <f>"$"</f>
        <v>$</v>
      </c>
    </row>
    <row r="928" spans="1:38" x14ac:dyDescent="0.3">
      <c r="A928" t="str">
        <f>"SO20000532"</f>
        <v>SO20000532</v>
      </c>
      <c r="B928" t="str">
        <f>"E000321177"</f>
        <v>E000321177</v>
      </c>
      <c r="C928" t="str">
        <f>"בוצעה"</f>
        <v>בוצעה</v>
      </c>
      <c r="E928" s="3">
        <v>44155</v>
      </c>
      <c r="F928" s="3">
        <v>44242</v>
      </c>
      <c r="G928" t="str">
        <f>"700065"</f>
        <v>700065</v>
      </c>
      <c r="H928" t="str">
        <f>"אלתא מערכות בע""מ"</f>
        <v>אלתא מערכות בע"מ</v>
      </c>
      <c r="I928" t="str">
        <f>"ערן שלו"</f>
        <v>ערן שלו</v>
      </c>
      <c r="J928" t="str">
        <f>"OP-AR02104"</f>
        <v>OP-AR02104</v>
      </c>
      <c r="K928" s="1" t="str">
        <f>"1032F921-001/-   ETHERNET CABLE MFR-W921 - FILTE"</f>
        <v>1032F921-001/-   ETHERNET CABLE MFR-W921 - FILTE</v>
      </c>
      <c r="L928">
        <v>8</v>
      </c>
      <c r="M928" t="str">
        <f>"PR20000834"</f>
        <v>PR20000834</v>
      </c>
      <c r="N928" t="str">
        <f>"BEL"</f>
        <v>BEL</v>
      </c>
      <c r="O928">
        <v>174</v>
      </c>
      <c r="P928" t="str">
        <f>"$"</f>
        <v>$</v>
      </c>
      <c r="Q928" t="str">
        <f>"117"</f>
        <v>117</v>
      </c>
      <c r="R928" t="str">
        <f>"רתמות"</f>
        <v>רתמות</v>
      </c>
      <c r="S928" t="str">
        <f>"034"</f>
        <v>034</v>
      </c>
      <c r="T928" t="str">
        <f>"מוסקוביץ אולגה"</f>
        <v>מוסקוביץ אולגה</v>
      </c>
      <c r="U928">
        <v>0</v>
      </c>
      <c r="V928">
        <v>0</v>
      </c>
      <c r="W928">
        <v>174</v>
      </c>
      <c r="X928" s="2">
        <v>1392</v>
      </c>
      <c r="Z928" t="str">
        <f>"Y"</f>
        <v>Y</v>
      </c>
      <c r="AA928">
        <v>0</v>
      </c>
      <c r="AC928">
        <v>0</v>
      </c>
      <c r="AE928">
        <v>0</v>
      </c>
      <c r="AF928">
        <v>0</v>
      </c>
      <c r="AG928">
        <v>581.86</v>
      </c>
      <c r="AH928">
        <v>0</v>
      </c>
      <c r="AI928" s="2">
        <v>4654.8500000000004</v>
      </c>
      <c r="AJ928" s="2">
        <v>1392</v>
      </c>
      <c r="AK928" s="2">
        <v>1392</v>
      </c>
      <c r="AL928" t="str">
        <f>"$"</f>
        <v>$</v>
      </c>
    </row>
    <row r="929" spans="1:38" x14ac:dyDescent="0.3">
      <c r="A929" t="str">
        <f>"SO20000534"</f>
        <v>SO20000534</v>
      </c>
      <c r="B929" t="str">
        <f>"E000326268"</f>
        <v>E000326268</v>
      </c>
      <c r="C929" t="str">
        <f>"בוצעה"</f>
        <v>בוצעה</v>
      </c>
      <c r="E929" s="3">
        <v>44154</v>
      </c>
      <c r="F929" s="3">
        <v>44228</v>
      </c>
      <c r="G929" t="str">
        <f>"700065"</f>
        <v>700065</v>
      </c>
      <c r="H929" t="str">
        <f>"אלתא מערכות בע""מ"</f>
        <v>אלתא מערכות בע"מ</v>
      </c>
      <c r="I929" t="str">
        <f>"ערן שלו"</f>
        <v>ערן שלו</v>
      </c>
      <c r="J929" t="str">
        <f>"OP-AR02100"</f>
        <v>OP-AR02100</v>
      </c>
      <c r="K929" s="1" t="str">
        <f>"4019B121-001/-  BURN CABLE ASSY"</f>
        <v>4019B121-001/-  BURN CABLE ASSY</v>
      </c>
      <c r="L929">
        <v>4</v>
      </c>
      <c r="M929" t="str">
        <f>"PR20000803"</f>
        <v>PR20000803</v>
      </c>
      <c r="N929" t="str">
        <f>"BURN CABLE ASSY"</f>
        <v>BURN CABLE ASSY</v>
      </c>
      <c r="O929">
        <v>419.74</v>
      </c>
      <c r="P929" t="str">
        <f>"$"</f>
        <v>$</v>
      </c>
      <c r="Q929" t="str">
        <f>"117"</f>
        <v>117</v>
      </c>
      <c r="R929" t="str">
        <f>"רתמות"</f>
        <v>רתמות</v>
      </c>
      <c r="S929" t="str">
        <f>"034"</f>
        <v>034</v>
      </c>
      <c r="T929" t="str">
        <f>"מוסקוביץ אולגה"</f>
        <v>מוסקוביץ אולגה</v>
      </c>
      <c r="U929">
        <v>0</v>
      </c>
      <c r="V929">
        <v>0</v>
      </c>
      <c r="W929">
        <v>419.74</v>
      </c>
      <c r="X929" s="2">
        <v>1678.96</v>
      </c>
      <c r="Z929" t="str">
        <f>"Y"</f>
        <v>Y</v>
      </c>
      <c r="AA929">
        <v>0</v>
      </c>
      <c r="AC929">
        <v>0</v>
      </c>
      <c r="AE929">
        <v>0</v>
      </c>
      <c r="AF929">
        <v>0</v>
      </c>
      <c r="AG929" s="2">
        <v>1406.55</v>
      </c>
      <c r="AH929">
        <v>0</v>
      </c>
      <c r="AI929" s="2">
        <v>5626.19</v>
      </c>
      <c r="AJ929" s="2">
        <v>1678.96</v>
      </c>
      <c r="AK929" s="2">
        <v>1678.96</v>
      </c>
      <c r="AL929" t="str">
        <f>"$"</f>
        <v>$</v>
      </c>
    </row>
    <row r="930" spans="1:38" x14ac:dyDescent="0.3">
      <c r="A930" t="str">
        <f>"SO20000538"</f>
        <v>SO20000538</v>
      </c>
      <c r="B930" t="str">
        <f>"E000326639"</f>
        <v>E000326639</v>
      </c>
      <c r="C930" t="str">
        <f>"בוצעה"</f>
        <v>בוצעה</v>
      </c>
      <c r="E930" s="3">
        <v>44157</v>
      </c>
      <c r="F930" s="3">
        <v>44170</v>
      </c>
      <c r="G930" t="str">
        <f>"700065"</f>
        <v>700065</v>
      </c>
      <c r="H930" t="str">
        <f>"אלתא מערכות בע""מ"</f>
        <v>אלתא מערכות בע"מ</v>
      </c>
      <c r="I930" t="str">
        <f>"ערן שלו"</f>
        <v>ערן שלו</v>
      </c>
      <c r="J930" t="str">
        <f>"PD0300225"</f>
        <v>PD0300225</v>
      </c>
      <c r="K930" s="1" t="str">
        <f>"רגש טמפרטורה ולחות COMET T3110 4-20mA"</f>
        <v>רגש טמפרטורה ולחות COMET T3110 4-20mA</v>
      </c>
      <c r="L930">
        <v>2</v>
      </c>
      <c r="M930" t="str">
        <f>"PR20000821"</f>
        <v>PR20000821</v>
      </c>
      <c r="N930" t="str">
        <f>"4   PD0300225 יח"</f>
        <v>4   PD0300225 יח</v>
      </c>
      <c r="O930">
        <v>245</v>
      </c>
      <c r="P930" t="str">
        <f>"$"</f>
        <v>$</v>
      </c>
      <c r="Q930" t="str">
        <f>"000"</f>
        <v>000</v>
      </c>
      <c r="R930" t="str">
        <f>"כללית"</f>
        <v>כללית</v>
      </c>
      <c r="S930" t="str">
        <f>"034"</f>
        <v>034</v>
      </c>
      <c r="T930" t="str">
        <f>"מוסקוביץ אולגה"</f>
        <v>מוסקוביץ אולגה</v>
      </c>
      <c r="U930">
        <v>0</v>
      </c>
      <c r="V930">
        <v>0</v>
      </c>
      <c r="W930">
        <v>245</v>
      </c>
      <c r="X930">
        <v>490</v>
      </c>
      <c r="Z930" t="str">
        <f>"Y"</f>
        <v>Y</v>
      </c>
      <c r="AA930">
        <v>0</v>
      </c>
      <c r="AC930">
        <v>0</v>
      </c>
      <c r="AE930">
        <v>0</v>
      </c>
      <c r="AF930">
        <v>0</v>
      </c>
      <c r="AG930">
        <v>819.28</v>
      </c>
      <c r="AH930">
        <v>0</v>
      </c>
      <c r="AI930" s="2">
        <v>1638.56</v>
      </c>
      <c r="AJ930">
        <v>490</v>
      </c>
      <c r="AK930">
        <v>490</v>
      </c>
      <c r="AL930" t="str">
        <f>"$"</f>
        <v>$</v>
      </c>
    </row>
    <row r="931" spans="1:38" x14ac:dyDescent="0.3">
      <c r="A931" t="str">
        <f>"SO20000538"</f>
        <v>SO20000538</v>
      </c>
      <c r="B931" t="str">
        <f>"E000326639"</f>
        <v>E000326639</v>
      </c>
      <c r="C931" t="str">
        <f>"בוצעה"</f>
        <v>בוצעה</v>
      </c>
      <c r="E931" s="3">
        <v>44157</v>
      </c>
      <c r="F931" s="3">
        <v>44170</v>
      </c>
      <c r="G931" t="str">
        <f>"700065"</f>
        <v>700065</v>
      </c>
      <c r="H931" t="str">
        <f>"אלתא מערכות בע""מ"</f>
        <v>אלתא מערכות בע"מ</v>
      </c>
      <c r="I931" t="str">
        <f>"ערן שלו"</f>
        <v>ערן שלו</v>
      </c>
      <c r="J931" t="str">
        <f>"PD0300225"</f>
        <v>PD0300225</v>
      </c>
      <c r="K931" s="1" t="str">
        <f>"רגש טמפרטורה ולחות COMET T3110 4-20mA"</f>
        <v>רגש טמפרטורה ולחות COMET T3110 4-20mA</v>
      </c>
      <c r="L931">
        <v>2</v>
      </c>
      <c r="M931" t="str">
        <f>"PR20000821"</f>
        <v>PR20000821</v>
      </c>
      <c r="N931" t="str">
        <f>"4   PD0300225 יח"</f>
        <v>4   PD0300225 יח</v>
      </c>
      <c r="O931">
        <v>245</v>
      </c>
      <c r="P931" t="str">
        <f>"$"</f>
        <v>$</v>
      </c>
      <c r="Q931" t="str">
        <f>"000"</f>
        <v>000</v>
      </c>
      <c r="R931" t="str">
        <f>"כללית"</f>
        <v>כללית</v>
      </c>
      <c r="S931" t="str">
        <f>"034"</f>
        <v>034</v>
      </c>
      <c r="T931" t="str">
        <f>"מוסקוביץ אולגה"</f>
        <v>מוסקוביץ אולגה</v>
      </c>
      <c r="U931">
        <v>0</v>
      </c>
      <c r="V931">
        <v>0</v>
      </c>
      <c r="W931">
        <v>245</v>
      </c>
      <c r="X931">
        <v>490</v>
      </c>
      <c r="Z931" t="str">
        <f>"Y"</f>
        <v>Y</v>
      </c>
      <c r="AA931">
        <v>0</v>
      </c>
      <c r="AC931">
        <v>0</v>
      </c>
      <c r="AE931">
        <v>0</v>
      </c>
      <c r="AF931">
        <v>0</v>
      </c>
      <c r="AG931">
        <v>819.28</v>
      </c>
      <c r="AH931">
        <v>0</v>
      </c>
      <c r="AI931" s="2">
        <v>1638.56</v>
      </c>
      <c r="AJ931">
        <v>490</v>
      </c>
      <c r="AK931">
        <v>490</v>
      </c>
      <c r="AL931" t="str">
        <f>"$"</f>
        <v>$</v>
      </c>
    </row>
    <row r="932" spans="1:38" x14ac:dyDescent="0.3">
      <c r="A932" t="str">
        <f>"SO20000544"</f>
        <v>SO20000544</v>
      </c>
      <c r="B932" t="str">
        <f>"E000326960"</f>
        <v>E000326960</v>
      </c>
      <c r="C932" t="str">
        <f>"בוצעה"</f>
        <v>בוצעה</v>
      </c>
      <c r="E932" s="3">
        <v>44159</v>
      </c>
      <c r="F932" s="3">
        <v>44234</v>
      </c>
      <c r="G932" t="str">
        <f>"700065"</f>
        <v>700065</v>
      </c>
      <c r="H932" t="str">
        <f>"אלתא מערכות בע""מ"</f>
        <v>אלתא מערכות בע"מ</v>
      </c>
      <c r="I932" t="str">
        <f>"ערן שלו"</f>
        <v>ערן שלו</v>
      </c>
      <c r="J932" t="str">
        <f>"CB1100123"</f>
        <v>CB1100123</v>
      </c>
      <c r="K932" s="1" t="str">
        <f>"LB-PDB BATTERY CHARGER CABLE"</f>
        <v>LB-PDB BATTERY CHARGER CABLE</v>
      </c>
      <c r="L932">
        <v>5</v>
      </c>
      <c r="M932" t="str">
        <f>"PR20000825"</f>
        <v>PR20000825</v>
      </c>
      <c r="N932" t="str">
        <f>"LB-PDB BATTERY CHARGER CABLE"</f>
        <v>LB-PDB BATTERY CHARGER CABLE</v>
      </c>
      <c r="O932">
        <v>255</v>
      </c>
      <c r="P932" t="str">
        <f>"$"</f>
        <v>$</v>
      </c>
      <c r="Q932" t="str">
        <f>"117"</f>
        <v>117</v>
      </c>
      <c r="R932" t="str">
        <f>"רתמות"</f>
        <v>רתמות</v>
      </c>
      <c r="S932" t="str">
        <f>"034"</f>
        <v>034</v>
      </c>
      <c r="T932" t="str">
        <f>"מוסקוביץ אולגה"</f>
        <v>מוסקוביץ אולגה</v>
      </c>
      <c r="U932">
        <v>0</v>
      </c>
      <c r="V932">
        <v>0</v>
      </c>
      <c r="W932">
        <v>255</v>
      </c>
      <c r="X932" s="2">
        <v>1275</v>
      </c>
      <c r="Z932" t="str">
        <f>"Y"</f>
        <v>Y</v>
      </c>
      <c r="AA932">
        <v>0</v>
      </c>
      <c r="AC932">
        <v>0</v>
      </c>
      <c r="AE932">
        <v>0</v>
      </c>
      <c r="AF932">
        <v>0</v>
      </c>
      <c r="AG932">
        <v>851.96</v>
      </c>
      <c r="AH932">
        <v>0</v>
      </c>
      <c r="AI932" s="2">
        <v>4259.78</v>
      </c>
      <c r="AJ932" s="2">
        <v>1275</v>
      </c>
      <c r="AK932" s="2">
        <v>1275</v>
      </c>
      <c r="AL932" t="str">
        <f>"$"</f>
        <v>$</v>
      </c>
    </row>
    <row r="933" spans="1:38" x14ac:dyDescent="0.3">
      <c r="A933" t="str">
        <f>"SO20000545"</f>
        <v>SO20000545</v>
      </c>
      <c r="B933" t="str">
        <f>"E000326055"</f>
        <v>E000326055</v>
      </c>
      <c r="C933" t="str">
        <f>"בוצעה"</f>
        <v>בוצעה</v>
      </c>
      <c r="E933" s="3">
        <v>44160</v>
      </c>
      <c r="F933" s="3">
        <v>44438</v>
      </c>
      <c r="G933" t="str">
        <f>"700065"</f>
        <v>700065</v>
      </c>
      <c r="H933" t="str">
        <f>"אלתא מערכות בע""מ"</f>
        <v>אלתא מערכות בע"מ</v>
      </c>
      <c r="I933" t="str">
        <f>"רוני דידי"</f>
        <v>רוני דידי</v>
      </c>
      <c r="J933" t="str">
        <f>"OP-ML00191"</f>
        <v>OP-ML00191</v>
      </c>
      <c r="K933" s="1" t="str">
        <f>"מכולת כיול  - 1040U410-001"</f>
        <v>מכולת כיול  - 1040U410-001</v>
      </c>
      <c r="L933">
        <v>1</v>
      </c>
      <c r="M933" t="str">
        <f>"PR20000826"</f>
        <v>PR20000826</v>
      </c>
      <c r="N933" t="str">
        <f>"מכולת כיול  -1040U410-01"</f>
        <v>מכולת כיול  -1040U410-01</v>
      </c>
      <c r="O933" s="2">
        <v>144375</v>
      </c>
      <c r="P933" t="str">
        <f>"$"</f>
        <v>$</v>
      </c>
      <c r="Q933" t="str">
        <f>"119"</f>
        <v>119</v>
      </c>
      <c r="R933" t="str">
        <f>"פלטפורמות"</f>
        <v>פלטפורמות</v>
      </c>
      <c r="S933" t="str">
        <f>"007"</f>
        <v>007</v>
      </c>
      <c r="T933" t="str">
        <f>"מוסקוביץ אולגה"</f>
        <v>מוסקוביץ אולגה</v>
      </c>
      <c r="U933">
        <v>0</v>
      </c>
      <c r="V933">
        <v>0</v>
      </c>
      <c r="W933" s="2">
        <v>144375</v>
      </c>
      <c r="X933" s="2">
        <v>144375</v>
      </c>
      <c r="Z933" t="str">
        <f>"Y"</f>
        <v>Y</v>
      </c>
      <c r="AA933">
        <v>0</v>
      </c>
      <c r="AC933">
        <v>0</v>
      </c>
      <c r="AE933">
        <v>0</v>
      </c>
      <c r="AF933">
        <v>0</v>
      </c>
      <c r="AG933" s="2">
        <v>480046.88</v>
      </c>
      <c r="AH933">
        <v>0</v>
      </c>
      <c r="AI933" s="2">
        <v>480046.88</v>
      </c>
      <c r="AJ933" s="2">
        <v>144375</v>
      </c>
      <c r="AK933" s="2">
        <v>144375</v>
      </c>
      <c r="AL933" t="str">
        <f>"$"</f>
        <v>$</v>
      </c>
    </row>
    <row r="934" spans="1:38" x14ac:dyDescent="0.3">
      <c r="A934" t="str">
        <f>"SO20000545"</f>
        <v>SO20000545</v>
      </c>
      <c r="B934" t="str">
        <f>"E000326055"</f>
        <v>E000326055</v>
      </c>
      <c r="C934" t="str">
        <f>"בוצעה"</f>
        <v>בוצעה</v>
      </c>
      <c r="E934" s="3">
        <v>44160</v>
      </c>
      <c r="F934" s="3">
        <v>44438</v>
      </c>
      <c r="G934" t="str">
        <f>"700065"</f>
        <v>700065</v>
      </c>
      <c r="H934" t="str">
        <f>"אלתא מערכות בע""מ"</f>
        <v>אלתא מערכות בע"מ</v>
      </c>
      <c r="I934" t="str">
        <f>"רוני דידי"</f>
        <v>רוני דידי</v>
      </c>
      <c r="J934" t="str">
        <f>"000"</f>
        <v>000</v>
      </c>
      <c r="K934" s="1" t="str">
        <f>"NRE תכנון המכולה"</f>
        <v>NRE תכנון המכולה</v>
      </c>
      <c r="L934">
        <v>1</v>
      </c>
      <c r="M934" t="str">
        <f>"PR20000826"</f>
        <v>PR20000826</v>
      </c>
      <c r="N934" t="str">
        <f>"מכולת כיול  -1040U410-01"</f>
        <v>מכולת כיול  -1040U410-01</v>
      </c>
      <c r="O934" s="2">
        <v>33075</v>
      </c>
      <c r="P934" t="str">
        <f>"$"</f>
        <v>$</v>
      </c>
      <c r="Q934" t="str">
        <f>"119"</f>
        <v>119</v>
      </c>
      <c r="R934" t="str">
        <f>"פלטפורמות"</f>
        <v>פלטפורמות</v>
      </c>
      <c r="S934" t="str">
        <f>"007"</f>
        <v>007</v>
      </c>
      <c r="T934" t="str">
        <f>"מוסקוביץ אולגה"</f>
        <v>מוסקוביץ אולגה</v>
      </c>
      <c r="U934">
        <v>0</v>
      </c>
      <c r="V934">
        <v>0</v>
      </c>
      <c r="W934" s="2">
        <v>33075</v>
      </c>
      <c r="X934" s="2">
        <v>33075</v>
      </c>
      <c r="Z934" t="str">
        <f>"Y"</f>
        <v>Y</v>
      </c>
      <c r="AA934">
        <v>1</v>
      </c>
      <c r="AC934">
        <v>0</v>
      </c>
      <c r="AE934">
        <v>0</v>
      </c>
      <c r="AF934">
        <v>0</v>
      </c>
      <c r="AG934" s="2">
        <v>109974.38</v>
      </c>
      <c r="AH934">
        <v>0</v>
      </c>
      <c r="AI934" s="2">
        <v>109974.38</v>
      </c>
      <c r="AJ934" s="2">
        <v>33075</v>
      </c>
      <c r="AK934" s="2">
        <v>33075</v>
      </c>
      <c r="AL934" t="str">
        <f>"$"</f>
        <v>$</v>
      </c>
    </row>
    <row r="935" spans="1:38" x14ac:dyDescent="0.3">
      <c r="A935" t="str">
        <f>"SO20000545"</f>
        <v>SO20000545</v>
      </c>
      <c r="B935" t="str">
        <f>"E000326055"</f>
        <v>E000326055</v>
      </c>
      <c r="C935" t="str">
        <f>"בוצעה"</f>
        <v>בוצעה</v>
      </c>
      <c r="E935" s="3">
        <v>44160</v>
      </c>
      <c r="F935" s="3">
        <v>44536</v>
      </c>
      <c r="G935" t="str">
        <f>"700065"</f>
        <v>700065</v>
      </c>
      <c r="H935" t="str">
        <f>"אלתא מערכות בע""מ"</f>
        <v>אלתא מערכות בע"מ</v>
      </c>
      <c r="I935" t="str">
        <f>"רוני דידי"</f>
        <v>רוני דידי</v>
      </c>
      <c r="J935" t="str">
        <f>"000"</f>
        <v>000</v>
      </c>
      <c r="K935" s="1" t="str">
        <f>"1040U410-001 מכולת כיול"</f>
        <v>1040U410-001 מכולת כיול</v>
      </c>
      <c r="L935">
        <v>1</v>
      </c>
      <c r="M935" t="str">
        <f>"PR20000826"</f>
        <v>PR20000826</v>
      </c>
      <c r="N935" t="str">
        <f>"מכולת כיול  -1040U410-01"</f>
        <v>מכולת כיול  -1040U410-01</v>
      </c>
      <c r="O935">
        <v>0</v>
      </c>
      <c r="P935" t="str">
        <f>"$"</f>
        <v>$</v>
      </c>
      <c r="Q935" t="str">
        <f>"119"</f>
        <v>119</v>
      </c>
      <c r="R935" t="str">
        <f>"פלטפורמות"</f>
        <v>פלטפורמות</v>
      </c>
      <c r="S935" t="str">
        <f>"007"</f>
        <v>007</v>
      </c>
      <c r="T935" t="str">
        <f>"מוסקוביץ אולגה"</f>
        <v>מוסקוביץ אולגה</v>
      </c>
      <c r="U935">
        <v>0</v>
      </c>
      <c r="V935">
        <v>0</v>
      </c>
      <c r="W935">
        <v>0</v>
      </c>
      <c r="X935">
        <v>0</v>
      </c>
      <c r="Z935" t="str">
        <f>"Y"</f>
        <v>Y</v>
      </c>
      <c r="AA935">
        <v>0</v>
      </c>
      <c r="AC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 t="str">
        <f>"$"</f>
        <v>$</v>
      </c>
    </row>
    <row r="936" spans="1:38" x14ac:dyDescent="0.3">
      <c r="A936" t="str">
        <f>"SO20000546"</f>
        <v>SO20000546</v>
      </c>
      <c r="B936" t="str">
        <f>"E000326044"</f>
        <v>E000326044</v>
      </c>
      <c r="C936" t="str">
        <f>"מאושרת לחיוב"</f>
        <v>מאושרת לחיוב</v>
      </c>
      <c r="E936" s="3">
        <v>44160</v>
      </c>
      <c r="F936" s="3">
        <v>44296</v>
      </c>
      <c r="G936" t="str">
        <f>"700065"</f>
        <v>700065</v>
      </c>
      <c r="H936" t="str">
        <f>"אלתא מערכות בע""מ"</f>
        <v>אלתא מערכות בע"מ</v>
      </c>
      <c r="I936" t="str">
        <f>"ערן שלו"</f>
        <v>ערן שלו</v>
      </c>
      <c r="J936" t="str">
        <f>"OP-AR02136"</f>
        <v>OP-AR02136</v>
      </c>
      <c r="K936" s="1" t="str">
        <f>"1027C423-001/A   PDB1-P15 SHORT PLUG"</f>
        <v>1027C423-001/A   PDB1-P15 SHORT PLUG</v>
      </c>
      <c r="L936">
        <v>4</v>
      </c>
      <c r="M936" t="str">
        <f>"PR20000828"</f>
        <v>PR20000828</v>
      </c>
      <c r="N936" t="str">
        <f>"PDB1-P15 SHORT PLUG"</f>
        <v>PDB1-P15 SHORT PLUG</v>
      </c>
      <c r="O936">
        <v>123.36</v>
      </c>
      <c r="P936" t="str">
        <f>"$"</f>
        <v>$</v>
      </c>
      <c r="Q936" t="str">
        <f>"117"</f>
        <v>117</v>
      </c>
      <c r="R936" t="str">
        <f>"רתמות"</f>
        <v>רתמות</v>
      </c>
      <c r="S936" t="str">
        <f>"034"</f>
        <v>034</v>
      </c>
      <c r="T936" t="str">
        <f>"מוסקוביץ אולגה"</f>
        <v>מוסקוביץ אולגה</v>
      </c>
      <c r="U936">
        <v>0</v>
      </c>
      <c r="V936">
        <v>0</v>
      </c>
      <c r="W936">
        <v>123.36</v>
      </c>
      <c r="X936">
        <v>493.44</v>
      </c>
      <c r="Z936" t="str">
        <f>"Y"</f>
        <v>Y</v>
      </c>
      <c r="AA936">
        <v>0</v>
      </c>
      <c r="AC936">
        <v>0</v>
      </c>
      <c r="AE936">
        <v>0</v>
      </c>
      <c r="AF936">
        <v>0</v>
      </c>
      <c r="AG936">
        <v>410.17</v>
      </c>
      <c r="AH936">
        <v>0</v>
      </c>
      <c r="AI936" s="2">
        <v>1640.69</v>
      </c>
      <c r="AJ936">
        <v>493.44</v>
      </c>
      <c r="AK936">
        <v>493.44</v>
      </c>
      <c r="AL936" t="str">
        <f>"$"</f>
        <v>$</v>
      </c>
    </row>
    <row r="937" spans="1:38" x14ac:dyDescent="0.3">
      <c r="A937" t="str">
        <f>"SO20000546"</f>
        <v>SO20000546</v>
      </c>
      <c r="B937" t="str">
        <f>"E000326044"</f>
        <v>E000326044</v>
      </c>
      <c r="C937" t="str">
        <f>"מאושרת לחיוב"</f>
        <v>מאושרת לחיוב</v>
      </c>
      <c r="E937" s="3">
        <v>44160</v>
      </c>
      <c r="F937" s="3">
        <v>43931</v>
      </c>
      <c r="G937" t="str">
        <f>"700065"</f>
        <v>700065</v>
      </c>
      <c r="H937" t="str">
        <f>"אלתא מערכות בע""מ"</f>
        <v>אלתא מערכות בע"מ</v>
      </c>
      <c r="I937" t="str">
        <f>"ערן שלו"</f>
        <v>ערן שלו</v>
      </c>
      <c r="J937" t="str">
        <f>"OP-AR02137"</f>
        <v>OP-AR02137</v>
      </c>
      <c r="K937" s="1" t="str">
        <f>"1036U411-001/-   WP411 - PEDPNL TO PEDESTAL"</f>
        <v>1036U411-001/-   WP411 - PEDPNL TO PEDESTAL</v>
      </c>
      <c r="L937">
        <v>14</v>
      </c>
      <c r="M937" t="str">
        <f>"PR20000828"</f>
        <v>PR20000828</v>
      </c>
      <c r="N937" t="str">
        <f>"PDB1-P15 SHORT PLUG"</f>
        <v>PDB1-P15 SHORT PLUG</v>
      </c>
      <c r="O937">
        <v>411.07</v>
      </c>
      <c r="P937" t="str">
        <f>"$"</f>
        <v>$</v>
      </c>
      <c r="Q937" t="str">
        <f>"117"</f>
        <v>117</v>
      </c>
      <c r="R937" t="str">
        <f>"רתמות"</f>
        <v>רתמות</v>
      </c>
      <c r="S937" t="str">
        <f>"034"</f>
        <v>034</v>
      </c>
      <c r="T937" t="str">
        <f>"מוסקוביץ אולגה"</f>
        <v>מוסקוביץ אולגה</v>
      </c>
      <c r="U937">
        <v>0</v>
      </c>
      <c r="V937">
        <v>0</v>
      </c>
      <c r="W937">
        <v>411.07</v>
      </c>
      <c r="X937" s="2">
        <v>5754.98</v>
      </c>
      <c r="Z937" t="str">
        <f>"Y"</f>
        <v>Y</v>
      </c>
      <c r="AA937">
        <v>0</v>
      </c>
      <c r="AC937">
        <v>0</v>
      </c>
      <c r="AE937">
        <v>0</v>
      </c>
      <c r="AF937">
        <v>0</v>
      </c>
      <c r="AG937" s="2">
        <v>1366.81</v>
      </c>
      <c r="AH937">
        <v>0</v>
      </c>
      <c r="AI937" s="2">
        <v>19135.310000000001</v>
      </c>
      <c r="AJ937" s="2">
        <v>5754.98</v>
      </c>
      <c r="AK937" s="2">
        <v>5754.98</v>
      </c>
      <c r="AL937" t="str">
        <f>"$"</f>
        <v>$</v>
      </c>
    </row>
    <row r="938" spans="1:38" x14ac:dyDescent="0.3">
      <c r="A938" t="str">
        <f>"SO20000546"</f>
        <v>SO20000546</v>
      </c>
      <c r="B938" t="str">
        <f>"E000326044"</f>
        <v>E000326044</v>
      </c>
      <c r="C938" t="str">
        <f>"מאושרת לחיוב"</f>
        <v>מאושרת לחיוב</v>
      </c>
      <c r="E938" s="3">
        <v>44160</v>
      </c>
      <c r="F938" s="3">
        <v>44296</v>
      </c>
      <c r="G938" t="str">
        <f>"700065"</f>
        <v>700065</v>
      </c>
      <c r="H938" t="str">
        <f>"אלתא מערכות בע""מ"</f>
        <v>אלתא מערכות בע"מ</v>
      </c>
      <c r="I938" t="str">
        <f>"ערן שלו"</f>
        <v>ערן שלו</v>
      </c>
      <c r="J938" t="str">
        <f>"OP-AR02138"</f>
        <v>OP-AR02138</v>
      </c>
      <c r="K938" s="1" t="str">
        <f>"1036U412-001/-   WP412 - POWER AND CONTROL PEDES"</f>
        <v>1036U412-001/-   WP412 - POWER AND CONTROL PEDES</v>
      </c>
      <c r="L938">
        <v>5</v>
      </c>
      <c r="M938" t="str">
        <f>"PR20000828"</f>
        <v>PR20000828</v>
      </c>
      <c r="N938" t="str">
        <f>"PDB1-P15 SHORT PLUG"</f>
        <v>PDB1-P15 SHORT PLUG</v>
      </c>
      <c r="O938">
        <v>408.96</v>
      </c>
      <c r="P938" t="str">
        <f>"$"</f>
        <v>$</v>
      </c>
      <c r="Q938" t="str">
        <f>"117"</f>
        <v>117</v>
      </c>
      <c r="R938" t="str">
        <f>"רתמות"</f>
        <v>רתמות</v>
      </c>
      <c r="S938" t="str">
        <f>"034"</f>
        <v>034</v>
      </c>
      <c r="T938" t="str">
        <f>"מוסקוביץ אולגה"</f>
        <v>מוסקוביץ אולגה</v>
      </c>
      <c r="U938">
        <v>0</v>
      </c>
      <c r="V938">
        <v>0</v>
      </c>
      <c r="W938">
        <v>408.96</v>
      </c>
      <c r="X938" s="2">
        <v>2044.8</v>
      </c>
      <c r="Z938" t="str">
        <f>"Y"</f>
        <v>Y</v>
      </c>
      <c r="AA938">
        <v>0</v>
      </c>
      <c r="AC938">
        <v>0</v>
      </c>
      <c r="AE938">
        <v>0</v>
      </c>
      <c r="AF938">
        <v>0</v>
      </c>
      <c r="AG938" s="2">
        <v>1359.79</v>
      </c>
      <c r="AH938">
        <v>0</v>
      </c>
      <c r="AI938" s="2">
        <v>6798.96</v>
      </c>
      <c r="AJ938" s="2">
        <v>2044.8</v>
      </c>
      <c r="AK938" s="2">
        <v>2044.8</v>
      </c>
      <c r="AL938" t="str">
        <f>"$"</f>
        <v>$</v>
      </c>
    </row>
    <row r="939" spans="1:38" x14ac:dyDescent="0.3">
      <c r="A939" t="str">
        <f>"SO20000546"</f>
        <v>SO20000546</v>
      </c>
      <c r="B939" t="str">
        <f>"E000326044"</f>
        <v>E000326044</v>
      </c>
      <c r="C939" t="str">
        <f>"מאושרת לחיוב"</f>
        <v>מאושרת לחיוב</v>
      </c>
      <c r="E939" s="3">
        <v>44160</v>
      </c>
      <c r="F939" s="3">
        <v>44296</v>
      </c>
      <c r="G939" t="str">
        <f>"700065"</f>
        <v>700065</v>
      </c>
      <c r="H939" t="str">
        <f>"אלתא מערכות בע""מ"</f>
        <v>אלתא מערכות בע"מ</v>
      </c>
      <c r="I939" t="str">
        <f>"ערן שלו"</f>
        <v>ערן שלו</v>
      </c>
      <c r="J939" t="str">
        <f>"OP-AR02139"</f>
        <v>OP-AR02139</v>
      </c>
      <c r="K939" s="1" t="str">
        <f>"1036U413-001/-   WP413 - POWER 320VDC PEDESTAL T"</f>
        <v>1036U413-001/-   WP413 - POWER 320VDC PEDESTAL T</v>
      </c>
      <c r="L939">
        <v>14</v>
      </c>
      <c r="M939" t="str">
        <f>"PR20000828"</f>
        <v>PR20000828</v>
      </c>
      <c r="N939" t="str">
        <f>"PDB1-P15 SHORT PLUG"</f>
        <v>PDB1-P15 SHORT PLUG</v>
      </c>
      <c r="O939">
        <v>634.89</v>
      </c>
      <c r="P939" t="str">
        <f>"$"</f>
        <v>$</v>
      </c>
      <c r="Q939" t="str">
        <f>"117"</f>
        <v>117</v>
      </c>
      <c r="R939" t="str">
        <f>"רתמות"</f>
        <v>רתמות</v>
      </c>
      <c r="S939" t="str">
        <f>"034"</f>
        <v>034</v>
      </c>
      <c r="T939" t="str">
        <f>"מוסקוביץ אולגה"</f>
        <v>מוסקוביץ אולגה</v>
      </c>
      <c r="U939">
        <v>0</v>
      </c>
      <c r="V939">
        <v>0</v>
      </c>
      <c r="W939">
        <v>634.89</v>
      </c>
      <c r="X939" s="2">
        <v>8888.4599999999991</v>
      </c>
      <c r="Z939" t="str">
        <f>"Y"</f>
        <v>Y</v>
      </c>
      <c r="AA939">
        <v>0</v>
      </c>
      <c r="AC939">
        <v>0</v>
      </c>
      <c r="AE939">
        <v>0</v>
      </c>
      <c r="AF939">
        <v>0</v>
      </c>
      <c r="AG939" s="2">
        <v>2111.0100000000002</v>
      </c>
      <c r="AH939">
        <v>0</v>
      </c>
      <c r="AI939" s="2">
        <v>29554.13</v>
      </c>
      <c r="AJ939" s="2">
        <v>8888.4599999999991</v>
      </c>
      <c r="AK939" s="2">
        <v>8888.4599999999991</v>
      </c>
      <c r="AL939" t="str">
        <f>"$"</f>
        <v>$</v>
      </c>
    </row>
    <row r="940" spans="1:38" x14ac:dyDescent="0.3">
      <c r="A940" t="str">
        <f>"SO20000546"</f>
        <v>SO20000546</v>
      </c>
      <c r="B940" t="str">
        <f>"E000326044"</f>
        <v>E000326044</v>
      </c>
      <c r="C940" t="str">
        <f>"מאושרת לחיוב"</f>
        <v>מאושרת לחיוב</v>
      </c>
      <c r="E940" s="3">
        <v>44160</v>
      </c>
      <c r="F940" s="3">
        <v>44296</v>
      </c>
      <c r="G940" t="str">
        <f>"700065"</f>
        <v>700065</v>
      </c>
      <c r="H940" t="str">
        <f>"אלתא מערכות בע""מ"</f>
        <v>אלתא מערכות בע"מ</v>
      </c>
      <c r="I940" t="str">
        <f>"ערן שלו"</f>
        <v>ערן שלו</v>
      </c>
      <c r="J940" t="str">
        <f>"OP-AR02140"</f>
        <v>OP-AR02140</v>
      </c>
      <c r="K940" s="1" t="str">
        <f>"1036U414-001/-   WP414 - POWER 320VDC PEDESTAL T"</f>
        <v>1036U414-001/-   WP414 - POWER 320VDC PEDESTAL T</v>
      </c>
      <c r="L940">
        <v>14</v>
      </c>
      <c r="M940" t="str">
        <f>"PR20000828"</f>
        <v>PR20000828</v>
      </c>
      <c r="N940" t="str">
        <f>"PDB1-P15 SHORT PLUG"</f>
        <v>PDB1-P15 SHORT PLUG</v>
      </c>
      <c r="O940">
        <v>641.83000000000004</v>
      </c>
      <c r="P940" t="str">
        <f>"$"</f>
        <v>$</v>
      </c>
      <c r="Q940" t="str">
        <f>"117"</f>
        <v>117</v>
      </c>
      <c r="R940" t="str">
        <f>"רתמות"</f>
        <v>רתמות</v>
      </c>
      <c r="S940" t="str">
        <f>"034"</f>
        <v>034</v>
      </c>
      <c r="T940" t="str">
        <f>"מוסקוביץ אולגה"</f>
        <v>מוסקוביץ אולגה</v>
      </c>
      <c r="U940">
        <v>0</v>
      </c>
      <c r="V940">
        <v>0</v>
      </c>
      <c r="W940">
        <v>641.83000000000004</v>
      </c>
      <c r="X940" s="2">
        <v>8985.6200000000008</v>
      </c>
      <c r="Z940" t="str">
        <f>"Y"</f>
        <v>Y</v>
      </c>
      <c r="AA940">
        <v>0</v>
      </c>
      <c r="AC940">
        <v>0</v>
      </c>
      <c r="AE940">
        <v>0</v>
      </c>
      <c r="AF940">
        <v>0</v>
      </c>
      <c r="AG940" s="2">
        <v>2134.08</v>
      </c>
      <c r="AH940">
        <v>0</v>
      </c>
      <c r="AI940" s="2">
        <v>29877.19</v>
      </c>
      <c r="AJ940" s="2">
        <v>8985.6200000000008</v>
      </c>
      <c r="AK940" s="2">
        <v>8985.6200000000008</v>
      </c>
      <c r="AL940" t="str">
        <f>"$"</f>
        <v>$</v>
      </c>
    </row>
    <row r="941" spans="1:38" x14ac:dyDescent="0.3">
      <c r="A941" t="str">
        <f>"SO20000546"</f>
        <v>SO20000546</v>
      </c>
      <c r="B941" t="str">
        <f>"E000326044"</f>
        <v>E000326044</v>
      </c>
      <c r="C941" t="str">
        <f>"מאושרת לחיוב"</f>
        <v>מאושרת לחיוב</v>
      </c>
      <c r="E941" s="3">
        <v>44160</v>
      </c>
      <c r="F941" s="3">
        <v>44296</v>
      </c>
      <c r="G941" t="str">
        <f>"700065"</f>
        <v>700065</v>
      </c>
      <c r="H941" t="str">
        <f>"אלתא מערכות בע""מ"</f>
        <v>אלתא מערכות בע"מ</v>
      </c>
      <c r="I941" t="str">
        <f>"ערן שלו"</f>
        <v>ערן שלו</v>
      </c>
      <c r="J941" t="str">
        <f>"OP-AR02141"</f>
        <v>OP-AR02141</v>
      </c>
      <c r="K941" s="1" t="str">
        <f>"1036U415-001/-   WP415 - POWER 320VDC PEDESTAL T"</f>
        <v>1036U415-001/-   WP415 - POWER 320VDC PEDESTAL T</v>
      </c>
      <c r="L941">
        <v>14</v>
      </c>
      <c r="M941" t="str">
        <f>"PR20000828"</f>
        <v>PR20000828</v>
      </c>
      <c r="N941" t="str">
        <f>"PDB1-P15 SHORT PLUG"</f>
        <v>PDB1-P15 SHORT PLUG</v>
      </c>
      <c r="O941">
        <v>648.77</v>
      </c>
      <c r="P941" t="str">
        <f>"$"</f>
        <v>$</v>
      </c>
      <c r="Q941" t="str">
        <f>"117"</f>
        <v>117</v>
      </c>
      <c r="R941" t="str">
        <f>"רתמות"</f>
        <v>רתמות</v>
      </c>
      <c r="S941" t="str">
        <f>"034"</f>
        <v>034</v>
      </c>
      <c r="T941" t="str">
        <f>"מוסקוביץ אולגה"</f>
        <v>מוסקוביץ אולגה</v>
      </c>
      <c r="U941">
        <v>0</v>
      </c>
      <c r="V941">
        <v>0</v>
      </c>
      <c r="W941">
        <v>648.77</v>
      </c>
      <c r="X941" s="2">
        <v>9082.7800000000007</v>
      </c>
      <c r="Z941" t="str">
        <f>"Y"</f>
        <v>Y</v>
      </c>
      <c r="AA941">
        <v>0</v>
      </c>
      <c r="AC941">
        <v>0</v>
      </c>
      <c r="AE941">
        <v>0</v>
      </c>
      <c r="AF941">
        <v>0</v>
      </c>
      <c r="AG941" s="2">
        <v>2157.16</v>
      </c>
      <c r="AH941">
        <v>0</v>
      </c>
      <c r="AI941" s="2">
        <v>30200.240000000002</v>
      </c>
      <c r="AJ941" s="2">
        <v>9082.7800000000007</v>
      </c>
      <c r="AK941" s="2">
        <v>9082.7800000000007</v>
      </c>
      <c r="AL941" t="str">
        <f>"$"</f>
        <v>$</v>
      </c>
    </row>
    <row r="942" spans="1:38" x14ac:dyDescent="0.3">
      <c r="A942" t="str">
        <f>"SO20000546"</f>
        <v>SO20000546</v>
      </c>
      <c r="B942" t="str">
        <f>"E000326044"</f>
        <v>E000326044</v>
      </c>
      <c r="C942" t="str">
        <f>"מאושרת לחיוב"</f>
        <v>מאושרת לחיוב</v>
      </c>
      <c r="E942" s="3">
        <v>44160</v>
      </c>
      <c r="F942" s="3">
        <v>44296</v>
      </c>
      <c r="G942" t="str">
        <f>"700065"</f>
        <v>700065</v>
      </c>
      <c r="H942" t="str">
        <f>"אלתא מערכות בע""מ"</f>
        <v>אלתא מערכות בע"מ</v>
      </c>
      <c r="I942" t="str">
        <f>"ערן שלו"</f>
        <v>ערן שלו</v>
      </c>
      <c r="J942" t="str">
        <f>"OP-AR02142"</f>
        <v>OP-AR02142</v>
      </c>
      <c r="K942" s="1" t="str">
        <f>"1036U416-001/-   WP416 - POWER 320VDC PEDESTAL T"</f>
        <v>1036U416-001/-   WP416 - POWER 320VDC PEDESTAL T</v>
      </c>
      <c r="L942">
        <v>14</v>
      </c>
      <c r="M942" t="str">
        <f>"PR20000828"</f>
        <v>PR20000828</v>
      </c>
      <c r="N942" t="str">
        <f>"PDB1-P15 SHORT PLUG"</f>
        <v>PDB1-P15 SHORT PLUG</v>
      </c>
      <c r="O942">
        <v>636.94000000000005</v>
      </c>
      <c r="P942" t="str">
        <f>"$"</f>
        <v>$</v>
      </c>
      <c r="Q942" t="str">
        <f>"117"</f>
        <v>117</v>
      </c>
      <c r="R942" t="str">
        <f>"רתמות"</f>
        <v>רתמות</v>
      </c>
      <c r="S942" t="str">
        <f>"034"</f>
        <v>034</v>
      </c>
      <c r="T942" t="str">
        <f>"מוסקוביץ אולגה"</f>
        <v>מוסקוביץ אולגה</v>
      </c>
      <c r="U942">
        <v>0</v>
      </c>
      <c r="V942">
        <v>0</v>
      </c>
      <c r="W942">
        <v>636.94000000000005</v>
      </c>
      <c r="X942" s="2">
        <v>8917.16</v>
      </c>
      <c r="Z942" t="str">
        <f>"Y"</f>
        <v>Y</v>
      </c>
      <c r="AA942">
        <v>0</v>
      </c>
      <c r="AC942">
        <v>0</v>
      </c>
      <c r="AE942">
        <v>0</v>
      </c>
      <c r="AF942">
        <v>0</v>
      </c>
      <c r="AG942" s="2">
        <v>2117.83</v>
      </c>
      <c r="AH942">
        <v>0</v>
      </c>
      <c r="AI942" s="2">
        <v>29649.56</v>
      </c>
      <c r="AJ942" s="2">
        <v>8917.16</v>
      </c>
      <c r="AK942" s="2">
        <v>8917.16</v>
      </c>
      <c r="AL942" t="str">
        <f>"$"</f>
        <v>$</v>
      </c>
    </row>
    <row r="943" spans="1:38" x14ac:dyDescent="0.3">
      <c r="A943" t="str">
        <f>"SO20000546"</f>
        <v>SO20000546</v>
      </c>
      <c r="B943" t="str">
        <f>"E000326044"</f>
        <v>E000326044</v>
      </c>
      <c r="C943" t="str">
        <f>"מאושרת לחיוב"</f>
        <v>מאושרת לחיוב</v>
      </c>
      <c r="E943" s="3">
        <v>44160</v>
      </c>
      <c r="F943" s="3">
        <v>44296</v>
      </c>
      <c r="G943" t="str">
        <f>"700065"</f>
        <v>700065</v>
      </c>
      <c r="H943" t="str">
        <f>"אלתא מערכות בע""מ"</f>
        <v>אלתא מערכות בע"מ</v>
      </c>
      <c r="I943" t="str">
        <f>"ערן שלו"</f>
        <v>ערן שלו</v>
      </c>
      <c r="J943" t="str">
        <f>"OP-AR02143"</f>
        <v>OP-AR02143</v>
      </c>
      <c r="K943" s="1" t="str">
        <f>"1036U420-001/-   WP420 - CONTROL PEDESTAL TO PED"</f>
        <v>1036U420-001/-   WP420 - CONTROL PEDESTAL TO PED</v>
      </c>
      <c r="L943">
        <v>14</v>
      </c>
      <c r="M943" t="str">
        <f>"PR20000828"</f>
        <v>PR20000828</v>
      </c>
      <c r="N943" t="str">
        <f>"PDB1-P15 SHORT PLUG"</f>
        <v>PDB1-P15 SHORT PLUG</v>
      </c>
      <c r="O943">
        <v>733.33</v>
      </c>
      <c r="P943" t="str">
        <f>"$"</f>
        <v>$</v>
      </c>
      <c r="Q943" t="str">
        <f>"117"</f>
        <v>117</v>
      </c>
      <c r="R943" t="str">
        <f>"רתמות"</f>
        <v>רתמות</v>
      </c>
      <c r="S943" t="str">
        <f>"034"</f>
        <v>034</v>
      </c>
      <c r="T943" t="str">
        <f>"מוסקוביץ אולגה"</f>
        <v>מוסקוביץ אולגה</v>
      </c>
      <c r="U943">
        <v>0</v>
      </c>
      <c r="V943">
        <v>0</v>
      </c>
      <c r="W943">
        <v>733.33</v>
      </c>
      <c r="X943" s="2">
        <v>10266.620000000001</v>
      </c>
      <c r="Z943" t="str">
        <f>"Y"</f>
        <v>Y</v>
      </c>
      <c r="AA943">
        <v>0</v>
      </c>
      <c r="AC943">
        <v>0</v>
      </c>
      <c r="AE943">
        <v>0</v>
      </c>
      <c r="AF943">
        <v>0</v>
      </c>
      <c r="AG943" s="2">
        <v>2438.3200000000002</v>
      </c>
      <c r="AH943">
        <v>0</v>
      </c>
      <c r="AI943" s="2">
        <v>34136.51</v>
      </c>
      <c r="AJ943" s="2">
        <v>10266.620000000001</v>
      </c>
      <c r="AK943" s="2">
        <v>10266.620000000001</v>
      </c>
      <c r="AL943" t="str">
        <f>"$"</f>
        <v>$</v>
      </c>
    </row>
    <row r="944" spans="1:38" x14ac:dyDescent="0.3">
      <c r="A944" t="str">
        <f>"SO20000548"</f>
        <v>SO20000548</v>
      </c>
      <c r="B944" t="str">
        <f>"E000327217"</f>
        <v>E000327217</v>
      </c>
      <c r="C944" t="str">
        <f>"בוצעה"</f>
        <v>בוצעה</v>
      </c>
      <c r="E944" s="3">
        <v>44164</v>
      </c>
      <c r="F944" s="3">
        <v>44285</v>
      </c>
      <c r="G944" t="str">
        <f>"700065"</f>
        <v>700065</v>
      </c>
      <c r="H944" t="str">
        <f>"אלתא מערכות בע""מ"</f>
        <v>אלתא מערכות בע"מ</v>
      </c>
      <c r="I944" t="str">
        <f>"רוני דידי"</f>
        <v>רוני דידי</v>
      </c>
      <c r="J944" t="str">
        <f>"999"</f>
        <v>999</v>
      </c>
      <c r="K944" s="1" t="str">
        <f>"עלות בידוד לצורך התקנת מערכת כוח"</f>
        <v>עלות בידוד לצורך התקנת מערכת כוח</v>
      </c>
      <c r="L944">
        <v>1</v>
      </c>
      <c r="M944" t="str">
        <f>"PR20000822"</f>
        <v>PR20000822</v>
      </c>
      <c r="N944" t="str">
        <f>"התקנת HARIBON בויאטנם"</f>
        <v>התקנת HARIBON בויאטנם</v>
      </c>
      <c r="O944" s="2">
        <v>18200</v>
      </c>
      <c r="P944" t="str">
        <f>"$"</f>
        <v>$</v>
      </c>
      <c r="Q944" t="str">
        <f>"118"</f>
        <v>118</v>
      </c>
      <c r="R944" t="str">
        <f>"מערכות"</f>
        <v>מערכות</v>
      </c>
      <c r="S944" t="str">
        <f>"007"</f>
        <v>007</v>
      </c>
      <c r="T944" t="str">
        <f>"מוסקוביץ אולגה"</f>
        <v>מוסקוביץ אולגה</v>
      </c>
      <c r="U944">
        <v>0</v>
      </c>
      <c r="V944">
        <v>0</v>
      </c>
      <c r="W944" s="2">
        <v>18200</v>
      </c>
      <c r="X944" s="2">
        <v>18200</v>
      </c>
      <c r="Z944" t="str">
        <f>"Y"</f>
        <v>Y</v>
      </c>
      <c r="AA944">
        <v>1</v>
      </c>
      <c r="AC944">
        <v>0</v>
      </c>
      <c r="AE944">
        <v>0</v>
      </c>
      <c r="AF944">
        <v>0</v>
      </c>
      <c r="AG944" s="2">
        <v>60405.8</v>
      </c>
      <c r="AH944">
        <v>0</v>
      </c>
      <c r="AI944" s="2">
        <v>60405.8</v>
      </c>
      <c r="AJ944" s="2">
        <v>18200</v>
      </c>
      <c r="AK944" s="2">
        <v>18200</v>
      </c>
      <c r="AL944" t="str">
        <f>"$"</f>
        <v>$</v>
      </c>
    </row>
    <row r="945" spans="1:38" x14ac:dyDescent="0.3">
      <c r="A945" t="str">
        <f>"SO20000548"</f>
        <v>SO20000548</v>
      </c>
      <c r="B945" t="str">
        <f>"E000327217"</f>
        <v>E000327217</v>
      </c>
      <c r="C945" t="str">
        <f>"בוצעה"</f>
        <v>בוצעה</v>
      </c>
      <c r="E945" s="3">
        <v>44164</v>
      </c>
      <c r="F945" s="3">
        <v>44499</v>
      </c>
      <c r="G945" t="str">
        <f>"700065"</f>
        <v>700065</v>
      </c>
      <c r="H945" t="str">
        <f>"אלתא מערכות בע""מ"</f>
        <v>אלתא מערכות בע"מ</v>
      </c>
      <c r="I945" t="str">
        <f>"רוני דידי"</f>
        <v>רוני דידי</v>
      </c>
      <c r="J945" t="str">
        <f>"999"</f>
        <v>999</v>
      </c>
      <c r="K945" s="1" t="str">
        <f>"עלות הוצאות נלוות - בגין חשבוניות שיוצגו"</f>
        <v>עלות הוצאות נלוות - בגין חשבוניות שיוצגו</v>
      </c>
      <c r="L945">
        <v>1</v>
      </c>
      <c r="O945" s="2">
        <v>2000</v>
      </c>
      <c r="P945" t="str">
        <f>"$"</f>
        <v>$</v>
      </c>
      <c r="Q945" t="str">
        <f>"118"</f>
        <v>118</v>
      </c>
      <c r="R945" t="str">
        <f>"מערכות"</f>
        <v>מערכות</v>
      </c>
      <c r="S945" t="str">
        <f>"007"</f>
        <v>007</v>
      </c>
      <c r="T945" t="str">
        <f>"מוסקוביץ אולגה"</f>
        <v>מוסקוביץ אולגה</v>
      </c>
      <c r="U945">
        <v>0</v>
      </c>
      <c r="V945">
        <v>0</v>
      </c>
      <c r="W945" s="2">
        <v>2000</v>
      </c>
      <c r="X945" s="2">
        <v>2000</v>
      </c>
      <c r="Z945" t="str">
        <f>"Y"</f>
        <v>Y</v>
      </c>
      <c r="AA945">
        <v>1</v>
      </c>
      <c r="AC945">
        <v>0</v>
      </c>
      <c r="AE945">
        <v>0</v>
      </c>
      <c r="AF945">
        <v>0</v>
      </c>
      <c r="AG945" s="2">
        <v>6638</v>
      </c>
      <c r="AH945">
        <v>0</v>
      </c>
      <c r="AI945" s="2">
        <v>6638</v>
      </c>
      <c r="AJ945" s="2">
        <v>2000</v>
      </c>
      <c r="AK945" s="2">
        <v>2000</v>
      </c>
      <c r="AL945" t="str">
        <f>"$"</f>
        <v>$</v>
      </c>
    </row>
    <row r="946" spans="1:38" x14ac:dyDescent="0.3">
      <c r="A946" t="str">
        <f>"SO20000553"</f>
        <v>SO20000553</v>
      </c>
      <c r="B946" t="str">
        <f>"E000327422"</f>
        <v>E000327422</v>
      </c>
      <c r="C946" t="str">
        <f>"בוצעה"</f>
        <v>בוצעה</v>
      </c>
      <c r="E946" s="3">
        <v>44166</v>
      </c>
      <c r="F946" s="3">
        <v>44216</v>
      </c>
      <c r="G946" t="str">
        <f>"700065"</f>
        <v>700065</v>
      </c>
      <c r="H946" t="str">
        <f>"אלתא מערכות בע""מ"</f>
        <v>אלתא מערכות בע"מ</v>
      </c>
      <c r="I946" t="str">
        <f>"ערן שלו"</f>
        <v>ערן שלו</v>
      </c>
      <c r="J946" t="str">
        <f>"OP-AR02152"</f>
        <v>OP-AR02152</v>
      </c>
      <c r="K946" s="1" t="str">
        <f>"2018E040-001   INS JTAG CABLE - מק""ט לא פעיל"</f>
        <v>2018E040-001   INS JTAG CABLE - מק"ט לא פעיל</v>
      </c>
      <c r="L946">
        <v>1</v>
      </c>
      <c r="M946" t="str">
        <f>"PR20000849"</f>
        <v>PR20000849</v>
      </c>
      <c r="N946" t="str">
        <f>"INS JTAG CABLE"</f>
        <v>INS JTAG CABLE</v>
      </c>
      <c r="O946">
        <v>214.81</v>
      </c>
      <c r="P946" t="str">
        <f>"$"</f>
        <v>$</v>
      </c>
      <c r="Q946" t="str">
        <f>"000"</f>
        <v>000</v>
      </c>
      <c r="R946" t="str">
        <f>"כללית"</f>
        <v>כללית</v>
      </c>
      <c r="S946" t="str">
        <f>"034"</f>
        <v>034</v>
      </c>
      <c r="T946" t="str">
        <f>"מוסקוביץ אולגה"</f>
        <v>מוסקוביץ אולגה</v>
      </c>
      <c r="U946">
        <v>0</v>
      </c>
      <c r="V946">
        <v>0</v>
      </c>
      <c r="W946">
        <v>214.81</v>
      </c>
      <c r="X946">
        <v>214.81</v>
      </c>
      <c r="Z946" t="str">
        <f>"Y"</f>
        <v>Y</v>
      </c>
      <c r="AA946">
        <v>0</v>
      </c>
      <c r="AC946">
        <v>0</v>
      </c>
      <c r="AE946">
        <v>0</v>
      </c>
      <c r="AF946">
        <v>0</v>
      </c>
      <c r="AG946">
        <v>709.73</v>
      </c>
      <c r="AH946">
        <v>0</v>
      </c>
      <c r="AI946">
        <v>709.73</v>
      </c>
      <c r="AJ946">
        <v>214.81</v>
      </c>
      <c r="AK946">
        <v>214.81</v>
      </c>
      <c r="AL946" t="str">
        <f>"$"</f>
        <v>$</v>
      </c>
    </row>
    <row r="947" spans="1:38" x14ac:dyDescent="0.3">
      <c r="A947" t="str">
        <f>"SO20000554"</f>
        <v>SO20000554</v>
      </c>
      <c r="B947" t="str">
        <f>"E000327174"</f>
        <v>E000327174</v>
      </c>
      <c r="C947" t="str">
        <f>"בוצעה"</f>
        <v>בוצעה</v>
      </c>
      <c r="E947" s="3">
        <v>44166</v>
      </c>
      <c r="F947" s="3">
        <v>44280</v>
      </c>
      <c r="G947" t="str">
        <f>"700065"</f>
        <v>700065</v>
      </c>
      <c r="H947" t="str">
        <f>"אלתא מערכות בע""מ"</f>
        <v>אלתא מערכות בע"מ</v>
      </c>
      <c r="I947" t="str">
        <f>"ערן שלו"</f>
        <v>ערן שלו</v>
      </c>
      <c r="J947" t="str">
        <f>"OP-AR02151"</f>
        <v>OP-AR02151</v>
      </c>
      <c r="K947" s="1" t="str">
        <f>"4040K386-001   HARNESS WK386 - DATA AND SIGNALS"</f>
        <v>4040K386-001   HARNESS WK386 - DATA AND SIGNALS</v>
      </c>
      <c r="L947">
        <v>8</v>
      </c>
      <c r="M947" t="str">
        <f>"PR20000850"</f>
        <v>PR20000850</v>
      </c>
      <c r="N947" t="str">
        <f>"HARNESS WK386 - DATA AND SIGNALS"</f>
        <v>HARNESS WK386 - DATA AND SIGNALS</v>
      </c>
      <c r="O947">
        <v>381.01</v>
      </c>
      <c r="P947" t="str">
        <f>"$"</f>
        <v>$</v>
      </c>
      <c r="Q947" t="str">
        <f>"117"</f>
        <v>117</v>
      </c>
      <c r="R947" t="str">
        <f>"רתמות"</f>
        <v>רתמות</v>
      </c>
      <c r="S947" t="str">
        <f>"034"</f>
        <v>034</v>
      </c>
      <c r="T947" t="str">
        <f>"מוסקוביץ אולגה"</f>
        <v>מוסקוביץ אולגה</v>
      </c>
      <c r="U947">
        <v>0</v>
      </c>
      <c r="V947">
        <v>0</v>
      </c>
      <c r="W947">
        <v>381.01</v>
      </c>
      <c r="X947" s="2">
        <v>3048.08</v>
      </c>
      <c r="Z947" t="str">
        <f>"Y"</f>
        <v>Y</v>
      </c>
      <c r="AA947">
        <v>0</v>
      </c>
      <c r="AC947">
        <v>0</v>
      </c>
      <c r="AE947">
        <v>0</v>
      </c>
      <c r="AF947">
        <v>0</v>
      </c>
      <c r="AG947" s="2">
        <v>1258.8599999999999</v>
      </c>
      <c r="AH947">
        <v>0</v>
      </c>
      <c r="AI947" s="2">
        <v>10070.86</v>
      </c>
      <c r="AJ947" s="2">
        <v>3048.08</v>
      </c>
      <c r="AK947" s="2">
        <v>3048.08</v>
      </c>
      <c r="AL947" t="str">
        <f>"$"</f>
        <v>$</v>
      </c>
    </row>
    <row r="948" spans="1:38" x14ac:dyDescent="0.3">
      <c r="A948" t="str">
        <f>"SO20000555"</f>
        <v>SO20000555</v>
      </c>
      <c r="B948" t="str">
        <f>"E000326481"</f>
        <v>E000326481</v>
      </c>
      <c r="C948" t="str">
        <f>"בוצעה"</f>
        <v>בוצעה</v>
      </c>
      <c r="E948" s="3">
        <v>44166</v>
      </c>
      <c r="F948" s="3">
        <v>44270</v>
      </c>
      <c r="G948" t="str">
        <f>"700065"</f>
        <v>700065</v>
      </c>
      <c r="H948" t="str">
        <f>"אלתא מערכות בע""מ"</f>
        <v>אלתא מערכות בע"מ</v>
      </c>
      <c r="I948" t="str">
        <f>"ערן שלו"</f>
        <v>ערן שלו</v>
      </c>
      <c r="J948" t="str">
        <f>"OP-AR02153"</f>
        <v>OP-AR02153</v>
      </c>
      <c r="K948" s="1" t="str">
        <f>"1039H801-001   HARNESS WY001 - PDU 1 POWER IN"</f>
        <v>1039H801-001   HARNESS WY001 - PDU 1 POWER IN</v>
      </c>
      <c r="L948">
        <v>5</v>
      </c>
      <c r="M948" t="str">
        <f>"PR20000851"</f>
        <v>PR20000851</v>
      </c>
      <c r="N948" t="str">
        <f>"ייצור כבלים"</f>
        <v>ייצור כבלים</v>
      </c>
      <c r="O948">
        <v>972.25</v>
      </c>
      <c r="P948" t="str">
        <f>"$"</f>
        <v>$</v>
      </c>
      <c r="Q948" t="str">
        <f>"117"</f>
        <v>117</v>
      </c>
      <c r="R948" t="str">
        <f>"רתמות"</f>
        <v>רתמות</v>
      </c>
      <c r="S948" t="str">
        <f>"034"</f>
        <v>034</v>
      </c>
      <c r="T948" t="str">
        <f>"מוסקוביץ אולגה"</f>
        <v>מוסקוביץ אולגה</v>
      </c>
      <c r="U948">
        <v>0</v>
      </c>
      <c r="V948">
        <v>0</v>
      </c>
      <c r="W948">
        <v>972.25</v>
      </c>
      <c r="X948" s="2">
        <v>4861.25</v>
      </c>
      <c r="Z948" t="str">
        <f>"Y"</f>
        <v>Y</v>
      </c>
      <c r="AA948">
        <v>0</v>
      </c>
      <c r="AC948">
        <v>0</v>
      </c>
      <c r="AE948">
        <v>0</v>
      </c>
      <c r="AF948">
        <v>0</v>
      </c>
      <c r="AG948" s="2">
        <v>3212.31</v>
      </c>
      <c r="AH948">
        <v>0</v>
      </c>
      <c r="AI948" s="2">
        <v>16061.57</v>
      </c>
      <c r="AJ948" s="2">
        <v>4861.25</v>
      </c>
      <c r="AK948" s="2">
        <v>4861.25</v>
      </c>
      <c r="AL948" t="str">
        <f>"$"</f>
        <v>$</v>
      </c>
    </row>
    <row r="949" spans="1:38" x14ac:dyDescent="0.3">
      <c r="A949" t="str">
        <f>"SO20000555"</f>
        <v>SO20000555</v>
      </c>
      <c r="B949" t="str">
        <f>"E000326481"</f>
        <v>E000326481</v>
      </c>
      <c r="C949" t="str">
        <f>"בוצעה"</f>
        <v>בוצעה</v>
      </c>
      <c r="E949" s="3">
        <v>44166</v>
      </c>
      <c r="F949" s="3">
        <v>44270</v>
      </c>
      <c r="G949" t="str">
        <f>"700065"</f>
        <v>700065</v>
      </c>
      <c r="H949" t="str">
        <f>"אלתא מערכות בע""מ"</f>
        <v>אלתא מערכות בע"מ</v>
      </c>
      <c r="I949" t="str">
        <f>"ערן שלו"</f>
        <v>ערן שלו</v>
      </c>
      <c r="J949" t="str">
        <f>"OP-AR02154"</f>
        <v>OP-AR02154</v>
      </c>
      <c r="K949" s="1" t="str">
        <f>"1039H802-001   HARNESS WY002 - PDU 2 POWER IN"</f>
        <v>1039H802-001   HARNESS WY002 - PDU 2 POWER IN</v>
      </c>
      <c r="L949">
        <v>5</v>
      </c>
      <c r="M949" t="str">
        <f>"PR20000851"</f>
        <v>PR20000851</v>
      </c>
      <c r="N949" t="str">
        <f>"ייצור כבלים"</f>
        <v>ייצור כבלים</v>
      </c>
      <c r="O949">
        <v>969.65</v>
      </c>
      <c r="P949" t="str">
        <f>"$"</f>
        <v>$</v>
      </c>
      <c r="Q949" t="str">
        <f>"117"</f>
        <v>117</v>
      </c>
      <c r="R949" t="str">
        <f>"רתמות"</f>
        <v>רתמות</v>
      </c>
      <c r="S949" t="str">
        <f>"034"</f>
        <v>034</v>
      </c>
      <c r="T949" t="str">
        <f>"מוסקוביץ אולגה"</f>
        <v>מוסקוביץ אולגה</v>
      </c>
      <c r="U949">
        <v>0</v>
      </c>
      <c r="V949">
        <v>0</v>
      </c>
      <c r="W949">
        <v>969.65</v>
      </c>
      <c r="X949" s="2">
        <v>4848.25</v>
      </c>
      <c r="Z949" t="str">
        <f>"Y"</f>
        <v>Y</v>
      </c>
      <c r="AA949">
        <v>0</v>
      </c>
      <c r="AC949">
        <v>0</v>
      </c>
      <c r="AE949">
        <v>0</v>
      </c>
      <c r="AF949">
        <v>0</v>
      </c>
      <c r="AG949" s="2">
        <v>3203.72</v>
      </c>
      <c r="AH949">
        <v>0</v>
      </c>
      <c r="AI949" s="2">
        <v>16018.62</v>
      </c>
      <c r="AJ949" s="2">
        <v>4848.25</v>
      </c>
      <c r="AK949" s="2">
        <v>4848.25</v>
      </c>
      <c r="AL949" t="str">
        <f>"$"</f>
        <v>$</v>
      </c>
    </row>
    <row r="950" spans="1:38" x14ac:dyDescent="0.3">
      <c r="A950" t="str">
        <f>"SO20000555"</f>
        <v>SO20000555</v>
      </c>
      <c r="B950" t="str">
        <f>"E000326481"</f>
        <v>E000326481</v>
      </c>
      <c r="C950" t="str">
        <f>"בוצעה"</f>
        <v>בוצעה</v>
      </c>
      <c r="E950" s="3">
        <v>44166</v>
      </c>
      <c r="F950" s="3">
        <v>44377</v>
      </c>
      <c r="G950" t="str">
        <f>"700065"</f>
        <v>700065</v>
      </c>
      <c r="H950" t="str">
        <f>"אלתא מערכות בע""מ"</f>
        <v>אלתא מערכות בע"מ</v>
      </c>
      <c r="I950" t="str">
        <f>"ערן שלו"</f>
        <v>ערן שלו</v>
      </c>
      <c r="J950" t="str">
        <f>"OP-AR02155"</f>
        <v>OP-AR02155</v>
      </c>
      <c r="K950" s="1" t="str">
        <f>"1039H803-001/-   HARNESS WY003 - MAST POWER IN"</f>
        <v>1039H803-001/-   HARNESS WY003 - MAST POWER IN</v>
      </c>
      <c r="L950">
        <v>5</v>
      </c>
      <c r="M950" t="str">
        <f>"PR20000851"</f>
        <v>PR20000851</v>
      </c>
      <c r="N950" t="str">
        <f>"ייצור כבלים"</f>
        <v>ייצור כבלים</v>
      </c>
      <c r="O950">
        <v>414.74</v>
      </c>
      <c r="P950" t="str">
        <f>"$"</f>
        <v>$</v>
      </c>
      <c r="Q950" t="str">
        <f>"117"</f>
        <v>117</v>
      </c>
      <c r="R950" t="str">
        <f>"רתמות"</f>
        <v>רתמות</v>
      </c>
      <c r="S950" t="str">
        <f>"034"</f>
        <v>034</v>
      </c>
      <c r="T950" t="str">
        <f>"מוסקוביץ אולגה"</f>
        <v>מוסקוביץ אולגה</v>
      </c>
      <c r="U950">
        <v>0</v>
      </c>
      <c r="V950">
        <v>0</v>
      </c>
      <c r="W950">
        <v>414.74</v>
      </c>
      <c r="X950" s="2">
        <v>2073.6999999999998</v>
      </c>
      <c r="Z950" t="str">
        <f>"Y"</f>
        <v>Y</v>
      </c>
      <c r="AA950">
        <v>0</v>
      </c>
      <c r="AC950">
        <v>0</v>
      </c>
      <c r="AE950">
        <v>0</v>
      </c>
      <c r="AF950">
        <v>0</v>
      </c>
      <c r="AG950" s="2">
        <v>1370.3</v>
      </c>
      <c r="AH950">
        <v>0</v>
      </c>
      <c r="AI950" s="2">
        <v>6851.5</v>
      </c>
      <c r="AJ950" s="2">
        <v>2073.6999999999998</v>
      </c>
      <c r="AK950" s="2">
        <v>2073.6999999999998</v>
      </c>
      <c r="AL950" t="str">
        <f>"$"</f>
        <v>$</v>
      </c>
    </row>
    <row r="951" spans="1:38" x14ac:dyDescent="0.3">
      <c r="A951" t="str">
        <f>"SO20000555"</f>
        <v>SO20000555</v>
      </c>
      <c r="B951" t="str">
        <f>"E000326481"</f>
        <v>E000326481</v>
      </c>
      <c r="C951" t="str">
        <f>"בוצעה"</f>
        <v>בוצעה</v>
      </c>
      <c r="E951" s="3">
        <v>44166</v>
      </c>
      <c r="F951" s="3">
        <v>44377</v>
      </c>
      <c r="G951" t="str">
        <f>"700065"</f>
        <v>700065</v>
      </c>
      <c r="H951" t="str">
        <f>"אלתא מערכות בע""מ"</f>
        <v>אלתא מערכות בע"מ</v>
      </c>
      <c r="I951" t="str">
        <f>"ערן שלו"</f>
        <v>ערן שלו</v>
      </c>
      <c r="J951" t="str">
        <f>"OP-AR02156"</f>
        <v>OP-AR02156</v>
      </c>
      <c r="K951" s="1" t="str">
        <f>"1039H811-001   HARNESS WY011 - PDU TO TRA1 SHE"</f>
        <v>1039H811-001   HARNESS WY011 - PDU TO TRA1 SHE</v>
      </c>
      <c r="L951">
        <v>5</v>
      </c>
      <c r="M951" t="str">
        <f>"PR20000851"</f>
        <v>PR20000851</v>
      </c>
      <c r="N951" t="str">
        <f>"ייצור כבלים"</f>
        <v>ייצור כבלים</v>
      </c>
      <c r="O951">
        <v>434.16</v>
      </c>
      <c r="P951" t="str">
        <f>"$"</f>
        <v>$</v>
      </c>
      <c r="Q951" t="str">
        <f>"117"</f>
        <v>117</v>
      </c>
      <c r="R951" t="str">
        <f>"רתמות"</f>
        <v>רתמות</v>
      </c>
      <c r="S951" t="str">
        <f>"034"</f>
        <v>034</v>
      </c>
      <c r="T951" t="str">
        <f>"מוסקוביץ אולגה"</f>
        <v>מוסקוביץ אולגה</v>
      </c>
      <c r="U951">
        <v>0</v>
      </c>
      <c r="V951">
        <v>0</v>
      </c>
      <c r="W951">
        <v>434.16</v>
      </c>
      <c r="X951" s="2">
        <v>2170.8000000000002</v>
      </c>
      <c r="Z951" t="str">
        <f>"Y"</f>
        <v>Y</v>
      </c>
      <c r="AA951">
        <v>0</v>
      </c>
      <c r="AC951">
        <v>0</v>
      </c>
      <c r="AE951">
        <v>0</v>
      </c>
      <c r="AF951">
        <v>0</v>
      </c>
      <c r="AG951" s="2">
        <v>1434.46</v>
      </c>
      <c r="AH951">
        <v>0</v>
      </c>
      <c r="AI951" s="2">
        <v>7172.32</v>
      </c>
      <c r="AJ951" s="2">
        <v>2170.8000000000002</v>
      </c>
      <c r="AK951" s="2">
        <v>2170.8000000000002</v>
      </c>
      <c r="AL951" t="str">
        <f>"$"</f>
        <v>$</v>
      </c>
    </row>
    <row r="952" spans="1:38" x14ac:dyDescent="0.3">
      <c r="A952" t="str">
        <f>"SO20000555"</f>
        <v>SO20000555</v>
      </c>
      <c r="B952" t="str">
        <f>"E000326481"</f>
        <v>E000326481</v>
      </c>
      <c r="C952" t="str">
        <f>"בוצעה"</f>
        <v>בוצעה</v>
      </c>
      <c r="E952" s="3">
        <v>44166</v>
      </c>
      <c r="F952" s="3">
        <v>44377</v>
      </c>
      <c r="G952" t="str">
        <f>"700065"</f>
        <v>700065</v>
      </c>
      <c r="H952" t="str">
        <f>"אלתא מערכות בע""מ"</f>
        <v>אלתא מערכות בע"מ</v>
      </c>
      <c r="I952" t="str">
        <f>"ערן שלו"</f>
        <v>ערן שלו</v>
      </c>
      <c r="J952" t="str">
        <f>"OP-AR02157"</f>
        <v>OP-AR02157</v>
      </c>
      <c r="K952" s="1" t="str">
        <f>"1039H812-001   HARNESS WY012 - PDU TO TRA2 SHE"</f>
        <v>1039H812-001   HARNESS WY012 - PDU TO TRA2 SHE</v>
      </c>
      <c r="L952">
        <v>5</v>
      </c>
      <c r="M952" t="str">
        <f>"PR20000851"</f>
        <v>PR20000851</v>
      </c>
      <c r="N952" t="str">
        <f>"ייצור כבלים"</f>
        <v>ייצור כבלים</v>
      </c>
      <c r="O952">
        <v>441.92</v>
      </c>
      <c r="P952" t="str">
        <f>"$"</f>
        <v>$</v>
      </c>
      <c r="Q952" t="str">
        <f>"117"</f>
        <v>117</v>
      </c>
      <c r="R952" t="str">
        <f>"רתמות"</f>
        <v>רתמות</v>
      </c>
      <c r="S952" t="str">
        <f>"034"</f>
        <v>034</v>
      </c>
      <c r="T952" t="str">
        <f>"מוסקוביץ אולגה"</f>
        <v>מוסקוביץ אולגה</v>
      </c>
      <c r="U952">
        <v>0</v>
      </c>
      <c r="V952">
        <v>0</v>
      </c>
      <c r="W952">
        <v>441.92</v>
      </c>
      <c r="X952" s="2">
        <v>2209.6</v>
      </c>
      <c r="Z952" t="str">
        <f>"Y"</f>
        <v>Y</v>
      </c>
      <c r="AA952">
        <v>0</v>
      </c>
      <c r="AC952">
        <v>0</v>
      </c>
      <c r="AE952">
        <v>0</v>
      </c>
      <c r="AF952">
        <v>0</v>
      </c>
      <c r="AG952" s="2">
        <v>1460.1</v>
      </c>
      <c r="AH952">
        <v>0</v>
      </c>
      <c r="AI952" s="2">
        <v>7300.52</v>
      </c>
      <c r="AJ952" s="2">
        <v>2209.6</v>
      </c>
      <c r="AK952" s="2">
        <v>2209.6</v>
      </c>
      <c r="AL952" t="str">
        <f>"$"</f>
        <v>$</v>
      </c>
    </row>
    <row r="953" spans="1:38" x14ac:dyDescent="0.3">
      <c r="A953" t="str">
        <f>"SO20000555"</f>
        <v>SO20000555</v>
      </c>
      <c r="B953" t="str">
        <f>"E000326481"</f>
        <v>E000326481</v>
      </c>
      <c r="C953" t="str">
        <f>"בוצעה"</f>
        <v>בוצעה</v>
      </c>
      <c r="E953" s="3">
        <v>44166</v>
      </c>
      <c r="F953" s="3">
        <v>44377</v>
      </c>
      <c r="G953" t="str">
        <f>"700065"</f>
        <v>700065</v>
      </c>
      <c r="H953" t="str">
        <f>"אלתא מערכות בע""מ"</f>
        <v>אלתא מערכות בע"מ</v>
      </c>
      <c r="I953" t="str">
        <f>"ערן שלו"</f>
        <v>ערן שלו</v>
      </c>
      <c r="J953" t="str">
        <f>"OP-AR02158"</f>
        <v>OP-AR02158</v>
      </c>
      <c r="K953" s="1" t="str">
        <f>"1039H813-001   HARNESS WY013 - PDU TO TRA3 SHE"</f>
        <v>1039H813-001   HARNESS WY013 - PDU TO TRA3 SHE</v>
      </c>
      <c r="L953">
        <v>5</v>
      </c>
      <c r="M953" t="str">
        <f>"PR20000851"</f>
        <v>PR20000851</v>
      </c>
      <c r="N953" t="str">
        <f>"ייצור כבלים"</f>
        <v>ייצור כבלים</v>
      </c>
      <c r="O953">
        <v>432.4</v>
      </c>
      <c r="P953" t="str">
        <f>"$"</f>
        <v>$</v>
      </c>
      <c r="Q953" t="str">
        <f>"117"</f>
        <v>117</v>
      </c>
      <c r="R953" t="str">
        <f>"רתמות"</f>
        <v>רתמות</v>
      </c>
      <c r="S953" t="str">
        <f>"034"</f>
        <v>034</v>
      </c>
      <c r="T953" t="str">
        <f>"מוסקוביץ אולגה"</f>
        <v>מוסקוביץ אולגה</v>
      </c>
      <c r="U953">
        <v>0</v>
      </c>
      <c r="V953">
        <v>0</v>
      </c>
      <c r="W953">
        <v>432.4</v>
      </c>
      <c r="X953" s="2">
        <v>2162</v>
      </c>
      <c r="Z953" t="str">
        <f>"Y"</f>
        <v>Y</v>
      </c>
      <c r="AA953">
        <v>0</v>
      </c>
      <c r="AC953">
        <v>0</v>
      </c>
      <c r="AE953">
        <v>0</v>
      </c>
      <c r="AF953">
        <v>0</v>
      </c>
      <c r="AG953" s="2">
        <v>1428.65</v>
      </c>
      <c r="AH953">
        <v>0</v>
      </c>
      <c r="AI953" s="2">
        <v>7143.25</v>
      </c>
      <c r="AJ953" s="2">
        <v>2162</v>
      </c>
      <c r="AK953" s="2">
        <v>2162</v>
      </c>
      <c r="AL953" t="str">
        <f>"$"</f>
        <v>$</v>
      </c>
    </row>
    <row r="954" spans="1:38" x14ac:dyDescent="0.3">
      <c r="A954" t="str">
        <f>"SO20000555"</f>
        <v>SO20000555</v>
      </c>
      <c r="B954" t="str">
        <f>"E000326481"</f>
        <v>E000326481</v>
      </c>
      <c r="C954" t="str">
        <f>"בוצעה"</f>
        <v>בוצעה</v>
      </c>
      <c r="E954" s="3">
        <v>44166</v>
      </c>
      <c r="F954" s="3">
        <v>44377</v>
      </c>
      <c r="G954" t="str">
        <f>"700065"</f>
        <v>700065</v>
      </c>
      <c r="H954" t="str">
        <f>"אלתא מערכות בע""מ"</f>
        <v>אלתא מערכות בע"מ</v>
      </c>
      <c r="I954" t="str">
        <f>"ערן שלו"</f>
        <v>ערן שלו</v>
      </c>
      <c r="J954" t="str">
        <f>"OP-AR02159"</f>
        <v>OP-AR02159</v>
      </c>
      <c r="K954" s="1" t="str">
        <f>"1039H814-001   HARNESS WY014 - PDU TO TRA4 SHE"</f>
        <v>1039H814-001   HARNESS WY014 - PDU TO TRA4 SHE</v>
      </c>
      <c r="L954">
        <v>5</v>
      </c>
      <c r="M954" t="str">
        <f>"PR20000851"</f>
        <v>PR20000851</v>
      </c>
      <c r="N954" t="str">
        <f>"ייצור כבלים"</f>
        <v>ייצור כבלים</v>
      </c>
      <c r="O954">
        <v>441.92</v>
      </c>
      <c r="P954" t="str">
        <f>"$"</f>
        <v>$</v>
      </c>
      <c r="Q954" t="str">
        <f>"117"</f>
        <v>117</v>
      </c>
      <c r="R954" t="str">
        <f>"רתמות"</f>
        <v>רתמות</v>
      </c>
      <c r="S954" t="str">
        <f>"034"</f>
        <v>034</v>
      </c>
      <c r="T954" t="str">
        <f>"מוסקוביץ אולגה"</f>
        <v>מוסקוביץ אולגה</v>
      </c>
      <c r="U954">
        <v>0</v>
      </c>
      <c r="V954">
        <v>0</v>
      </c>
      <c r="W954">
        <v>441.92</v>
      </c>
      <c r="X954" s="2">
        <v>2209.6</v>
      </c>
      <c r="Z954" t="str">
        <f>"Y"</f>
        <v>Y</v>
      </c>
      <c r="AA954">
        <v>0</v>
      </c>
      <c r="AC954">
        <v>0</v>
      </c>
      <c r="AE954">
        <v>0</v>
      </c>
      <c r="AF954">
        <v>0</v>
      </c>
      <c r="AG954" s="2">
        <v>1460.1</v>
      </c>
      <c r="AH954">
        <v>0</v>
      </c>
      <c r="AI954" s="2">
        <v>7300.52</v>
      </c>
      <c r="AJ954" s="2">
        <v>2209.6</v>
      </c>
      <c r="AK954" s="2">
        <v>2209.6</v>
      </c>
      <c r="AL954" t="str">
        <f>"$"</f>
        <v>$</v>
      </c>
    </row>
    <row r="955" spans="1:38" x14ac:dyDescent="0.3">
      <c r="A955" t="str">
        <f>"SO20000555"</f>
        <v>SO20000555</v>
      </c>
      <c r="B955" t="str">
        <f>"E000326481"</f>
        <v>E000326481</v>
      </c>
      <c r="C955" t="str">
        <f>"בוצעה"</f>
        <v>בוצעה</v>
      </c>
      <c r="E955" s="3">
        <v>44166</v>
      </c>
      <c r="F955" s="3">
        <v>44270</v>
      </c>
      <c r="G955" t="str">
        <f>"700065"</f>
        <v>700065</v>
      </c>
      <c r="H955" t="str">
        <f>"אלתא מערכות בע""מ"</f>
        <v>אלתא מערכות בע"מ</v>
      </c>
      <c r="I955" t="str">
        <f>"ערן שלו"</f>
        <v>ערן שלו</v>
      </c>
      <c r="J955" t="str">
        <f>"OP-AR02160"</f>
        <v>OP-AR02160</v>
      </c>
      <c r="K955" s="1" t="str">
        <f>"1039H815-001   HARNESS WY015 - PDU TO CU SHELT"</f>
        <v>1039H815-001   HARNESS WY015 - PDU TO CU SHELT</v>
      </c>
      <c r="L955">
        <v>5</v>
      </c>
      <c r="M955" t="str">
        <f>"PR20000851"</f>
        <v>PR20000851</v>
      </c>
      <c r="N955" t="str">
        <f>"ייצור כבלים"</f>
        <v>ייצור כבלים</v>
      </c>
      <c r="O955">
        <v>238.62</v>
      </c>
      <c r="P955" t="str">
        <f>"$"</f>
        <v>$</v>
      </c>
      <c r="Q955" t="str">
        <f>"117"</f>
        <v>117</v>
      </c>
      <c r="R955" t="str">
        <f>"רתמות"</f>
        <v>רתמות</v>
      </c>
      <c r="S955" t="str">
        <f>"034"</f>
        <v>034</v>
      </c>
      <c r="T955" t="str">
        <f>"מוסקוביץ אולגה"</f>
        <v>מוסקוביץ אולגה</v>
      </c>
      <c r="U955">
        <v>0</v>
      </c>
      <c r="V955">
        <v>0</v>
      </c>
      <c r="W955">
        <v>238.62</v>
      </c>
      <c r="X955" s="2">
        <v>1193.0999999999999</v>
      </c>
      <c r="Z955" t="str">
        <f>"Y"</f>
        <v>Y</v>
      </c>
      <c r="AA955">
        <v>0</v>
      </c>
      <c r="AC955">
        <v>0</v>
      </c>
      <c r="AE955">
        <v>0</v>
      </c>
      <c r="AF955">
        <v>0</v>
      </c>
      <c r="AG955">
        <v>788.4</v>
      </c>
      <c r="AH955">
        <v>0</v>
      </c>
      <c r="AI955" s="2">
        <v>3942</v>
      </c>
      <c r="AJ955" s="2">
        <v>1193.0999999999999</v>
      </c>
      <c r="AK955" s="2">
        <v>1193.0999999999999</v>
      </c>
      <c r="AL955" t="str">
        <f>"$"</f>
        <v>$</v>
      </c>
    </row>
    <row r="956" spans="1:38" x14ac:dyDescent="0.3">
      <c r="A956" t="str">
        <f>"SO20000555"</f>
        <v>SO20000555</v>
      </c>
      <c r="B956" t="str">
        <f>"E000326481"</f>
        <v>E000326481</v>
      </c>
      <c r="C956" t="str">
        <f>"בוצעה"</f>
        <v>בוצעה</v>
      </c>
      <c r="E956" s="3">
        <v>44166</v>
      </c>
      <c r="F956" s="3">
        <v>44377</v>
      </c>
      <c r="G956" t="str">
        <f>"700065"</f>
        <v>700065</v>
      </c>
      <c r="H956" t="str">
        <f>"אלתא מערכות בע""מ"</f>
        <v>אלתא מערכות בע"מ</v>
      </c>
      <c r="I956" t="str">
        <f>"ערן שלו"</f>
        <v>ערן שלו</v>
      </c>
      <c r="J956" t="str">
        <f>"OP-AR02161"</f>
        <v>OP-AR02161</v>
      </c>
      <c r="K956" s="1" t="str">
        <f>"1039H816-001   HARNESS WY016 - PDU TO MAST SHE"</f>
        <v>1039H816-001   HARNESS WY016 - PDU TO MAST SHE</v>
      </c>
      <c r="L956">
        <v>5</v>
      </c>
      <c r="M956" t="str">
        <f>"PR20000851"</f>
        <v>PR20000851</v>
      </c>
      <c r="N956" t="str">
        <f>"ייצור כבלים"</f>
        <v>ייצור כבלים</v>
      </c>
      <c r="O956">
        <v>225.74</v>
      </c>
      <c r="P956" t="str">
        <f>"$"</f>
        <v>$</v>
      </c>
      <c r="Q956" t="str">
        <f>"117"</f>
        <v>117</v>
      </c>
      <c r="R956" t="str">
        <f>"רתמות"</f>
        <v>רתמות</v>
      </c>
      <c r="S956" t="str">
        <f>"034"</f>
        <v>034</v>
      </c>
      <c r="T956" t="str">
        <f>"מוסקוביץ אולגה"</f>
        <v>מוסקוביץ אולגה</v>
      </c>
      <c r="U956">
        <v>0</v>
      </c>
      <c r="V956">
        <v>0</v>
      </c>
      <c r="W956">
        <v>225.74</v>
      </c>
      <c r="X956" s="2">
        <v>1128.7</v>
      </c>
      <c r="Z956" t="str">
        <f>"Y"</f>
        <v>Y</v>
      </c>
      <c r="AA956">
        <v>0</v>
      </c>
      <c r="AC956">
        <v>0</v>
      </c>
      <c r="AE956">
        <v>0</v>
      </c>
      <c r="AF956">
        <v>0</v>
      </c>
      <c r="AG956">
        <v>745.84</v>
      </c>
      <c r="AH956">
        <v>0</v>
      </c>
      <c r="AI956" s="2">
        <v>3729.22</v>
      </c>
      <c r="AJ956" s="2">
        <v>1128.7</v>
      </c>
      <c r="AK956" s="2">
        <v>1128.7</v>
      </c>
      <c r="AL956" t="str">
        <f>"$"</f>
        <v>$</v>
      </c>
    </row>
    <row r="957" spans="1:38" x14ac:dyDescent="0.3">
      <c r="A957" t="str">
        <f>"SO20000555"</f>
        <v>SO20000555</v>
      </c>
      <c r="B957" t="str">
        <f>"E000326481"</f>
        <v>E000326481</v>
      </c>
      <c r="C957" t="str">
        <f>"בוצעה"</f>
        <v>בוצעה</v>
      </c>
      <c r="E957" s="3">
        <v>44166</v>
      </c>
      <c r="F957" s="3">
        <v>44377</v>
      </c>
      <c r="G957" t="str">
        <f>"700065"</f>
        <v>700065</v>
      </c>
      <c r="H957" t="str">
        <f>"אלתא מערכות בע""מ"</f>
        <v>אלתא מערכות בע"מ</v>
      </c>
      <c r="I957" t="str">
        <f>"ערן שלו"</f>
        <v>ערן שלו</v>
      </c>
      <c r="J957" t="str">
        <f>"OP-AR02162"</f>
        <v>OP-AR02162</v>
      </c>
      <c r="K957" s="1" t="str">
        <f>"1039H817-001   HARNESS WY017 - PDU TO FANS SHE"</f>
        <v>1039H817-001   HARNESS WY017 - PDU TO FANS SHE</v>
      </c>
      <c r="L957">
        <v>5</v>
      </c>
      <c r="M957" t="str">
        <f>"PR20000851"</f>
        <v>PR20000851</v>
      </c>
      <c r="N957" t="str">
        <f>"ייצור כבלים"</f>
        <v>ייצור כבלים</v>
      </c>
      <c r="O957">
        <v>285.45</v>
      </c>
      <c r="P957" t="str">
        <f>"$"</f>
        <v>$</v>
      </c>
      <c r="Q957" t="str">
        <f>"117"</f>
        <v>117</v>
      </c>
      <c r="R957" t="str">
        <f>"רתמות"</f>
        <v>רתמות</v>
      </c>
      <c r="S957" t="str">
        <f>"034"</f>
        <v>034</v>
      </c>
      <c r="T957" t="str">
        <f>"מוסקוביץ אולגה"</f>
        <v>מוסקוביץ אולגה</v>
      </c>
      <c r="U957">
        <v>0</v>
      </c>
      <c r="V957">
        <v>0</v>
      </c>
      <c r="W957">
        <v>285.45</v>
      </c>
      <c r="X957" s="2">
        <v>1427.25</v>
      </c>
      <c r="Z957" t="str">
        <f>"Y"</f>
        <v>Y</v>
      </c>
      <c r="AA957">
        <v>0</v>
      </c>
      <c r="AC957">
        <v>0</v>
      </c>
      <c r="AE957">
        <v>0</v>
      </c>
      <c r="AF957">
        <v>0</v>
      </c>
      <c r="AG957">
        <v>943.13</v>
      </c>
      <c r="AH957">
        <v>0</v>
      </c>
      <c r="AI957" s="2">
        <v>4715.63</v>
      </c>
      <c r="AJ957" s="2">
        <v>1427.25</v>
      </c>
      <c r="AK957" s="2">
        <v>1427.25</v>
      </c>
      <c r="AL957" t="str">
        <f>"$"</f>
        <v>$</v>
      </c>
    </row>
    <row r="958" spans="1:38" x14ac:dyDescent="0.3">
      <c r="A958" t="str">
        <f>"SO20000555"</f>
        <v>SO20000555</v>
      </c>
      <c r="B958" t="str">
        <f>"E000326481"</f>
        <v>E000326481</v>
      </c>
      <c r="C958" t="str">
        <f>"בוצעה"</f>
        <v>בוצעה</v>
      </c>
      <c r="E958" s="3">
        <v>44166</v>
      </c>
      <c r="F958" s="3">
        <v>44377</v>
      </c>
      <c r="G958" t="str">
        <f>"700065"</f>
        <v>700065</v>
      </c>
      <c r="H958" t="str">
        <f>"אלתא מערכות בע""מ"</f>
        <v>אלתא מערכות בע"מ</v>
      </c>
      <c r="I958" t="str">
        <f>"ערן שלו"</f>
        <v>ערן שלו</v>
      </c>
      <c r="J958" t="str">
        <f>"OP-AR02163"</f>
        <v>OP-AR02163</v>
      </c>
      <c r="K958" s="1" t="str">
        <f>"1039H818-001   HARNESS WY018 - PDU TO IFF SHEL"</f>
        <v>1039H818-001   HARNESS WY018 - PDU TO IFF SHEL</v>
      </c>
      <c r="L958">
        <v>5</v>
      </c>
      <c r="M958" t="str">
        <f>"PR20000851"</f>
        <v>PR20000851</v>
      </c>
      <c r="N958" t="str">
        <f>"ייצור כבלים"</f>
        <v>ייצור כבלים</v>
      </c>
      <c r="O958">
        <v>298.01</v>
      </c>
      <c r="P958" t="str">
        <f>"$"</f>
        <v>$</v>
      </c>
      <c r="Q958" t="str">
        <f>"117"</f>
        <v>117</v>
      </c>
      <c r="R958" t="str">
        <f>"רתמות"</f>
        <v>רתמות</v>
      </c>
      <c r="S958" t="str">
        <f>"034"</f>
        <v>034</v>
      </c>
      <c r="T958" t="str">
        <f>"מוסקוביץ אולגה"</f>
        <v>מוסקוביץ אולגה</v>
      </c>
      <c r="U958">
        <v>0</v>
      </c>
      <c r="V958">
        <v>0</v>
      </c>
      <c r="W958">
        <v>298.01</v>
      </c>
      <c r="X958" s="2">
        <v>1490.05</v>
      </c>
      <c r="Z958" t="str">
        <f>"Y"</f>
        <v>Y</v>
      </c>
      <c r="AA958">
        <v>0</v>
      </c>
      <c r="AC958">
        <v>0</v>
      </c>
      <c r="AE958">
        <v>0</v>
      </c>
      <c r="AF958">
        <v>0</v>
      </c>
      <c r="AG958">
        <v>984.63</v>
      </c>
      <c r="AH958">
        <v>0</v>
      </c>
      <c r="AI958" s="2">
        <v>4923.13</v>
      </c>
      <c r="AJ958" s="2">
        <v>1490.05</v>
      </c>
      <c r="AK958" s="2">
        <v>1490.05</v>
      </c>
      <c r="AL958" t="str">
        <f>"$"</f>
        <v>$</v>
      </c>
    </row>
    <row r="959" spans="1:38" x14ac:dyDescent="0.3">
      <c r="A959" t="str">
        <f>"SO20000555"</f>
        <v>SO20000555</v>
      </c>
      <c r="B959" t="str">
        <f>"E000326481"</f>
        <v>E000326481</v>
      </c>
      <c r="C959" t="str">
        <f>"בוצעה"</f>
        <v>בוצעה</v>
      </c>
      <c r="E959" s="3">
        <v>44166</v>
      </c>
      <c r="F959" s="3">
        <v>44377</v>
      </c>
      <c r="G959" t="str">
        <f>"700065"</f>
        <v>700065</v>
      </c>
      <c r="H959" t="str">
        <f>"אלתא מערכות בע""מ"</f>
        <v>אלתא מערכות בע"מ</v>
      </c>
      <c r="I959" t="str">
        <f>"ערן שלו"</f>
        <v>ערן שלו</v>
      </c>
      <c r="J959" t="str">
        <f>"OP-AR02165"</f>
        <v>OP-AR02165</v>
      </c>
      <c r="K959" s="1" t="str">
        <f>"1039H821-001/-   HARNESS WY021 - PDU TO TRA1 EXT"</f>
        <v>1039H821-001/-   HARNESS WY021 - PDU TO TRA1 EXT</v>
      </c>
      <c r="L959">
        <v>5</v>
      </c>
      <c r="M959" t="str">
        <f>"PR20000851"</f>
        <v>PR20000851</v>
      </c>
      <c r="N959" t="str">
        <f>"ייצור כבלים"</f>
        <v>ייצור כבלים</v>
      </c>
      <c r="O959">
        <v>828.98</v>
      </c>
      <c r="P959" t="str">
        <f>"$"</f>
        <v>$</v>
      </c>
      <c r="Q959" t="str">
        <f>"117"</f>
        <v>117</v>
      </c>
      <c r="R959" t="str">
        <f>"רתמות"</f>
        <v>רתמות</v>
      </c>
      <c r="S959" t="str">
        <f>"034"</f>
        <v>034</v>
      </c>
      <c r="T959" t="str">
        <f>"מוסקוביץ אולגה"</f>
        <v>מוסקוביץ אולגה</v>
      </c>
      <c r="U959">
        <v>0</v>
      </c>
      <c r="V959">
        <v>0</v>
      </c>
      <c r="W959">
        <v>828.98</v>
      </c>
      <c r="X959" s="2">
        <v>4144.8999999999996</v>
      </c>
      <c r="Z959" t="str">
        <f>"Y"</f>
        <v>Y</v>
      </c>
      <c r="AA959">
        <v>0</v>
      </c>
      <c r="AC959">
        <v>0</v>
      </c>
      <c r="AE959">
        <v>0</v>
      </c>
      <c r="AF959">
        <v>0</v>
      </c>
      <c r="AG959" s="2">
        <v>2738.95</v>
      </c>
      <c r="AH959">
        <v>0</v>
      </c>
      <c r="AI959" s="2">
        <v>13694.75</v>
      </c>
      <c r="AJ959" s="2">
        <v>4144.8999999999996</v>
      </c>
      <c r="AK959" s="2">
        <v>4144.8999999999996</v>
      </c>
      <c r="AL959" t="str">
        <f>"$"</f>
        <v>$</v>
      </c>
    </row>
    <row r="960" spans="1:38" x14ac:dyDescent="0.3">
      <c r="A960" t="str">
        <f>"SO20000555"</f>
        <v>SO20000555</v>
      </c>
      <c r="B960" t="str">
        <f>"E000326481"</f>
        <v>E000326481</v>
      </c>
      <c r="C960" t="str">
        <f>"בוצעה"</f>
        <v>בוצעה</v>
      </c>
      <c r="E960" s="3">
        <v>44166</v>
      </c>
      <c r="F960" s="3">
        <v>44377</v>
      </c>
      <c r="G960" t="str">
        <f>"700065"</f>
        <v>700065</v>
      </c>
      <c r="H960" t="str">
        <f>"אלתא מערכות בע""מ"</f>
        <v>אלתא מערכות בע"מ</v>
      </c>
      <c r="I960" t="str">
        <f>"ערן שלו"</f>
        <v>ערן שלו</v>
      </c>
      <c r="J960" t="str">
        <f>"OP-AR02166"</f>
        <v>OP-AR02166</v>
      </c>
      <c r="K960" s="1" t="str">
        <f>"1039H822-001/-   HARNESS WY022 - PDU TO TRA2 EXT"</f>
        <v>1039H822-001/-   HARNESS WY022 - PDU TO TRA2 EXT</v>
      </c>
      <c r="L960">
        <v>5</v>
      </c>
      <c r="M960" t="str">
        <f>"PR20000851"</f>
        <v>PR20000851</v>
      </c>
      <c r="N960" t="str">
        <f>"ייצור כבלים"</f>
        <v>ייצור כבלים</v>
      </c>
      <c r="O960">
        <v>828.98</v>
      </c>
      <c r="P960" t="str">
        <f>"$"</f>
        <v>$</v>
      </c>
      <c r="Q960" t="str">
        <f>"117"</f>
        <v>117</v>
      </c>
      <c r="R960" t="str">
        <f>"רתמות"</f>
        <v>רתמות</v>
      </c>
      <c r="S960" t="str">
        <f>"034"</f>
        <v>034</v>
      </c>
      <c r="T960" t="str">
        <f>"מוסקוביץ אולגה"</f>
        <v>מוסקוביץ אולגה</v>
      </c>
      <c r="U960">
        <v>0</v>
      </c>
      <c r="V960">
        <v>0</v>
      </c>
      <c r="W960">
        <v>828.98</v>
      </c>
      <c r="X960" s="2">
        <v>4144.8999999999996</v>
      </c>
      <c r="Z960" t="str">
        <f>"Y"</f>
        <v>Y</v>
      </c>
      <c r="AA960">
        <v>0</v>
      </c>
      <c r="AC960">
        <v>0</v>
      </c>
      <c r="AE960">
        <v>0</v>
      </c>
      <c r="AF960">
        <v>0</v>
      </c>
      <c r="AG960" s="2">
        <v>2738.95</v>
      </c>
      <c r="AH960">
        <v>0</v>
      </c>
      <c r="AI960" s="2">
        <v>13694.75</v>
      </c>
      <c r="AJ960" s="2">
        <v>4144.8999999999996</v>
      </c>
      <c r="AK960" s="2">
        <v>4144.8999999999996</v>
      </c>
      <c r="AL960" t="str">
        <f>"$"</f>
        <v>$</v>
      </c>
    </row>
    <row r="961" spans="1:38" x14ac:dyDescent="0.3">
      <c r="A961" t="str">
        <f>"SO20000555"</f>
        <v>SO20000555</v>
      </c>
      <c r="B961" t="str">
        <f>"E000326481"</f>
        <v>E000326481</v>
      </c>
      <c r="C961" t="str">
        <f>"בוצעה"</f>
        <v>בוצעה</v>
      </c>
      <c r="E961" s="3">
        <v>44166</v>
      </c>
      <c r="F961" s="3">
        <v>44377</v>
      </c>
      <c r="G961" t="str">
        <f>"700065"</f>
        <v>700065</v>
      </c>
      <c r="H961" t="str">
        <f>"אלתא מערכות בע""מ"</f>
        <v>אלתא מערכות בע"מ</v>
      </c>
      <c r="I961" t="str">
        <f>"ערן שלו"</f>
        <v>ערן שלו</v>
      </c>
      <c r="J961" t="str">
        <f>"OP-AR02167"</f>
        <v>OP-AR02167</v>
      </c>
      <c r="K961" s="1" t="str">
        <f>"1039H823-001/-   HARNESS WY023 - PDU TO TRA3 EXT"</f>
        <v>1039H823-001/-   HARNESS WY023 - PDU TO TRA3 EXT</v>
      </c>
      <c r="L961">
        <v>5</v>
      </c>
      <c r="M961" t="str">
        <f>"PR20000851"</f>
        <v>PR20000851</v>
      </c>
      <c r="N961" t="str">
        <f>"ייצור כבלים"</f>
        <v>ייצור כבלים</v>
      </c>
      <c r="O961">
        <v>828.98</v>
      </c>
      <c r="P961" t="str">
        <f>"$"</f>
        <v>$</v>
      </c>
      <c r="Q961" t="str">
        <f>"117"</f>
        <v>117</v>
      </c>
      <c r="R961" t="str">
        <f>"רתמות"</f>
        <v>רתמות</v>
      </c>
      <c r="S961" t="str">
        <f>"034"</f>
        <v>034</v>
      </c>
      <c r="T961" t="str">
        <f>"מוסקוביץ אולגה"</f>
        <v>מוסקוביץ אולגה</v>
      </c>
      <c r="U961">
        <v>0</v>
      </c>
      <c r="V961">
        <v>0</v>
      </c>
      <c r="W961">
        <v>828.98</v>
      </c>
      <c r="X961" s="2">
        <v>4144.8999999999996</v>
      </c>
      <c r="Z961" t="str">
        <f>"Y"</f>
        <v>Y</v>
      </c>
      <c r="AA961">
        <v>0</v>
      </c>
      <c r="AC961">
        <v>0</v>
      </c>
      <c r="AE961">
        <v>0</v>
      </c>
      <c r="AF961">
        <v>0</v>
      </c>
      <c r="AG961" s="2">
        <v>2738.95</v>
      </c>
      <c r="AH961">
        <v>0</v>
      </c>
      <c r="AI961" s="2">
        <v>13694.75</v>
      </c>
      <c r="AJ961" s="2">
        <v>4144.8999999999996</v>
      </c>
      <c r="AK961" s="2">
        <v>4144.8999999999996</v>
      </c>
      <c r="AL961" t="str">
        <f>"$"</f>
        <v>$</v>
      </c>
    </row>
    <row r="962" spans="1:38" x14ac:dyDescent="0.3">
      <c r="A962" t="str">
        <f>"SO20000555"</f>
        <v>SO20000555</v>
      </c>
      <c r="B962" t="str">
        <f>"E000326481"</f>
        <v>E000326481</v>
      </c>
      <c r="C962" t="str">
        <f>"בוצעה"</f>
        <v>בוצעה</v>
      </c>
      <c r="E962" s="3">
        <v>44166</v>
      </c>
      <c r="F962" s="3">
        <v>44377</v>
      </c>
      <c r="G962" t="str">
        <f>"700065"</f>
        <v>700065</v>
      </c>
      <c r="H962" t="str">
        <f>"אלתא מערכות בע""מ"</f>
        <v>אלתא מערכות בע"מ</v>
      </c>
      <c r="I962" t="str">
        <f>"ערן שלו"</f>
        <v>ערן שלו</v>
      </c>
      <c r="J962" t="str">
        <f>"OP-AR02168"</f>
        <v>OP-AR02168</v>
      </c>
      <c r="K962" s="1" t="str">
        <f>"1039H824-001/-   HARNESS WY024 - PDU TO TRA4 EXT"</f>
        <v>1039H824-001/-   HARNESS WY024 - PDU TO TRA4 EXT</v>
      </c>
      <c r="L962">
        <v>5</v>
      </c>
      <c r="M962" t="str">
        <f>"PR20000851"</f>
        <v>PR20000851</v>
      </c>
      <c r="N962" t="str">
        <f>"ייצור כבלים"</f>
        <v>ייצור כבלים</v>
      </c>
      <c r="O962">
        <v>822.5</v>
      </c>
      <c r="P962" t="str">
        <f>"$"</f>
        <v>$</v>
      </c>
      <c r="Q962" t="str">
        <f>"117"</f>
        <v>117</v>
      </c>
      <c r="R962" t="str">
        <f>"רתמות"</f>
        <v>רתמות</v>
      </c>
      <c r="S962" t="str">
        <f>"034"</f>
        <v>034</v>
      </c>
      <c r="T962" t="str">
        <f>"מוסקוביץ אולגה"</f>
        <v>מוסקוביץ אולגה</v>
      </c>
      <c r="U962">
        <v>0</v>
      </c>
      <c r="V962">
        <v>0</v>
      </c>
      <c r="W962">
        <v>822.5</v>
      </c>
      <c r="X962" s="2">
        <v>4112.5</v>
      </c>
      <c r="Z962" t="str">
        <f>"Y"</f>
        <v>Y</v>
      </c>
      <c r="AA962">
        <v>0</v>
      </c>
      <c r="AC962">
        <v>0</v>
      </c>
      <c r="AE962">
        <v>0</v>
      </c>
      <c r="AF962">
        <v>0</v>
      </c>
      <c r="AG962" s="2">
        <v>2717.54</v>
      </c>
      <c r="AH962">
        <v>0</v>
      </c>
      <c r="AI962" s="2">
        <v>13587.7</v>
      </c>
      <c r="AJ962" s="2">
        <v>4112.5</v>
      </c>
      <c r="AK962" s="2">
        <v>4112.5</v>
      </c>
      <c r="AL962" t="str">
        <f>"$"</f>
        <v>$</v>
      </c>
    </row>
    <row r="963" spans="1:38" x14ac:dyDescent="0.3">
      <c r="A963" t="str">
        <f>"SO20000555"</f>
        <v>SO20000555</v>
      </c>
      <c r="B963" t="str">
        <f>"E000326481"</f>
        <v>E000326481</v>
      </c>
      <c r="C963" t="str">
        <f>"בוצעה"</f>
        <v>בוצעה</v>
      </c>
      <c r="E963" s="3">
        <v>44166</v>
      </c>
      <c r="F963" s="3">
        <v>44270</v>
      </c>
      <c r="G963" t="str">
        <f>"700065"</f>
        <v>700065</v>
      </c>
      <c r="H963" t="str">
        <f>"אלתא מערכות בע""מ"</f>
        <v>אלתא מערכות בע"מ</v>
      </c>
      <c r="I963" t="str">
        <f>"ערן שלו"</f>
        <v>ערן שלו</v>
      </c>
      <c r="J963" t="str">
        <f>"OP-AR02169"</f>
        <v>OP-AR02169</v>
      </c>
      <c r="K963" s="1" t="str">
        <f>"1039H825-001/-   HARNESS WY025 - PDU TO CU EXTER"</f>
        <v>1039H825-001/-   HARNESS WY025 - PDU TO CU EXTER</v>
      </c>
      <c r="L963">
        <v>5</v>
      </c>
      <c r="M963" t="str">
        <f>"PR20000851"</f>
        <v>PR20000851</v>
      </c>
      <c r="N963" t="str">
        <f>"ייצור כבלים"</f>
        <v>ייצור כבלים</v>
      </c>
      <c r="O963">
        <v>514.77</v>
      </c>
      <c r="P963" t="str">
        <f>"$"</f>
        <v>$</v>
      </c>
      <c r="Q963" t="str">
        <f>"117"</f>
        <v>117</v>
      </c>
      <c r="R963" t="str">
        <f>"רתמות"</f>
        <v>רתמות</v>
      </c>
      <c r="S963" t="str">
        <f>"034"</f>
        <v>034</v>
      </c>
      <c r="T963" t="str">
        <f>"מוסקוביץ אולגה"</f>
        <v>מוסקוביץ אולגה</v>
      </c>
      <c r="U963">
        <v>0</v>
      </c>
      <c r="V963">
        <v>0</v>
      </c>
      <c r="W963">
        <v>514.77</v>
      </c>
      <c r="X963" s="2">
        <v>2573.85</v>
      </c>
      <c r="Z963" t="str">
        <f>"Y"</f>
        <v>Y</v>
      </c>
      <c r="AA963">
        <v>0</v>
      </c>
      <c r="AC963">
        <v>0</v>
      </c>
      <c r="AE963">
        <v>0</v>
      </c>
      <c r="AF963">
        <v>0</v>
      </c>
      <c r="AG963" s="2">
        <v>1700.8</v>
      </c>
      <c r="AH963">
        <v>0</v>
      </c>
      <c r="AI963" s="2">
        <v>8504</v>
      </c>
      <c r="AJ963" s="2">
        <v>2573.85</v>
      </c>
      <c r="AK963" s="2">
        <v>2573.85</v>
      </c>
      <c r="AL963" t="str">
        <f>"$"</f>
        <v>$</v>
      </c>
    </row>
    <row r="964" spans="1:38" x14ac:dyDescent="0.3">
      <c r="A964" t="str">
        <f>"SO20000555"</f>
        <v>SO20000555</v>
      </c>
      <c r="B964" t="str">
        <f>"E000326481"</f>
        <v>E000326481</v>
      </c>
      <c r="C964" t="str">
        <f>"בוצעה"</f>
        <v>בוצעה</v>
      </c>
      <c r="E964" s="3">
        <v>44166</v>
      </c>
      <c r="F964" s="3">
        <v>44377</v>
      </c>
      <c r="G964" t="str">
        <f>"700065"</f>
        <v>700065</v>
      </c>
      <c r="H964" t="str">
        <f>"אלתא מערכות בע""מ"</f>
        <v>אלתא מערכות בע"מ</v>
      </c>
      <c r="I964" t="str">
        <f>"ערן שלו"</f>
        <v>ערן שלו</v>
      </c>
      <c r="J964" t="str">
        <f>"OP-AR02170"</f>
        <v>OP-AR02170</v>
      </c>
      <c r="K964" s="1" t="str">
        <f>"1039H826-001/-   HARNESS WY026 - PDU TO MAST EXT"</f>
        <v>1039H826-001/-   HARNESS WY026 - PDU TO MAST EXT</v>
      </c>
      <c r="L964">
        <v>5</v>
      </c>
      <c r="M964" t="str">
        <f>"PR20000851"</f>
        <v>PR20000851</v>
      </c>
      <c r="N964" t="str">
        <f>"ייצור כבלים"</f>
        <v>ייצור כבלים</v>
      </c>
      <c r="O964">
        <v>391.28</v>
      </c>
      <c r="P964" t="str">
        <f>"$"</f>
        <v>$</v>
      </c>
      <c r="Q964" t="str">
        <f>"117"</f>
        <v>117</v>
      </c>
      <c r="R964" t="str">
        <f>"רתמות"</f>
        <v>רתמות</v>
      </c>
      <c r="S964" t="str">
        <f>"034"</f>
        <v>034</v>
      </c>
      <c r="T964" t="str">
        <f>"מוסקוביץ אולגה"</f>
        <v>מוסקוביץ אולגה</v>
      </c>
      <c r="U964">
        <v>0</v>
      </c>
      <c r="V964">
        <v>0</v>
      </c>
      <c r="W964">
        <v>391.28</v>
      </c>
      <c r="X964" s="2">
        <v>1956.4</v>
      </c>
      <c r="Z964" t="str">
        <f>"Y"</f>
        <v>Y</v>
      </c>
      <c r="AA964">
        <v>0</v>
      </c>
      <c r="AC964">
        <v>0</v>
      </c>
      <c r="AE964">
        <v>0</v>
      </c>
      <c r="AF964">
        <v>0</v>
      </c>
      <c r="AG964" s="2">
        <v>1292.79</v>
      </c>
      <c r="AH964">
        <v>0</v>
      </c>
      <c r="AI964" s="2">
        <v>6463.95</v>
      </c>
      <c r="AJ964" s="2">
        <v>1956.4</v>
      </c>
      <c r="AK964" s="2">
        <v>1956.4</v>
      </c>
      <c r="AL964" t="str">
        <f>"$"</f>
        <v>$</v>
      </c>
    </row>
    <row r="965" spans="1:38" x14ac:dyDescent="0.3">
      <c r="A965" t="str">
        <f>"SO20000555"</f>
        <v>SO20000555</v>
      </c>
      <c r="B965" t="str">
        <f>"E000326481"</f>
        <v>E000326481</v>
      </c>
      <c r="C965" t="str">
        <f>"בוצעה"</f>
        <v>בוצעה</v>
      </c>
      <c r="E965" s="3">
        <v>44166</v>
      </c>
      <c r="F965" s="3">
        <v>44377</v>
      </c>
      <c r="G965" t="str">
        <f>"700065"</f>
        <v>700065</v>
      </c>
      <c r="H965" t="str">
        <f>"אלתא מערכות בע""מ"</f>
        <v>אלתא מערכות בע"מ</v>
      </c>
      <c r="I965" t="str">
        <f>"ערן שלו"</f>
        <v>ערן שלו</v>
      </c>
      <c r="J965" t="str">
        <f>"OP-AR02171"</f>
        <v>OP-AR02171</v>
      </c>
      <c r="K965" s="1" t="str">
        <f>"1039H827-001/-   HARNESS WY027 - PDU TO FANS EXT"</f>
        <v>1039H827-001/-   HARNESS WY027 - PDU TO FANS EXT</v>
      </c>
      <c r="L965">
        <v>5</v>
      </c>
      <c r="M965" t="str">
        <f>"PR20000851"</f>
        <v>PR20000851</v>
      </c>
      <c r="N965" t="str">
        <f>"ייצור כבלים"</f>
        <v>ייצור כבלים</v>
      </c>
      <c r="O965">
        <v>635.34</v>
      </c>
      <c r="P965" t="str">
        <f>"$"</f>
        <v>$</v>
      </c>
      <c r="Q965" t="str">
        <f>"117"</f>
        <v>117</v>
      </c>
      <c r="R965" t="str">
        <f>"רתמות"</f>
        <v>רתמות</v>
      </c>
      <c r="S965" t="str">
        <f>"034"</f>
        <v>034</v>
      </c>
      <c r="T965" t="str">
        <f>"מוסקוביץ אולגה"</f>
        <v>מוסקוביץ אולגה</v>
      </c>
      <c r="U965">
        <v>0</v>
      </c>
      <c r="V965">
        <v>0</v>
      </c>
      <c r="W965">
        <v>635.34</v>
      </c>
      <c r="X965" s="2">
        <v>3176.7</v>
      </c>
      <c r="Z965" t="str">
        <f>"Y"</f>
        <v>Y</v>
      </c>
      <c r="AA965">
        <v>0</v>
      </c>
      <c r="AC965">
        <v>0</v>
      </c>
      <c r="AE965">
        <v>0</v>
      </c>
      <c r="AF965">
        <v>0</v>
      </c>
      <c r="AG965" s="2">
        <v>2099.16</v>
      </c>
      <c r="AH965">
        <v>0</v>
      </c>
      <c r="AI965" s="2">
        <v>10495.82</v>
      </c>
      <c r="AJ965" s="2">
        <v>3176.7</v>
      </c>
      <c r="AK965" s="2">
        <v>3176.7</v>
      </c>
      <c r="AL965" t="str">
        <f>"$"</f>
        <v>$</v>
      </c>
    </row>
    <row r="966" spans="1:38" x14ac:dyDescent="0.3">
      <c r="A966" t="str">
        <f>"SO20000555"</f>
        <v>SO20000555</v>
      </c>
      <c r="B966" t="str">
        <f>"E000326481"</f>
        <v>E000326481</v>
      </c>
      <c r="C966" t="str">
        <f>"בוצעה"</f>
        <v>בוצעה</v>
      </c>
      <c r="E966" s="3">
        <v>44166</v>
      </c>
      <c r="F966" s="3">
        <v>44377</v>
      </c>
      <c r="G966" t="str">
        <f>"700065"</f>
        <v>700065</v>
      </c>
      <c r="H966" t="str">
        <f>"אלתא מערכות בע""מ"</f>
        <v>אלתא מערכות בע"מ</v>
      </c>
      <c r="I966" t="str">
        <f>"ערן שלו"</f>
        <v>ערן שלו</v>
      </c>
      <c r="J966" t="str">
        <f>"OP-AR02172"</f>
        <v>OP-AR02172</v>
      </c>
      <c r="K966" s="1" t="str">
        <f>"1039H828-001/-   HARNESS WY028 - PDU TO IFF EXTE"</f>
        <v>1039H828-001/-   HARNESS WY028 - PDU TO IFF EXTE</v>
      </c>
      <c r="L966">
        <v>5</v>
      </c>
      <c r="M966" t="str">
        <f>"PR20000851"</f>
        <v>PR20000851</v>
      </c>
      <c r="N966" t="str">
        <f>"ייצור כבלים"</f>
        <v>ייצור כבלים</v>
      </c>
      <c r="O966">
        <v>593.54999999999995</v>
      </c>
      <c r="P966" t="str">
        <f>"$"</f>
        <v>$</v>
      </c>
      <c r="Q966" t="str">
        <f>"117"</f>
        <v>117</v>
      </c>
      <c r="R966" t="str">
        <f>"רתמות"</f>
        <v>רתמות</v>
      </c>
      <c r="S966" t="str">
        <f>"034"</f>
        <v>034</v>
      </c>
      <c r="T966" t="str">
        <f>"מוסקוביץ אולגה"</f>
        <v>מוסקוביץ אולגה</v>
      </c>
      <c r="U966">
        <v>0</v>
      </c>
      <c r="V966">
        <v>0</v>
      </c>
      <c r="W966">
        <v>593.54999999999995</v>
      </c>
      <c r="X966" s="2">
        <v>2967.75</v>
      </c>
      <c r="Z966" t="str">
        <f>"Y"</f>
        <v>Y</v>
      </c>
      <c r="AA966">
        <v>0</v>
      </c>
      <c r="AC966">
        <v>0</v>
      </c>
      <c r="AE966">
        <v>0</v>
      </c>
      <c r="AF966">
        <v>0</v>
      </c>
      <c r="AG966" s="2">
        <v>1961.09</v>
      </c>
      <c r="AH966">
        <v>0</v>
      </c>
      <c r="AI966" s="2">
        <v>9805.4500000000007</v>
      </c>
      <c r="AJ966" s="2">
        <v>2967.75</v>
      </c>
      <c r="AK966" s="2">
        <v>2967.75</v>
      </c>
      <c r="AL966" t="str">
        <f>"$"</f>
        <v>$</v>
      </c>
    </row>
    <row r="967" spans="1:38" x14ac:dyDescent="0.3">
      <c r="A967" t="str">
        <f>"SO20000555"</f>
        <v>SO20000555</v>
      </c>
      <c r="B967" t="str">
        <f>"E000326481"</f>
        <v>E000326481</v>
      </c>
      <c r="C967" t="str">
        <f>"בוצעה"</f>
        <v>בוצעה</v>
      </c>
      <c r="E967" s="3">
        <v>44166</v>
      </c>
      <c r="F967" s="3">
        <v>44377</v>
      </c>
      <c r="G967" t="str">
        <f>"700065"</f>
        <v>700065</v>
      </c>
      <c r="H967" t="str">
        <f>"אלתא מערכות בע""מ"</f>
        <v>אלתא מערכות בע"מ</v>
      </c>
      <c r="I967" t="str">
        <f>"ערן שלו"</f>
        <v>ערן שלו</v>
      </c>
      <c r="J967" t="str">
        <f>"OP-AR02173"</f>
        <v>OP-AR02173</v>
      </c>
      <c r="K967" s="1" t="str">
        <f>"1039H831-001/-   HARNESS WY031 - PDU TO TRA1 EXT"</f>
        <v>1039H831-001/-   HARNESS WY031 - PDU TO TRA1 EXT</v>
      </c>
      <c r="L967">
        <v>5</v>
      </c>
      <c r="M967" t="str">
        <f>"PR20000851"</f>
        <v>PR20000851</v>
      </c>
      <c r="N967" t="str">
        <f>"ייצור כבלים"</f>
        <v>ייצור כבלים</v>
      </c>
      <c r="O967" s="2">
        <v>1350.76</v>
      </c>
      <c r="P967" t="str">
        <f>"$"</f>
        <v>$</v>
      </c>
      <c r="Q967" t="str">
        <f>"117"</f>
        <v>117</v>
      </c>
      <c r="R967" t="str">
        <f>"רתמות"</f>
        <v>רתמות</v>
      </c>
      <c r="S967" t="str">
        <f>"034"</f>
        <v>034</v>
      </c>
      <c r="T967" t="str">
        <f>"מוסקוביץ אולגה"</f>
        <v>מוסקוביץ אולגה</v>
      </c>
      <c r="U967">
        <v>0</v>
      </c>
      <c r="V967">
        <v>0</v>
      </c>
      <c r="W967" s="2">
        <v>1350.76</v>
      </c>
      <c r="X967" s="2">
        <v>6753.8</v>
      </c>
      <c r="Z967" t="str">
        <f>"Y"</f>
        <v>Y</v>
      </c>
      <c r="AA967">
        <v>0</v>
      </c>
      <c r="AC967">
        <v>0</v>
      </c>
      <c r="AE967">
        <v>0</v>
      </c>
      <c r="AF967">
        <v>0</v>
      </c>
      <c r="AG967" s="2">
        <v>4462.91</v>
      </c>
      <c r="AH967">
        <v>0</v>
      </c>
      <c r="AI967" s="2">
        <v>22314.560000000001</v>
      </c>
      <c r="AJ967" s="2">
        <v>6753.8</v>
      </c>
      <c r="AK967" s="2">
        <v>6753.8</v>
      </c>
      <c r="AL967" t="str">
        <f>"$"</f>
        <v>$</v>
      </c>
    </row>
    <row r="968" spans="1:38" x14ac:dyDescent="0.3">
      <c r="A968" t="str">
        <f>"SO20000555"</f>
        <v>SO20000555</v>
      </c>
      <c r="B968" t="str">
        <f>"E000326481"</f>
        <v>E000326481</v>
      </c>
      <c r="C968" t="str">
        <f>"בוצעה"</f>
        <v>בוצעה</v>
      </c>
      <c r="E968" s="3">
        <v>44166</v>
      </c>
      <c r="F968" s="3">
        <v>44377</v>
      </c>
      <c r="G968" t="str">
        <f>"700065"</f>
        <v>700065</v>
      </c>
      <c r="H968" t="str">
        <f>"אלתא מערכות בע""מ"</f>
        <v>אלתא מערכות בע"מ</v>
      </c>
      <c r="I968" t="str">
        <f>"ערן שלו"</f>
        <v>ערן שלו</v>
      </c>
      <c r="J968" t="str">
        <f>"OP-AR02174"</f>
        <v>OP-AR02174</v>
      </c>
      <c r="K968" s="1" t="str">
        <f>"1039H832-001/-   HARNESS WY032 - PDU TO TRA2 EXT"</f>
        <v>1039H832-001/-   HARNESS WY032 - PDU TO TRA2 EXT</v>
      </c>
      <c r="L968">
        <v>5</v>
      </c>
      <c r="M968" t="str">
        <f>"PR20000851"</f>
        <v>PR20000851</v>
      </c>
      <c r="N968" t="str">
        <f>"ייצור כבלים"</f>
        <v>ייצור כבלים</v>
      </c>
      <c r="O968" s="2">
        <v>1328.07</v>
      </c>
      <c r="P968" t="str">
        <f>"$"</f>
        <v>$</v>
      </c>
      <c r="Q968" t="str">
        <f>"117"</f>
        <v>117</v>
      </c>
      <c r="R968" t="str">
        <f>"רתמות"</f>
        <v>רתמות</v>
      </c>
      <c r="S968" t="str">
        <f>"034"</f>
        <v>034</v>
      </c>
      <c r="T968" t="str">
        <f>"מוסקוביץ אולגה"</f>
        <v>מוסקוביץ אולגה</v>
      </c>
      <c r="U968">
        <v>0</v>
      </c>
      <c r="V968">
        <v>0</v>
      </c>
      <c r="W968" s="2">
        <v>1328.07</v>
      </c>
      <c r="X968" s="2">
        <v>6640.35</v>
      </c>
      <c r="Z968" t="str">
        <f>"Y"</f>
        <v>Y</v>
      </c>
      <c r="AA968">
        <v>0</v>
      </c>
      <c r="AC968">
        <v>0</v>
      </c>
      <c r="AE968">
        <v>0</v>
      </c>
      <c r="AF968">
        <v>0</v>
      </c>
      <c r="AG968" s="2">
        <v>4387.9399999999996</v>
      </c>
      <c r="AH968">
        <v>0</v>
      </c>
      <c r="AI968" s="2">
        <v>21939.72</v>
      </c>
      <c r="AJ968" s="2">
        <v>6640.35</v>
      </c>
      <c r="AK968" s="2">
        <v>6640.35</v>
      </c>
      <c r="AL968" t="str">
        <f>"$"</f>
        <v>$</v>
      </c>
    </row>
    <row r="969" spans="1:38" x14ac:dyDescent="0.3">
      <c r="A969" t="str">
        <f>"SO20000555"</f>
        <v>SO20000555</v>
      </c>
      <c r="B969" t="str">
        <f>"E000326481"</f>
        <v>E000326481</v>
      </c>
      <c r="C969" t="str">
        <f>"בוצעה"</f>
        <v>בוצעה</v>
      </c>
      <c r="E969" s="3">
        <v>44166</v>
      </c>
      <c r="F969" s="3">
        <v>44377</v>
      </c>
      <c r="G969" t="str">
        <f>"700065"</f>
        <v>700065</v>
      </c>
      <c r="H969" t="str">
        <f>"אלתא מערכות בע""מ"</f>
        <v>אלתא מערכות בע"מ</v>
      </c>
      <c r="I969" t="str">
        <f>"ערן שלו"</f>
        <v>ערן שלו</v>
      </c>
      <c r="J969" t="str">
        <f>"OP-AR02175"</f>
        <v>OP-AR02175</v>
      </c>
      <c r="K969" s="1" t="str">
        <f>"1039H833-001/-   HARNESS WY033 - PDU TO TRA3 EXT"</f>
        <v>1039H833-001/-   HARNESS WY033 - PDU TO TRA3 EXT</v>
      </c>
      <c r="L969">
        <v>5</v>
      </c>
      <c r="M969" t="str">
        <f>"PR20000851"</f>
        <v>PR20000851</v>
      </c>
      <c r="N969" t="str">
        <f>"ייצור כבלים"</f>
        <v>ייצור כבלים</v>
      </c>
      <c r="O969" s="2">
        <v>1348.85</v>
      </c>
      <c r="P969" t="str">
        <f>"$"</f>
        <v>$</v>
      </c>
      <c r="Q969" t="str">
        <f>"117"</f>
        <v>117</v>
      </c>
      <c r="R969" t="str">
        <f>"רתמות"</f>
        <v>רתמות</v>
      </c>
      <c r="S969" t="str">
        <f>"034"</f>
        <v>034</v>
      </c>
      <c r="T969" t="str">
        <f>"מוסקוביץ אולגה"</f>
        <v>מוסקוביץ אולגה</v>
      </c>
      <c r="U969">
        <v>0</v>
      </c>
      <c r="V969">
        <v>0</v>
      </c>
      <c r="W969" s="2">
        <v>1348.85</v>
      </c>
      <c r="X969" s="2">
        <v>6744.25</v>
      </c>
      <c r="Z969" t="str">
        <f>"Y"</f>
        <v>Y</v>
      </c>
      <c r="AA969">
        <v>0</v>
      </c>
      <c r="AC969">
        <v>0</v>
      </c>
      <c r="AE969">
        <v>0</v>
      </c>
      <c r="AF969">
        <v>0</v>
      </c>
      <c r="AG969" s="2">
        <v>4456.6000000000004</v>
      </c>
      <c r="AH969">
        <v>0</v>
      </c>
      <c r="AI969" s="2">
        <v>22283</v>
      </c>
      <c r="AJ969" s="2">
        <v>6744.25</v>
      </c>
      <c r="AK969" s="2">
        <v>6744.25</v>
      </c>
      <c r="AL969" t="str">
        <f>"$"</f>
        <v>$</v>
      </c>
    </row>
    <row r="970" spans="1:38" x14ac:dyDescent="0.3">
      <c r="A970" t="str">
        <f>"SO20000555"</f>
        <v>SO20000555</v>
      </c>
      <c r="B970" t="str">
        <f>"E000326481"</f>
        <v>E000326481</v>
      </c>
      <c r="C970" t="str">
        <f>"בוצעה"</f>
        <v>בוצעה</v>
      </c>
      <c r="E970" s="3">
        <v>44166</v>
      </c>
      <c r="F970" s="3">
        <v>44377</v>
      </c>
      <c r="G970" t="str">
        <f>"700065"</f>
        <v>700065</v>
      </c>
      <c r="H970" t="str">
        <f>"אלתא מערכות בע""מ"</f>
        <v>אלתא מערכות בע"מ</v>
      </c>
      <c r="I970" t="str">
        <f>"ערן שלו"</f>
        <v>ערן שלו</v>
      </c>
      <c r="J970" t="str">
        <f>"OP-AR02176"</f>
        <v>OP-AR02176</v>
      </c>
      <c r="K970" s="1" t="str">
        <f>"1039H834-001/-   HARNESS WY034 - PDU TO TRA4 EXT"</f>
        <v>1039H834-001/-   HARNESS WY034 - PDU TO TRA4 EXT</v>
      </c>
      <c r="L970">
        <v>5</v>
      </c>
      <c r="M970" t="str">
        <f>"PR20000851"</f>
        <v>PR20000851</v>
      </c>
      <c r="N970" t="str">
        <f>"ייצור כבלים"</f>
        <v>ייצור כבלים</v>
      </c>
      <c r="O970" s="2">
        <v>1370.19</v>
      </c>
      <c r="P970" t="str">
        <f>"$"</f>
        <v>$</v>
      </c>
      <c r="Q970" t="str">
        <f>"117"</f>
        <v>117</v>
      </c>
      <c r="R970" t="str">
        <f>"רתמות"</f>
        <v>רתמות</v>
      </c>
      <c r="S970" t="str">
        <f>"034"</f>
        <v>034</v>
      </c>
      <c r="T970" t="str">
        <f>"מוסקוביץ אולגה"</f>
        <v>מוסקוביץ אולגה</v>
      </c>
      <c r="U970">
        <v>0</v>
      </c>
      <c r="V970">
        <v>0</v>
      </c>
      <c r="W970" s="2">
        <v>1370.19</v>
      </c>
      <c r="X970" s="2">
        <v>6850.95</v>
      </c>
      <c r="Z970" t="str">
        <f>"Y"</f>
        <v>Y</v>
      </c>
      <c r="AA970">
        <v>0</v>
      </c>
      <c r="AC970">
        <v>0</v>
      </c>
      <c r="AE970">
        <v>0</v>
      </c>
      <c r="AF970">
        <v>0</v>
      </c>
      <c r="AG970" s="2">
        <v>4527.1099999999997</v>
      </c>
      <c r="AH970">
        <v>0</v>
      </c>
      <c r="AI970" s="2">
        <v>22635.54</v>
      </c>
      <c r="AJ970" s="2">
        <v>6850.95</v>
      </c>
      <c r="AK970" s="2">
        <v>6850.95</v>
      </c>
      <c r="AL970" t="str">
        <f>"$"</f>
        <v>$</v>
      </c>
    </row>
    <row r="971" spans="1:38" x14ac:dyDescent="0.3">
      <c r="A971" t="str">
        <f>"SO20000555"</f>
        <v>SO20000555</v>
      </c>
      <c r="B971" t="str">
        <f>"E000326481"</f>
        <v>E000326481</v>
      </c>
      <c r="C971" t="str">
        <f>"בוצעה"</f>
        <v>בוצעה</v>
      </c>
      <c r="E971" s="3">
        <v>44166</v>
      </c>
      <c r="F971" s="3">
        <v>44377</v>
      </c>
      <c r="G971" t="str">
        <f>"700065"</f>
        <v>700065</v>
      </c>
      <c r="H971" t="str">
        <f>"אלתא מערכות בע""מ"</f>
        <v>אלתא מערכות בע"מ</v>
      </c>
      <c r="I971" t="str">
        <f>"ערן שלו"</f>
        <v>ערן שלו</v>
      </c>
      <c r="J971" t="str">
        <f>"OP-AR02177"</f>
        <v>OP-AR02177</v>
      </c>
      <c r="K971" s="1" t="str">
        <f>"1039H837-001/-   HARNESS WY037 - PDU TO FANS EXT"</f>
        <v>1039H837-001/-   HARNESS WY037 - PDU TO FANS EXT</v>
      </c>
      <c r="L971">
        <v>5</v>
      </c>
      <c r="M971" t="str">
        <f>"PR20000851"</f>
        <v>PR20000851</v>
      </c>
      <c r="N971" t="str">
        <f>"ייצור כבלים"</f>
        <v>ייצור כבלים</v>
      </c>
      <c r="O971">
        <v>758.41</v>
      </c>
      <c r="P971" t="str">
        <f>"$"</f>
        <v>$</v>
      </c>
      <c r="Q971" t="str">
        <f>"117"</f>
        <v>117</v>
      </c>
      <c r="R971" t="str">
        <f>"רתמות"</f>
        <v>רתמות</v>
      </c>
      <c r="S971" t="str">
        <f>"034"</f>
        <v>034</v>
      </c>
      <c r="T971" t="str">
        <f>"מוסקוביץ אולגה"</f>
        <v>מוסקוביץ אולגה</v>
      </c>
      <c r="U971">
        <v>0</v>
      </c>
      <c r="V971">
        <v>0</v>
      </c>
      <c r="W971">
        <v>758.41</v>
      </c>
      <c r="X971" s="2">
        <v>3792.05</v>
      </c>
      <c r="Z971" t="str">
        <f>"Y"</f>
        <v>Y</v>
      </c>
      <c r="AA971">
        <v>0</v>
      </c>
      <c r="AC971">
        <v>0</v>
      </c>
      <c r="AE971">
        <v>0</v>
      </c>
      <c r="AF971">
        <v>0</v>
      </c>
      <c r="AG971" s="2">
        <v>2505.79</v>
      </c>
      <c r="AH971">
        <v>0</v>
      </c>
      <c r="AI971" s="2">
        <v>12528.93</v>
      </c>
      <c r="AJ971" s="2">
        <v>3792.05</v>
      </c>
      <c r="AK971" s="2">
        <v>3792.05</v>
      </c>
      <c r="AL971" t="str">
        <f>"$"</f>
        <v>$</v>
      </c>
    </row>
    <row r="972" spans="1:38" x14ac:dyDescent="0.3">
      <c r="A972" t="str">
        <f>"SO20000555"</f>
        <v>SO20000555</v>
      </c>
      <c r="B972" t="str">
        <f>"E000326481"</f>
        <v>E000326481</v>
      </c>
      <c r="C972" t="str">
        <f>"בוצעה"</f>
        <v>בוצעה</v>
      </c>
      <c r="E972" s="3">
        <v>44166</v>
      </c>
      <c r="F972" s="3">
        <v>44377</v>
      </c>
      <c r="G972" t="str">
        <f>"700065"</f>
        <v>700065</v>
      </c>
      <c r="H972" t="str">
        <f>"אלתא מערכות בע""מ"</f>
        <v>אלתא מערכות בע"מ</v>
      </c>
      <c r="I972" t="str">
        <f>"ערן שלו"</f>
        <v>ערן שלו</v>
      </c>
      <c r="J972" t="str">
        <f>"OP-AR02178"</f>
        <v>OP-AR02178</v>
      </c>
      <c r="K972" s="1" t="str">
        <f>"1039H838-001/-   HARNESS WY038 - PDU TO IFF EXTE"</f>
        <v>1039H838-001/-   HARNESS WY038 - PDU TO IFF EXTE</v>
      </c>
      <c r="L972">
        <v>5</v>
      </c>
      <c r="M972" t="str">
        <f>"PR20000851"</f>
        <v>PR20000851</v>
      </c>
      <c r="N972" t="str">
        <f>"ייצור כבלים"</f>
        <v>ייצור כבלים</v>
      </c>
      <c r="O972">
        <v>345.38</v>
      </c>
      <c r="P972" t="str">
        <f>"$"</f>
        <v>$</v>
      </c>
      <c r="Q972" t="str">
        <f>"117"</f>
        <v>117</v>
      </c>
      <c r="R972" t="str">
        <f>"רתמות"</f>
        <v>רתמות</v>
      </c>
      <c r="S972" t="str">
        <f>"034"</f>
        <v>034</v>
      </c>
      <c r="T972" t="str">
        <f>"מוסקוביץ אולגה"</f>
        <v>מוסקוביץ אולגה</v>
      </c>
      <c r="U972">
        <v>0</v>
      </c>
      <c r="V972">
        <v>0</v>
      </c>
      <c r="W972">
        <v>345.38</v>
      </c>
      <c r="X972" s="2">
        <v>1726.9</v>
      </c>
      <c r="Z972" t="str">
        <f>"Y"</f>
        <v>Y</v>
      </c>
      <c r="AA972">
        <v>0</v>
      </c>
      <c r="AC972">
        <v>0</v>
      </c>
      <c r="AE972">
        <v>0</v>
      </c>
      <c r="AF972">
        <v>0</v>
      </c>
      <c r="AG972" s="2">
        <v>1141.1400000000001</v>
      </c>
      <c r="AH972">
        <v>0</v>
      </c>
      <c r="AI972" s="2">
        <v>5705.68</v>
      </c>
      <c r="AJ972" s="2">
        <v>1726.9</v>
      </c>
      <c r="AK972" s="2">
        <v>1726.9</v>
      </c>
      <c r="AL972" t="str">
        <f>"$"</f>
        <v>$</v>
      </c>
    </row>
    <row r="973" spans="1:38" x14ac:dyDescent="0.3">
      <c r="A973" t="str">
        <f>"SO20000555"</f>
        <v>SO20000555</v>
      </c>
      <c r="B973" t="str">
        <f>"E000326481"</f>
        <v>E000326481</v>
      </c>
      <c r="C973" t="str">
        <f>"בוצעה"</f>
        <v>בוצעה</v>
      </c>
      <c r="E973" s="3">
        <v>44166</v>
      </c>
      <c r="F973" s="3">
        <v>44377</v>
      </c>
      <c r="G973" t="str">
        <f>"700065"</f>
        <v>700065</v>
      </c>
      <c r="H973" t="str">
        <f>"אלתא מערכות בע""מ"</f>
        <v>אלתא מערכות בע"מ</v>
      </c>
      <c r="I973" t="str">
        <f>"ערן שלו"</f>
        <v>ערן שלו</v>
      </c>
      <c r="J973" t="str">
        <f>"OP-AR02179"</f>
        <v>OP-AR02179</v>
      </c>
      <c r="K973" s="1" t="str">
        <f>"1039H839-001/A   HARNESS WY039 - FAN"</f>
        <v>1039H839-001/A   HARNESS WY039 - FAN</v>
      </c>
      <c r="L973">
        <v>20</v>
      </c>
      <c r="M973" t="str">
        <f>"PR20000851"</f>
        <v>PR20000851</v>
      </c>
      <c r="N973" t="str">
        <f>"ייצור כבלים"</f>
        <v>ייצור כבלים</v>
      </c>
      <c r="O973">
        <v>82.92</v>
      </c>
      <c r="P973" t="str">
        <f>"$"</f>
        <v>$</v>
      </c>
      <c r="Q973" t="str">
        <f>"117"</f>
        <v>117</v>
      </c>
      <c r="R973" t="str">
        <f>"רתמות"</f>
        <v>רתמות</v>
      </c>
      <c r="S973" t="str">
        <f>"034"</f>
        <v>034</v>
      </c>
      <c r="T973" t="str">
        <f>"מוסקוביץ אולגה"</f>
        <v>מוסקוביץ אולגה</v>
      </c>
      <c r="U973">
        <v>0</v>
      </c>
      <c r="V973">
        <v>0</v>
      </c>
      <c r="W973">
        <v>82.92</v>
      </c>
      <c r="X973" s="2">
        <v>1658.4</v>
      </c>
      <c r="Z973" t="str">
        <f>"Y"</f>
        <v>Y</v>
      </c>
      <c r="AA973">
        <v>0</v>
      </c>
      <c r="AC973">
        <v>0</v>
      </c>
      <c r="AE973">
        <v>0</v>
      </c>
      <c r="AF973">
        <v>0</v>
      </c>
      <c r="AG973">
        <v>273.97000000000003</v>
      </c>
      <c r="AH973">
        <v>0</v>
      </c>
      <c r="AI973" s="2">
        <v>5479.35</v>
      </c>
      <c r="AJ973" s="2">
        <v>1658.4</v>
      </c>
      <c r="AK973" s="2">
        <v>1658.4</v>
      </c>
      <c r="AL973" t="str">
        <f>"$"</f>
        <v>$</v>
      </c>
    </row>
    <row r="974" spans="1:38" x14ac:dyDescent="0.3">
      <c r="A974" t="str">
        <f>"SO20000555"</f>
        <v>SO20000555</v>
      </c>
      <c r="B974" t="str">
        <f>"E000326481"</f>
        <v>E000326481</v>
      </c>
      <c r="C974" t="str">
        <f>"בוצעה"</f>
        <v>בוצעה</v>
      </c>
      <c r="E974" s="3">
        <v>44166</v>
      </c>
      <c r="F974" s="3">
        <v>44270</v>
      </c>
      <c r="G974" t="str">
        <f>"700065"</f>
        <v>700065</v>
      </c>
      <c r="H974" t="str">
        <f>"אלתא מערכות בע""מ"</f>
        <v>אלתא מערכות בע"מ</v>
      </c>
      <c r="I974" t="str">
        <f>"ערן שלו"</f>
        <v>ערן שלו</v>
      </c>
      <c r="J974" t="str">
        <f>"OP-AR02180"</f>
        <v>OP-AR02180</v>
      </c>
      <c r="K974" s="1" t="str">
        <f>"1039H840-001   HARNESS WY040 - SHELTER DOOR OP"</f>
        <v>1039H840-001   HARNESS WY040 - SHELTER DOOR OP</v>
      </c>
      <c r="L974">
        <v>5</v>
      </c>
      <c r="M974" t="str">
        <f>"PR20000851"</f>
        <v>PR20000851</v>
      </c>
      <c r="N974" t="str">
        <f>"ייצור כבלים"</f>
        <v>ייצור כבלים</v>
      </c>
      <c r="O974">
        <v>98.51</v>
      </c>
      <c r="P974" t="str">
        <f>"$"</f>
        <v>$</v>
      </c>
      <c r="Q974" t="str">
        <f>"117"</f>
        <v>117</v>
      </c>
      <c r="R974" t="str">
        <f>"רתמות"</f>
        <v>רתמות</v>
      </c>
      <c r="S974" t="str">
        <f>"034"</f>
        <v>034</v>
      </c>
      <c r="T974" t="str">
        <f>"מוסקוביץ אולגה"</f>
        <v>מוסקוביץ אולגה</v>
      </c>
      <c r="U974">
        <v>0</v>
      </c>
      <c r="V974">
        <v>0</v>
      </c>
      <c r="W974">
        <v>98.51</v>
      </c>
      <c r="X974">
        <v>492.55</v>
      </c>
      <c r="Z974" t="str">
        <f>"Y"</f>
        <v>Y</v>
      </c>
      <c r="AA974">
        <v>0</v>
      </c>
      <c r="AC974">
        <v>0</v>
      </c>
      <c r="AE974">
        <v>0</v>
      </c>
      <c r="AF974">
        <v>0</v>
      </c>
      <c r="AG974">
        <v>325.48</v>
      </c>
      <c r="AH974">
        <v>0</v>
      </c>
      <c r="AI974" s="2">
        <v>1627.39</v>
      </c>
      <c r="AJ974">
        <v>492.55</v>
      </c>
      <c r="AK974">
        <v>492.55</v>
      </c>
      <c r="AL974" t="str">
        <f>"$"</f>
        <v>$</v>
      </c>
    </row>
    <row r="975" spans="1:38" x14ac:dyDescent="0.3">
      <c r="A975" t="str">
        <f>"SO20000555"</f>
        <v>SO20000555</v>
      </c>
      <c r="B975" t="str">
        <f>"E000326481"</f>
        <v>E000326481</v>
      </c>
      <c r="C975" t="str">
        <f>"בוצעה"</f>
        <v>בוצעה</v>
      </c>
      <c r="E975" s="3">
        <v>44166</v>
      </c>
      <c r="F975" s="3">
        <v>44377</v>
      </c>
      <c r="G975" t="str">
        <f>"700065"</f>
        <v>700065</v>
      </c>
      <c r="H975" t="str">
        <f>"אלתא מערכות בע""מ"</f>
        <v>אלתא מערכות בע"מ</v>
      </c>
      <c r="I975" t="str">
        <f>"ערן שלו"</f>
        <v>ערן שלו</v>
      </c>
      <c r="J975" t="str">
        <f>"OP-AR02181"</f>
        <v>OP-AR02181</v>
      </c>
      <c r="K975" s="1" t="str">
        <f>"1039H842-001   HARNESS WY042 - PDU REMOTE TO U"</f>
        <v>1039H842-001   HARNESS WY042 - PDU REMOTE TO U</v>
      </c>
      <c r="L975">
        <v>5</v>
      </c>
      <c r="M975" t="str">
        <f>"PR20000851"</f>
        <v>PR20000851</v>
      </c>
      <c r="N975" t="str">
        <f>"ייצור כבלים"</f>
        <v>ייצור כבלים</v>
      </c>
      <c r="O975">
        <v>449.8</v>
      </c>
      <c r="P975" t="str">
        <f>"$"</f>
        <v>$</v>
      </c>
      <c r="Q975" t="str">
        <f>"117"</f>
        <v>117</v>
      </c>
      <c r="R975" t="str">
        <f>"רתמות"</f>
        <v>רתמות</v>
      </c>
      <c r="S975" t="str">
        <f>"034"</f>
        <v>034</v>
      </c>
      <c r="T975" t="str">
        <f>"מוסקוביץ אולגה"</f>
        <v>מוסקוביץ אולגה</v>
      </c>
      <c r="U975">
        <v>0</v>
      </c>
      <c r="V975">
        <v>0</v>
      </c>
      <c r="W975">
        <v>449.8</v>
      </c>
      <c r="X975" s="2">
        <v>2249</v>
      </c>
      <c r="Z975" t="str">
        <f>"Y"</f>
        <v>Y</v>
      </c>
      <c r="AA975">
        <v>0</v>
      </c>
      <c r="AC975">
        <v>0</v>
      </c>
      <c r="AE975">
        <v>0</v>
      </c>
      <c r="AF975">
        <v>0</v>
      </c>
      <c r="AG975" s="2">
        <v>1486.14</v>
      </c>
      <c r="AH975">
        <v>0</v>
      </c>
      <c r="AI975" s="2">
        <v>7430.7</v>
      </c>
      <c r="AJ975" s="2">
        <v>2249</v>
      </c>
      <c r="AK975" s="2">
        <v>2249</v>
      </c>
      <c r="AL975" t="str">
        <f>"$"</f>
        <v>$</v>
      </c>
    </row>
    <row r="976" spans="1:38" x14ac:dyDescent="0.3">
      <c r="A976" t="str">
        <f>"SO20000555"</f>
        <v>SO20000555</v>
      </c>
      <c r="B976" t="str">
        <f>"E000326481"</f>
        <v>E000326481</v>
      </c>
      <c r="C976" t="str">
        <f>"בוצעה"</f>
        <v>בוצעה</v>
      </c>
      <c r="E976" s="3">
        <v>44166</v>
      </c>
      <c r="F976" s="3">
        <v>44270</v>
      </c>
      <c r="G976" t="str">
        <f>"700065"</f>
        <v>700065</v>
      </c>
      <c r="H976" t="str">
        <f>"אלתא מערכות בע""מ"</f>
        <v>אלתא מערכות בע"מ</v>
      </c>
      <c r="I976" t="str">
        <f>"ערן שלו"</f>
        <v>ערן שלו</v>
      </c>
      <c r="J976" t="str">
        <f>"OP-AR02182"</f>
        <v>OP-AR02182</v>
      </c>
      <c r="K976" s="1" t="str">
        <f>"1039H843-001/-   HARNESS WY043 - RC TO SWITCH IN"</f>
        <v>1039H843-001/-   HARNESS WY043 - RC TO SWITCH IN</v>
      </c>
      <c r="L976">
        <v>5</v>
      </c>
      <c r="M976" t="str">
        <f>"PR20000851"</f>
        <v>PR20000851</v>
      </c>
      <c r="N976" t="str">
        <f>"ייצור כבלים"</f>
        <v>ייצור כבלים</v>
      </c>
      <c r="O976">
        <v>16.420000000000002</v>
      </c>
      <c r="P976" t="str">
        <f>"$"</f>
        <v>$</v>
      </c>
      <c r="Q976" t="str">
        <f>"117"</f>
        <v>117</v>
      </c>
      <c r="R976" t="str">
        <f>"רתמות"</f>
        <v>רתמות</v>
      </c>
      <c r="S976" t="str">
        <f>"034"</f>
        <v>034</v>
      </c>
      <c r="T976" t="str">
        <f>"מוסקוביץ אולגה"</f>
        <v>מוסקוביץ אולגה</v>
      </c>
      <c r="U976">
        <v>0</v>
      </c>
      <c r="V976">
        <v>0</v>
      </c>
      <c r="W976">
        <v>16.420000000000002</v>
      </c>
      <c r="X976">
        <v>82.1</v>
      </c>
      <c r="Z976" t="str">
        <f>"Y"</f>
        <v>Y</v>
      </c>
      <c r="AA976">
        <v>0</v>
      </c>
      <c r="AC976">
        <v>0</v>
      </c>
      <c r="AE976">
        <v>0</v>
      </c>
      <c r="AF976">
        <v>0</v>
      </c>
      <c r="AG976">
        <v>54.25</v>
      </c>
      <c r="AH976">
        <v>0</v>
      </c>
      <c r="AI976">
        <v>271.26</v>
      </c>
      <c r="AJ976">
        <v>82.1</v>
      </c>
      <c r="AK976">
        <v>82.1</v>
      </c>
      <c r="AL976" t="str">
        <f>"$"</f>
        <v>$</v>
      </c>
    </row>
    <row r="977" spans="1:38" x14ac:dyDescent="0.3">
      <c r="A977" t="str">
        <f>"SO20000555"</f>
        <v>SO20000555</v>
      </c>
      <c r="B977" t="str">
        <f>"E000326481"</f>
        <v>E000326481</v>
      </c>
      <c r="C977" t="str">
        <f>"בוצעה"</f>
        <v>בוצעה</v>
      </c>
      <c r="E977" s="3">
        <v>44166</v>
      </c>
      <c r="F977" s="3">
        <v>44377</v>
      </c>
      <c r="G977" t="str">
        <f>"700065"</f>
        <v>700065</v>
      </c>
      <c r="H977" t="str">
        <f>"אלתא מערכות בע""מ"</f>
        <v>אלתא מערכות בע"מ</v>
      </c>
      <c r="I977" t="str">
        <f>"ערן שלו"</f>
        <v>ערן שלו</v>
      </c>
      <c r="J977" t="str">
        <f>"OP-AR02183"</f>
        <v>OP-AR02183</v>
      </c>
      <c r="K977" s="1" t="str">
        <f>"1039H844-001   HARNESS WY044 - LAN SW TO SHELT"</f>
        <v>1039H844-001   HARNESS WY044 - LAN SW TO SHELT</v>
      </c>
      <c r="L977">
        <v>5</v>
      </c>
      <c r="M977" t="str">
        <f>"PR20000851"</f>
        <v>PR20000851</v>
      </c>
      <c r="N977" t="str">
        <f>"ייצור כבלים"</f>
        <v>ייצור כבלים</v>
      </c>
      <c r="O977">
        <v>176.7</v>
      </c>
      <c r="P977" t="str">
        <f>"$"</f>
        <v>$</v>
      </c>
      <c r="Q977" t="str">
        <f>"117"</f>
        <v>117</v>
      </c>
      <c r="R977" t="str">
        <f>"רתמות"</f>
        <v>רתמות</v>
      </c>
      <c r="S977" t="str">
        <f>"034"</f>
        <v>034</v>
      </c>
      <c r="T977" t="str">
        <f>"מוסקוביץ אולגה"</f>
        <v>מוסקוביץ אולגה</v>
      </c>
      <c r="U977">
        <v>0</v>
      </c>
      <c r="V977">
        <v>0</v>
      </c>
      <c r="W977">
        <v>176.7</v>
      </c>
      <c r="X977">
        <v>883.5</v>
      </c>
      <c r="Z977" t="str">
        <f>"Y"</f>
        <v>Y</v>
      </c>
      <c r="AA977">
        <v>0</v>
      </c>
      <c r="AC977">
        <v>0</v>
      </c>
      <c r="AE977">
        <v>0</v>
      </c>
      <c r="AF977">
        <v>0</v>
      </c>
      <c r="AG977">
        <v>583.82000000000005</v>
      </c>
      <c r="AH977">
        <v>0</v>
      </c>
      <c r="AI977" s="2">
        <v>2919.08</v>
      </c>
      <c r="AJ977">
        <v>883.5</v>
      </c>
      <c r="AK977">
        <v>883.5</v>
      </c>
      <c r="AL977" t="str">
        <f>"$"</f>
        <v>$</v>
      </c>
    </row>
    <row r="978" spans="1:38" x14ac:dyDescent="0.3">
      <c r="A978" t="str">
        <f>"SO20000555"</f>
        <v>SO20000555</v>
      </c>
      <c r="B978" t="str">
        <f>"E000326481"</f>
        <v>E000326481</v>
      </c>
      <c r="C978" t="str">
        <f>"בוצעה"</f>
        <v>בוצעה</v>
      </c>
      <c r="E978" s="3">
        <v>44166</v>
      </c>
      <c r="F978" s="3">
        <v>44270</v>
      </c>
      <c r="G978" t="str">
        <f>"700065"</f>
        <v>700065</v>
      </c>
      <c r="H978" t="str">
        <f>"אלתא מערכות בע""מ"</f>
        <v>אלתא מערכות בע"מ</v>
      </c>
      <c r="I978" t="str">
        <f>"ערן שלו"</f>
        <v>ערן שלו</v>
      </c>
      <c r="J978" t="str">
        <f>"OP-AR02184"</f>
        <v>OP-AR02184</v>
      </c>
      <c r="K978" s="1" t="str">
        <f>"1039H845-001/-   HARNESS WY045 - SWITCH IN TO PD"</f>
        <v>1039H845-001/-   HARNESS WY045 - SWITCH IN TO PD</v>
      </c>
      <c r="L978">
        <v>5</v>
      </c>
      <c r="M978" t="str">
        <f>"PR20000851"</f>
        <v>PR20000851</v>
      </c>
      <c r="N978" t="str">
        <f>"ייצור כבלים"</f>
        <v>ייצור כבלים</v>
      </c>
      <c r="O978">
        <v>16.420000000000002</v>
      </c>
      <c r="P978" t="str">
        <f>"$"</f>
        <v>$</v>
      </c>
      <c r="Q978" t="str">
        <f>"117"</f>
        <v>117</v>
      </c>
      <c r="R978" t="str">
        <f>"רתמות"</f>
        <v>רתמות</v>
      </c>
      <c r="S978" t="str">
        <f>"034"</f>
        <v>034</v>
      </c>
      <c r="T978" t="str">
        <f>"מוסקוביץ אולגה"</f>
        <v>מוסקוביץ אולגה</v>
      </c>
      <c r="U978">
        <v>0</v>
      </c>
      <c r="V978">
        <v>0</v>
      </c>
      <c r="W978">
        <v>16.420000000000002</v>
      </c>
      <c r="X978">
        <v>82.1</v>
      </c>
      <c r="Z978" t="str">
        <f>"Y"</f>
        <v>Y</v>
      </c>
      <c r="AA978">
        <v>0</v>
      </c>
      <c r="AC978">
        <v>0</v>
      </c>
      <c r="AE978">
        <v>0</v>
      </c>
      <c r="AF978">
        <v>0</v>
      </c>
      <c r="AG978">
        <v>54.25</v>
      </c>
      <c r="AH978">
        <v>0</v>
      </c>
      <c r="AI978">
        <v>271.26</v>
      </c>
      <c r="AJ978">
        <v>82.1</v>
      </c>
      <c r="AK978">
        <v>82.1</v>
      </c>
      <c r="AL978" t="str">
        <f>"$"</f>
        <v>$</v>
      </c>
    </row>
    <row r="979" spans="1:38" x14ac:dyDescent="0.3">
      <c r="A979" t="str">
        <f>"SO20000555"</f>
        <v>SO20000555</v>
      </c>
      <c r="B979" t="str">
        <f>"E000326481"</f>
        <v>E000326481</v>
      </c>
      <c r="C979" t="str">
        <f>"בוצעה"</f>
        <v>בוצעה</v>
      </c>
      <c r="E979" s="3">
        <v>44166</v>
      </c>
      <c r="F979" s="3">
        <v>44270</v>
      </c>
      <c r="G979" t="str">
        <f>"700065"</f>
        <v>700065</v>
      </c>
      <c r="H979" t="str">
        <f>"אלתא מערכות בע""מ"</f>
        <v>אלתא מערכות בע"מ</v>
      </c>
      <c r="I979" t="str">
        <f>"ערן שלו"</f>
        <v>ערן שלו</v>
      </c>
      <c r="J979" t="str">
        <f>"OP-AR02185"</f>
        <v>OP-AR02185</v>
      </c>
      <c r="K979" s="1" t="str">
        <f>"1039H846-001/-   HARNESS WY046 - SWITCH IN TO PD"</f>
        <v>1039H846-001/-   HARNESS WY046 - SWITCH IN TO PD</v>
      </c>
      <c r="L979">
        <v>5</v>
      </c>
      <c r="M979" t="str">
        <f>"PR20000851"</f>
        <v>PR20000851</v>
      </c>
      <c r="N979" t="str">
        <f>"ייצור כבלים"</f>
        <v>ייצור כבלים</v>
      </c>
      <c r="O979">
        <v>16.420000000000002</v>
      </c>
      <c r="P979" t="str">
        <f>"$"</f>
        <v>$</v>
      </c>
      <c r="Q979" t="str">
        <f>"117"</f>
        <v>117</v>
      </c>
      <c r="R979" t="str">
        <f>"רתמות"</f>
        <v>רתמות</v>
      </c>
      <c r="S979" t="str">
        <f>"034"</f>
        <v>034</v>
      </c>
      <c r="T979" t="str">
        <f>"מוסקוביץ אולגה"</f>
        <v>מוסקוביץ אולגה</v>
      </c>
      <c r="U979">
        <v>0</v>
      </c>
      <c r="V979">
        <v>0</v>
      </c>
      <c r="W979">
        <v>16.420000000000002</v>
      </c>
      <c r="X979">
        <v>82.1</v>
      </c>
      <c r="Z979" t="str">
        <f>"Y"</f>
        <v>Y</v>
      </c>
      <c r="AA979">
        <v>0</v>
      </c>
      <c r="AC979">
        <v>0</v>
      </c>
      <c r="AE979">
        <v>0</v>
      </c>
      <c r="AF979">
        <v>0</v>
      </c>
      <c r="AG979">
        <v>54.25</v>
      </c>
      <c r="AH979">
        <v>0</v>
      </c>
      <c r="AI979">
        <v>271.26</v>
      </c>
      <c r="AJ979">
        <v>82.1</v>
      </c>
      <c r="AK979">
        <v>82.1</v>
      </c>
      <c r="AL979" t="str">
        <f>"$"</f>
        <v>$</v>
      </c>
    </row>
    <row r="980" spans="1:38" x14ac:dyDescent="0.3">
      <c r="A980" t="str">
        <f>"SO20000555"</f>
        <v>SO20000555</v>
      </c>
      <c r="B980" t="str">
        <f>"E000326481"</f>
        <v>E000326481</v>
      </c>
      <c r="C980" t="str">
        <f>"בוצעה"</f>
        <v>בוצעה</v>
      </c>
      <c r="E980" s="3">
        <v>44166</v>
      </c>
      <c r="F980" s="3">
        <v>44270</v>
      </c>
      <c r="G980" t="str">
        <f>"700065"</f>
        <v>700065</v>
      </c>
      <c r="H980" t="str">
        <f>"אלתא מערכות בע""מ"</f>
        <v>אלתא מערכות בע"מ</v>
      </c>
      <c r="I980" t="str">
        <f>"ערן שלו"</f>
        <v>ערן שלו</v>
      </c>
      <c r="J980" t="str">
        <f>"OP-AR02186"</f>
        <v>OP-AR02186</v>
      </c>
      <c r="K980" s="1" t="str">
        <f>"1039H852-001   HARNESS WY052 - PDU REMOTE TO U"</f>
        <v>1039H852-001   HARNESS WY052 - PDU REMOTE TO U</v>
      </c>
      <c r="L980">
        <v>5</v>
      </c>
      <c r="M980" t="str">
        <f>"PR20000851"</f>
        <v>PR20000851</v>
      </c>
      <c r="N980" t="str">
        <f>"ייצור כבלים"</f>
        <v>ייצור כבלים</v>
      </c>
      <c r="O980" s="2">
        <v>1168.03</v>
      </c>
      <c r="P980" t="str">
        <f>"$"</f>
        <v>$</v>
      </c>
      <c r="Q980" t="str">
        <f>"117"</f>
        <v>117</v>
      </c>
      <c r="R980" t="str">
        <f>"רתמות"</f>
        <v>רתמות</v>
      </c>
      <c r="S980" t="str">
        <f>"034"</f>
        <v>034</v>
      </c>
      <c r="T980" t="str">
        <f>"מוסקוביץ אולגה"</f>
        <v>מוסקוביץ אולגה</v>
      </c>
      <c r="U980">
        <v>0</v>
      </c>
      <c r="V980">
        <v>0</v>
      </c>
      <c r="W980" s="2">
        <v>1168.03</v>
      </c>
      <c r="X980" s="2">
        <v>5840.15</v>
      </c>
      <c r="Z980" t="str">
        <f>"Y"</f>
        <v>Y</v>
      </c>
      <c r="AA980">
        <v>0</v>
      </c>
      <c r="AC980">
        <v>0</v>
      </c>
      <c r="AE980">
        <v>0</v>
      </c>
      <c r="AF980">
        <v>0</v>
      </c>
      <c r="AG980" s="2">
        <v>3859.17</v>
      </c>
      <c r="AH980">
        <v>0</v>
      </c>
      <c r="AI980" s="2">
        <v>19295.86</v>
      </c>
      <c r="AJ980" s="2">
        <v>5840.15</v>
      </c>
      <c r="AK980" s="2">
        <v>5840.15</v>
      </c>
      <c r="AL980" t="str">
        <f>"$"</f>
        <v>$</v>
      </c>
    </row>
    <row r="981" spans="1:38" x14ac:dyDescent="0.3">
      <c r="A981" t="str">
        <f>"SO20000555"</f>
        <v>SO20000555</v>
      </c>
      <c r="B981" t="str">
        <f>"E000326481"</f>
        <v>E000326481</v>
      </c>
      <c r="C981" t="str">
        <f>"בוצעה"</f>
        <v>בוצעה</v>
      </c>
      <c r="E981" s="3">
        <v>44166</v>
      </c>
      <c r="F981" s="3">
        <v>44377</v>
      </c>
      <c r="G981" t="str">
        <f>"700065"</f>
        <v>700065</v>
      </c>
      <c r="H981" t="str">
        <f>"אלתא מערכות בע""מ"</f>
        <v>אלתא מערכות בע"מ</v>
      </c>
      <c r="I981" t="str">
        <f>"ערן שלו"</f>
        <v>ערן שלו</v>
      </c>
      <c r="J981" t="str">
        <f>"OP-AR02187"</f>
        <v>OP-AR02187</v>
      </c>
      <c r="K981" s="1" t="str">
        <f>"1039H861-001/-   HARNESS WY061 - CU TO TRA1 AND"</f>
        <v>1039H861-001/-   HARNESS WY061 - CU TO TRA1 AND</v>
      </c>
      <c r="L981">
        <v>5</v>
      </c>
      <c r="M981" t="str">
        <f>"PR20000851"</f>
        <v>PR20000851</v>
      </c>
      <c r="N981" t="str">
        <f>"ייצור כבלים"</f>
        <v>ייצור כבלים</v>
      </c>
      <c r="O981" s="2">
        <v>1113.19</v>
      </c>
      <c r="P981" t="str">
        <f>"$"</f>
        <v>$</v>
      </c>
      <c r="Q981" t="str">
        <f>"117"</f>
        <v>117</v>
      </c>
      <c r="R981" t="str">
        <f>"רתמות"</f>
        <v>רתמות</v>
      </c>
      <c r="S981" t="str">
        <f>"034"</f>
        <v>034</v>
      </c>
      <c r="T981" t="str">
        <f>"מוסקוביץ אולגה"</f>
        <v>מוסקוביץ אולגה</v>
      </c>
      <c r="U981">
        <v>0</v>
      </c>
      <c r="V981">
        <v>0</v>
      </c>
      <c r="W981" s="2">
        <v>1113.19</v>
      </c>
      <c r="X981" s="2">
        <v>5565.95</v>
      </c>
      <c r="Z981" t="str">
        <f>"Y"</f>
        <v>Y</v>
      </c>
      <c r="AA981">
        <v>0</v>
      </c>
      <c r="AC981">
        <v>0</v>
      </c>
      <c r="AE981">
        <v>0</v>
      </c>
      <c r="AF981">
        <v>0</v>
      </c>
      <c r="AG981" s="2">
        <v>3677.98</v>
      </c>
      <c r="AH981">
        <v>0</v>
      </c>
      <c r="AI981" s="2">
        <v>18389.900000000001</v>
      </c>
      <c r="AJ981" s="2">
        <v>5565.95</v>
      </c>
      <c r="AK981" s="2">
        <v>5565.95</v>
      </c>
      <c r="AL981" t="str">
        <f>"$"</f>
        <v>$</v>
      </c>
    </row>
    <row r="982" spans="1:38" x14ac:dyDescent="0.3">
      <c r="A982" t="str">
        <f>"SO20000555"</f>
        <v>SO20000555</v>
      </c>
      <c r="B982" t="str">
        <f>"E000326481"</f>
        <v>E000326481</v>
      </c>
      <c r="C982" t="str">
        <f>"בוצעה"</f>
        <v>בוצעה</v>
      </c>
      <c r="E982" s="3">
        <v>44166</v>
      </c>
      <c r="F982" s="3">
        <v>44377</v>
      </c>
      <c r="G982" t="str">
        <f>"700065"</f>
        <v>700065</v>
      </c>
      <c r="H982" t="str">
        <f>"אלתא מערכות בע""מ"</f>
        <v>אלתא מערכות בע"מ</v>
      </c>
      <c r="I982" t="str">
        <f>"ערן שלו"</f>
        <v>ערן שלו</v>
      </c>
      <c r="J982" t="str">
        <f>"OP-AR02188"</f>
        <v>OP-AR02188</v>
      </c>
      <c r="K982" s="1" t="str">
        <f>"1039H862-001/-   HARNESS WY062 - CU TO TRA2 AND"</f>
        <v>1039H862-001/-   HARNESS WY062 - CU TO TRA2 AND</v>
      </c>
      <c r="L982">
        <v>5</v>
      </c>
      <c r="M982" t="str">
        <f>"PR20000851"</f>
        <v>PR20000851</v>
      </c>
      <c r="N982" t="str">
        <f>"ייצור כבלים"</f>
        <v>ייצור כבלים</v>
      </c>
      <c r="O982" s="2">
        <v>1110.94</v>
      </c>
      <c r="P982" t="str">
        <f>"$"</f>
        <v>$</v>
      </c>
      <c r="Q982" t="str">
        <f>"117"</f>
        <v>117</v>
      </c>
      <c r="R982" t="str">
        <f>"רתמות"</f>
        <v>רתמות</v>
      </c>
      <c r="S982" t="str">
        <f>"034"</f>
        <v>034</v>
      </c>
      <c r="T982" t="str">
        <f>"מוסקוביץ אולגה"</f>
        <v>מוסקוביץ אולגה</v>
      </c>
      <c r="U982">
        <v>0</v>
      </c>
      <c r="V982">
        <v>0</v>
      </c>
      <c r="W982" s="2">
        <v>1110.94</v>
      </c>
      <c r="X982" s="2">
        <v>5554.7</v>
      </c>
      <c r="Z982" t="str">
        <f>"Y"</f>
        <v>Y</v>
      </c>
      <c r="AA982">
        <v>0</v>
      </c>
      <c r="AC982">
        <v>0</v>
      </c>
      <c r="AE982">
        <v>0</v>
      </c>
      <c r="AF982">
        <v>0</v>
      </c>
      <c r="AG982" s="2">
        <v>3670.55</v>
      </c>
      <c r="AH982">
        <v>0</v>
      </c>
      <c r="AI982" s="2">
        <v>18352.73</v>
      </c>
      <c r="AJ982" s="2">
        <v>5554.7</v>
      </c>
      <c r="AK982" s="2">
        <v>5554.7</v>
      </c>
      <c r="AL982" t="str">
        <f>"$"</f>
        <v>$</v>
      </c>
    </row>
    <row r="983" spans="1:38" x14ac:dyDescent="0.3">
      <c r="A983" t="str">
        <f>"SO20000555"</f>
        <v>SO20000555</v>
      </c>
      <c r="B983" t="str">
        <f>"E000326481"</f>
        <v>E000326481</v>
      </c>
      <c r="C983" t="str">
        <f>"בוצעה"</f>
        <v>בוצעה</v>
      </c>
      <c r="E983" s="3">
        <v>44166</v>
      </c>
      <c r="F983" s="3">
        <v>44270</v>
      </c>
      <c r="G983" t="str">
        <f>"700065"</f>
        <v>700065</v>
      </c>
      <c r="H983" t="str">
        <f>"אלתא מערכות בע""מ"</f>
        <v>אלתא מערכות בע"מ</v>
      </c>
      <c r="I983" t="str">
        <f>"ערן שלו"</f>
        <v>ערן שלו</v>
      </c>
      <c r="J983" t="str">
        <f>"OP-AR02189"</f>
        <v>OP-AR02189</v>
      </c>
      <c r="K983" s="1" t="str">
        <f>"1039H863-001/-   HARNESS WY063 - CU TO TRA3 AND"</f>
        <v>1039H863-001/-   HARNESS WY063 - CU TO TRA3 AND</v>
      </c>
      <c r="L983">
        <v>5</v>
      </c>
      <c r="M983" t="str">
        <f>"PR20000851"</f>
        <v>PR20000851</v>
      </c>
      <c r="N983" t="str">
        <f>"ייצור כבלים"</f>
        <v>ייצור כבלים</v>
      </c>
      <c r="O983" s="2">
        <v>1123.4000000000001</v>
      </c>
      <c r="P983" t="str">
        <f>"$"</f>
        <v>$</v>
      </c>
      <c r="Q983" t="str">
        <f>"117"</f>
        <v>117</v>
      </c>
      <c r="R983" t="str">
        <f>"רתמות"</f>
        <v>רתמות</v>
      </c>
      <c r="S983" t="str">
        <f>"034"</f>
        <v>034</v>
      </c>
      <c r="T983" t="str">
        <f>"מוסקוביץ אולגה"</f>
        <v>מוסקוביץ אולגה</v>
      </c>
      <c r="U983">
        <v>0</v>
      </c>
      <c r="V983">
        <v>0</v>
      </c>
      <c r="W983" s="2">
        <v>1123.4000000000001</v>
      </c>
      <c r="X983" s="2">
        <v>5617</v>
      </c>
      <c r="Z983" t="str">
        <f>"Y"</f>
        <v>Y</v>
      </c>
      <c r="AA983">
        <v>0</v>
      </c>
      <c r="AC983">
        <v>0</v>
      </c>
      <c r="AE983">
        <v>0</v>
      </c>
      <c r="AF983">
        <v>0</v>
      </c>
      <c r="AG983" s="2">
        <v>3711.71</v>
      </c>
      <c r="AH983">
        <v>0</v>
      </c>
      <c r="AI983" s="2">
        <v>18558.57</v>
      </c>
      <c r="AJ983" s="2">
        <v>5617</v>
      </c>
      <c r="AK983" s="2">
        <v>5617</v>
      </c>
      <c r="AL983" t="str">
        <f>"$"</f>
        <v>$</v>
      </c>
    </row>
    <row r="984" spans="1:38" x14ac:dyDescent="0.3">
      <c r="A984" t="str">
        <f>"SO20000555"</f>
        <v>SO20000555</v>
      </c>
      <c r="B984" t="str">
        <f>"E000326481"</f>
        <v>E000326481</v>
      </c>
      <c r="C984" t="str">
        <f>"בוצעה"</f>
        <v>בוצעה</v>
      </c>
      <c r="E984" s="3">
        <v>44166</v>
      </c>
      <c r="F984" s="3">
        <v>44377</v>
      </c>
      <c r="G984" t="str">
        <f>"700065"</f>
        <v>700065</v>
      </c>
      <c r="H984" t="str">
        <f>"אלתא מערכות בע""מ"</f>
        <v>אלתא מערכות בע"מ</v>
      </c>
      <c r="I984" t="str">
        <f>"ערן שלו"</f>
        <v>ערן שלו</v>
      </c>
      <c r="J984" t="str">
        <f>"OP-AR02190"</f>
        <v>OP-AR02190</v>
      </c>
      <c r="K984" s="1" t="str">
        <f>"1039H864-001/-   HARNESS WY064 - CU TO TRA4 AND"</f>
        <v>1039H864-001/-   HARNESS WY064 - CU TO TRA4 AND</v>
      </c>
      <c r="L984">
        <v>5</v>
      </c>
      <c r="M984" t="str">
        <f>"PR20000851"</f>
        <v>PR20000851</v>
      </c>
      <c r="N984" t="str">
        <f>"ייצור כבלים"</f>
        <v>ייצור כבלים</v>
      </c>
      <c r="O984" s="2">
        <v>1131.71</v>
      </c>
      <c r="P984" t="str">
        <f>"$"</f>
        <v>$</v>
      </c>
      <c r="Q984" t="str">
        <f>"117"</f>
        <v>117</v>
      </c>
      <c r="R984" t="str">
        <f>"רתמות"</f>
        <v>רתמות</v>
      </c>
      <c r="S984" t="str">
        <f>"034"</f>
        <v>034</v>
      </c>
      <c r="T984" t="str">
        <f>"מוסקוביץ אולגה"</f>
        <v>מוסקוביץ אולגה</v>
      </c>
      <c r="U984">
        <v>0</v>
      </c>
      <c r="V984">
        <v>0</v>
      </c>
      <c r="W984" s="2">
        <v>1131.71</v>
      </c>
      <c r="X984" s="2">
        <v>5658.55</v>
      </c>
      <c r="Z984" t="str">
        <f>"Y"</f>
        <v>Y</v>
      </c>
      <c r="AA984">
        <v>0</v>
      </c>
      <c r="AC984">
        <v>0</v>
      </c>
      <c r="AE984">
        <v>0</v>
      </c>
      <c r="AF984">
        <v>0</v>
      </c>
      <c r="AG984" s="2">
        <v>3739.17</v>
      </c>
      <c r="AH984">
        <v>0</v>
      </c>
      <c r="AI984" s="2">
        <v>18695.849999999999</v>
      </c>
      <c r="AJ984" s="2">
        <v>5658.55</v>
      </c>
      <c r="AK984" s="2">
        <v>5658.55</v>
      </c>
      <c r="AL984" t="str">
        <f>"$"</f>
        <v>$</v>
      </c>
    </row>
    <row r="985" spans="1:38" x14ac:dyDescent="0.3">
      <c r="A985" t="str">
        <f>"SO20000555"</f>
        <v>SO20000555</v>
      </c>
      <c r="B985" t="str">
        <f>"E000326481"</f>
        <v>E000326481</v>
      </c>
      <c r="C985" t="str">
        <f>"בוצעה"</f>
        <v>בוצעה</v>
      </c>
      <c r="E985" s="3">
        <v>44166</v>
      </c>
      <c r="F985" s="3">
        <v>44377</v>
      </c>
      <c r="G985" t="str">
        <f>"700065"</f>
        <v>700065</v>
      </c>
      <c r="H985" t="str">
        <f>"אלתא מערכות בע""מ"</f>
        <v>אלתא מערכות בע"מ</v>
      </c>
      <c r="I985" t="str">
        <f>"ערן שלו"</f>
        <v>ערן שלו</v>
      </c>
      <c r="J985" t="str">
        <f>"PA1001726"</f>
        <v>PA1001726</v>
      </c>
      <c r="K985" s="1" t="str">
        <f>"82A0111-0-9  כבל תעופתי"</f>
        <v>82A0111-0-9  כבל תעופתי</v>
      </c>
      <c r="L985">
        <v>92</v>
      </c>
      <c r="M985" t="str">
        <f>"PR20000851"</f>
        <v>PR20000851</v>
      </c>
      <c r="N985" t="str">
        <f>"ייצור כבלים"</f>
        <v>ייצור כבלים</v>
      </c>
      <c r="O985">
        <v>84.98</v>
      </c>
      <c r="P985" t="str">
        <f>"$"</f>
        <v>$</v>
      </c>
      <c r="Q985" t="str">
        <f>"117"</f>
        <v>117</v>
      </c>
      <c r="R985" t="str">
        <f>"רתמות"</f>
        <v>רתמות</v>
      </c>
      <c r="S985" t="str">
        <f>"034"</f>
        <v>034</v>
      </c>
      <c r="T985" t="str">
        <f>"מוסקוביץ אולגה"</f>
        <v>מוסקוביץ אולגה</v>
      </c>
      <c r="U985">
        <v>0</v>
      </c>
      <c r="V985">
        <v>0</v>
      </c>
      <c r="W985">
        <v>84.98</v>
      </c>
      <c r="X985" s="2">
        <v>7818.16</v>
      </c>
      <c r="Z985" t="str">
        <f>"Y"</f>
        <v>Y</v>
      </c>
      <c r="AA985">
        <v>0</v>
      </c>
      <c r="AC985">
        <v>0</v>
      </c>
      <c r="AE985">
        <v>0</v>
      </c>
      <c r="AF985">
        <v>0</v>
      </c>
      <c r="AG985">
        <v>280.77</v>
      </c>
      <c r="AH985">
        <v>0</v>
      </c>
      <c r="AI985" s="2">
        <v>25831.200000000001</v>
      </c>
      <c r="AJ985" s="2">
        <v>7818.16</v>
      </c>
      <c r="AK985" s="2">
        <v>7818.16</v>
      </c>
      <c r="AL985" t="str">
        <f>"$"</f>
        <v>$</v>
      </c>
    </row>
    <row r="986" spans="1:38" x14ac:dyDescent="0.3">
      <c r="A986" t="str">
        <f>"SO20000557"</f>
        <v>SO20000557</v>
      </c>
      <c r="B986" t="str">
        <f>"E000327266"</f>
        <v>E000327266</v>
      </c>
      <c r="C986" t="str">
        <f>"בוצעה"</f>
        <v>בוצעה</v>
      </c>
      <c r="E986" s="3">
        <v>44167</v>
      </c>
      <c r="F986" s="3">
        <v>44211</v>
      </c>
      <c r="G986" t="str">
        <f>"700065"</f>
        <v>700065</v>
      </c>
      <c r="H986" t="str">
        <f>"אלתא מערכות בע""מ"</f>
        <v>אלתא מערכות בע"מ</v>
      </c>
      <c r="I986" t="str">
        <f>"ערן שלו"</f>
        <v>ערן שלו</v>
      </c>
      <c r="J986" t="str">
        <f>"OP-AR02147"</f>
        <v>OP-AR02147</v>
      </c>
      <c r="K986" s="1" t="str">
        <f>"9002H707-001  HARNESS W5707 - POD LVCS J4 DC POW"</f>
        <v>9002H707-001  HARNESS W5707 - POD LVCS J4 DC POW</v>
      </c>
      <c r="L986">
        <v>1</v>
      </c>
      <c r="M986" t="str">
        <f>"PR20000842"</f>
        <v>PR20000842</v>
      </c>
      <c r="N986" t="str">
        <f>"ESS W5707 - POD LVCS J4 DC POWER"</f>
        <v>ESS W5707 - POD LVCS J4 DC POWER</v>
      </c>
      <c r="O986">
        <v>866.17</v>
      </c>
      <c r="P986" t="str">
        <f>"$"</f>
        <v>$</v>
      </c>
      <c r="Q986" t="str">
        <f>"000"</f>
        <v>000</v>
      </c>
      <c r="R986" t="str">
        <f>"כללית"</f>
        <v>כללית</v>
      </c>
      <c r="S986" t="str">
        <f>"034"</f>
        <v>034</v>
      </c>
      <c r="T986" t="str">
        <f>"מוסקוביץ אולגה"</f>
        <v>מוסקוביץ אולגה</v>
      </c>
      <c r="U986">
        <v>0</v>
      </c>
      <c r="V986">
        <v>0</v>
      </c>
      <c r="W986">
        <v>866.17</v>
      </c>
      <c r="X986">
        <v>866.17</v>
      </c>
      <c r="Z986" t="str">
        <f>"Y"</f>
        <v>Y</v>
      </c>
      <c r="AA986">
        <v>0</v>
      </c>
      <c r="AC986">
        <v>0</v>
      </c>
      <c r="AE986">
        <v>0</v>
      </c>
      <c r="AF986">
        <v>0</v>
      </c>
      <c r="AG986" s="2">
        <v>2848.83</v>
      </c>
      <c r="AH986">
        <v>0</v>
      </c>
      <c r="AI986" s="2">
        <v>2848.83</v>
      </c>
      <c r="AJ986">
        <v>866.17</v>
      </c>
      <c r="AK986">
        <v>866.17</v>
      </c>
      <c r="AL986" t="str">
        <f>"$"</f>
        <v>$</v>
      </c>
    </row>
    <row r="987" spans="1:38" x14ac:dyDescent="0.3">
      <c r="A987" t="str">
        <f>"SO20000557"</f>
        <v>SO20000557</v>
      </c>
      <c r="B987" t="str">
        <f>"E000327266"</f>
        <v>E000327266</v>
      </c>
      <c r="C987" t="str">
        <f>"בוצעה"</f>
        <v>בוצעה</v>
      </c>
      <c r="E987" s="3">
        <v>44167</v>
      </c>
      <c r="F987" s="3">
        <v>44245</v>
      </c>
      <c r="G987" t="str">
        <f>"700065"</f>
        <v>700065</v>
      </c>
      <c r="H987" t="str">
        <f>"אלתא מערכות בע""מ"</f>
        <v>אלתא מערכות בע"מ</v>
      </c>
      <c r="I987" t="str">
        <f>"ערן שלו"</f>
        <v>ערן שלו</v>
      </c>
      <c r="J987" t="str">
        <f>"OP-AR02147"</f>
        <v>OP-AR02147</v>
      </c>
      <c r="K987" s="1" t="str">
        <f>"9002H707-001  HARNESS W5707 - POD LVCS J4 DC POW"</f>
        <v>9002H707-001  HARNESS W5707 - POD LVCS J4 DC POW</v>
      </c>
      <c r="L987">
        <v>5</v>
      </c>
      <c r="M987" t="str">
        <f>"PR20000842"</f>
        <v>PR20000842</v>
      </c>
      <c r="N987" t="str">
        <f>"ESS W5707 - POD LVCS J4 DC POWER"</f>
        <v>ESS W5707 - POD LVCS J4 DC POWER</v>
      </c>
      <c r="O987">
        <v>866.17</v>
      </c>
      <c r="P987" t="str">
        <f>"$"</f>
        <v>$</v>
      </c>
      <c r="Q987" t="str">
        <f>"000"</f>
        <v>000</v>
      </c>
      <c r="R987" t="str">
        <f>"כללית"</f>
        <v>כללית</v>
      </c>
      <c r="S987" t="str">
        <f>"034"</f>
        <v>034</v>
      </c>
      <c r="T987" t="str">
        <f>"מוסקוביץ אולגה"</f>
        <v>מוסקוביץ אולגה</v>
      </c>
      <c r="U987">
        <v>0</v>
      </c>
      <c r="V987">
        <v>0</v>
      </c>
      <c r="W987">
        <v>866.17</v>
      </c>
      <c r="X987" s="2">
        <v>4330.8500000000004</v>
      </c>
      <c r="Z987" t="str">
        <f>"Y"</f>
        <v>Y</v>
      </c>
      <c r="AA987">
        <v>0</v>
      </c>
      <c r="AC987">
        <v>0</v>
      </c>
      <c r="AE987">
        <v>0</v>
      </c>
      <c r="AF987">
        <v>0</v>
      </c>
      <c r="AG987" s="2">
        <v>2848.83</v>
      </c>
      <c r="AH987">
        <v>0</v>
      </c>
      <c r="AI987" s="2">
        <v>14244.17</v>
      </c>
      <c r="AJ987" s="2">
        <v>4330.8500000000004</v>
      </c>
      <c r="AK987" s="2">
        <v>4330.8500000000004</v>
      </c>
      <c r="AL987" t="str">
        <f>"$"</f>
        <v>$</v>
      </c>
    </row>
    <row r="988" spans="1:38" x14ac:dyDescent="0.3">
      <c r="A988" t="str">
        <f>"SO20000557"</f>
        <v>SO20000557</v>
      </c>
      <c r="B988" t="str">
        <f>"E000327266"</f>
        <v>E000327266</v>
      </c>
      <c r="C988" t="str">
        <f>"בוצעה"</f>
        <v>בוצעה</v>
      </c>
      <c r="E988" s="3">
        <v>44167</v>
      </c>
      <c r="F988" s="3">
        <v>44211</v>
      </c>
      <c r="G988" t="str">
        <f>"700065"</f>
        <v>700065</v>
      </c>
      <c r="H988" t="str">
        <f>"אלתא מערכות בע""מ"</f>
        <v>אלתא מערכות בע"מ</v>
      </c>
      <c r="I988" t="str">
        <f>"ערן שלו"</f>
        <v>ערן שלו</v>
      </c>
      <c r="J988" t="str">
        <f>"OP-AR02148"</f>
        <v>OP-AR02148</v>
      </c>
      <c r="K988" s="1" t="str">
        <f>"9002H708-001  HARNESS W5708 - POD LVCS J5 DC POW"</f>
        <v>9002H708-001  HARNESS W5708 - POD LVCS J5 DC POW</v>
      </c>
      <c r="L988">
        <v>1</v>
      </c>
      <c r="M988" t="str">
        <f>"PR20000842"</f>
        <v>PR20000842</v>
      </c>
      <c r="N988" t="str">
        <f>"ESS W5707 - POD LVCS J4 DC POWER"</f>
        <v>ESS W5707 - POD LVCS J4 DC POWER</v>
      </c>
      <c r="O988">
        <v>866.17</v>
      </c>
      <c r="P988" t="str">
        <f>"$"</f>
        <v>$</v>
      </c>
      <c r="Q988" t="str">
        <f>"000"</f>
        <v>000</v>
      </c>
      <c r="R988" t="str">
        <f>"כללית"</f>
        <v>כללית</v>
      </c>
      <c r="S988" t="str">
        <f>"034"</f>
        <v>034</v>
      </c>
      <c r="T988" t="str">
        <f>"מוסקוביץ אולגה"</f>
        <v>מוסקוביץ אולגה</v>
      </c>
      <c r="U988">
        <v>0</v>
      </c>
      <c r="V988">
        <v>0</v>
      </c>
      <c r="W988">
        <v>866.17</v>
      </c>
      <c r="X988">
        <v>866.17</v>
      </c>
      <c r="Z988" t="str">
        <f>"Y"</f>
        <v>Y</v>
      </c>
      <c r="AA988">
        <v>0</v>
      </c>
      <c r="AC988">
        <v>0</v>
      </c>
      <c r="AE988">
        <v>0</v>
      </c>
      <c r="AF988">
        <v>0</v>
      </c>
      <c r="AG988" s="2">
        <v>2848.83</v>
      </c>
      <c r="AH988">
        <v>0</v>
      </c>
      <c r="AI988" s="2">
        <v>2848.83</v>
      </c>
      <c r="AJ988">
        <v>866.17</v>
      </c>
      <c r="AK988">
        <v>866.17</v>
      </c>
      <c r="AL988" t="str">
        <f>"$"</f>
        <v>$</v>
      </c>
    </row>
    <row r="989" spans="1:38" x14ac:dyDescent="0.3">
      <c r="A989" t="str">
        <f>"SO20000557"</f>
        <v>SO20000557</v>
      </c>
      <c r="B989" t="str">
        <f>"E000327266"</f>
        <v>E000327266</v>
      </c>
      <c r="C989" t="str">
        <f>"בוצעה"</f>
        <v>בוצעה</v>
      </c>
      <c r="E989" s="3">
        <v>44167</v>
      </c>
      <c r="F989" s="3">
        <v>44245</v>
      </c>
      <c r="G989" t="str">
        <f>"700065"</f>
        <v>700065</v>
      </c>
      <c r="H989" t="str">
        <f>"אלתא מערכות בע""מ"</f>
        <v>אלתא מערכות בע"מ</v>
      </c>
      <c r="I989" t="str">
        <f>"ערן שלו"</f>
        <v>ערן שלו</v>
      </c>
      <c r="J989" t="str">
        <f>"OP-AR02148"</f>
        <v>OP-AR02148</v>
      </c>
      <c r="K989" s="1" t="str">
        <f>"9002H708-001  HARNESS W5708 - POD LVCS J5 DC POW"</f>
        <v>9002H708-001  HARNESS W5708 - POD LVCS J5 DC POW</v>
      </c>
      <c r="L989">
        <v>4</v>
      </c>
      <c r="M989" t="str">
        <f>"PR20000842"</f>
        <v>PR20000842</v>
      </c>
      <c r="N989" t="str">
        <f>"ESS W5707 - POD LVCS J4 DC POWER"</f>
        <v>ESS W5707 - POD LVCS J4 DC POWER</v>
      </c>
      <c r="O989">
        <v>866.17</v>
      </c>
      <c r="P989" t="str">
        <f>"$"</f>
        <v>$</v>
      </c>
      <c r="Q989" t="str">
        <f>"000"</f>
        <v>000</v>
      </c>
      <c r="R989" t="str">
        <f>"כללית"</f>
        <v>כללית</v>
      </c>
      <c r="S989" t="str">
        <f>"034"</f>
        <v>034</v>
      </c>
      <c r="T989" t="str">
        <f>"מוסקוביץ אולגה"</f>
        <v>מוסקוביץ אולגה</v>
      </c>
      <c r="U989">
        <v>0</v>
      </c>
      <c r="V989">
        <v>0</v>
      </c>
      <c r="W989">
        <v>866.17</v>
      </c>
      <c r="X989" s="2">
        <v>3464.68</v>
      </c>
      <c r="Z989" t="str">
        <f>"Y"</f>
        <v>Y</v>
      </c>
      <c r="AA989">
        <v>0</v>
      </c>
      <c r="AC989">
        <v>0</v>
      </c>
      <c r="AE989">
        <v>0</v>
      </c>
      <c r="AF989">
        <v>0</v>
      </c>
      <c r="AG989" s="2">
        <v>2848.83</v>
      </c>
      <c r="AH989">
        <v>0</v>
      </c>
      <c r="AI989" s="2">
        <v>11395.33</v>
      </c>
      <c r="AJ989" s="2">
        <v>3464.68</v>
      </c>
      <c r="AK989" s="2">
        <v>3464.68</v>
      </c>
      <c r="AL989" t="str">
        <f>"$"</f>
        <v>$</v>
      </c>
    </row>
    <row r="990" spans="1:38" x14ac:dyDescent="0.3">
      <c r="A990" t="str">
        <f>"SO20000558"</f>
        <v>SO20000558</v>
      </c>
      <c r="B990" t="str">
        <f>"E000327474"</f>
        <v>E000327474</v>
      </c>
      <c r="C990" t="str">
        <f>"בוצעה"</f>
        <v>בוצעה</v>
      </c>
      <c r="E990" s="3">
        <v>44167</v>
      </c>
      <c r="F990" s="3">
        <v>44296</v>
      </c>
      <c r="G990" t="str">
        <f>"700065"</f>
        <v>700065</v>
      </c>
      <c r="H990" t="str">
        <f>"אלתא מערכות בע""מ"</f>
        <v>אלתא מערכות בע"מ</v>
      </c>
      <c r="I990" t="str">
        <f>"ערן שלו"</f>
        <v>ערן שלו</v>
      </c>
      <c r="J990" t="str">
        <f>"OP-AR01716"</f>
        <v>OP-AR01716</v>
      </c>
      <c r="K990" s="1" t="str">
        <f>"4050B381-001 HARNESS W381 - KEY LOAD SSTU"</f>
        <v>4050B381-001 HARNESS W381 - KEY LOAD SSTU</v>
      </c>
      <c r="L990">
        <v>7</v>
      </c>
      <c r="M990" t="str">
        <f>"PR20000843"</f>
        <v>PR20000843</v>
      </c>
      <c r="N990" t="str">
        <f>"HARNESS W381 - KEY LOAD SSTU"</f>
        <v>HARNESS W381 - KEY LOAD SSTU</v>
      </c>
      <c r="O990">
        <v>211.52</v>
      </c>
      <c r="P990" t="str">
        <f>"$"</f>
        <v>$</v>
      </c>
      <c r="Q990" t="str">
        <f>"117"</f>
        <v>117</v>
      </c>
      <c r="R990" t="str">
        <f>"רתמות"</f>
        <v>רתמות</v>
      </c>
      <c r="S990" t="str">
        <f>"034"</f>
        <v>034</v>
      </c>
      <c r="T990" t="str">
        <f>"מוסקוביץ אולגה"</f>
        <v>מוסקוביץ אולגה</v>
      </c>
      <c r="U990">
        <v>0</v>
      </c>
      <c r="V990">
        <v>0</v>
      </c>
      <c r="W990">
        <v>211.52</v>
      </c>
      <c r="X990" s="2">
        <v>1480.64</v>
      </c>
      <c r="Z990" t="str">
        <f>"Y"</f>
        <v>Y</v>
      </c>
      <c r="AA990">
        <v>0</v>
      </c>
      <c r="AC990">
        <v>0</v>
      </c>
      <c r="AE990">
        <v>0</v>
      </c>
      <c r="AF990">
        <v>0</v>
      </c>
      <c r="AG990">
        <v>695.69</v>
      </c>
      <c r="AH990">
        <v>0</v>
      </c>
      <c r="AI990" s="2">
        <v>4869.82</v>
      </c>
      <c r="AJ990" s="2">
        <v>1480.64</v>
      </c>
      <c r="AK990" s="2">
        <v>1480.64</v>
      </c>
      <c r="AL990" t="str">
        <f>"$"</f>
        <v>$</v>
      </c>
    </row>
    <row r="991" spans="1:38" x14ac:dyDescent="0.3">
      <c r="A991" t="str">
        <f>"SO20000558"</f>
        <v>SO20000558</v>
      </c>
      <c r="B991" t="str">
        <f>"E000327474"</f>
        <v>E000327474</v>
      </c>
      <c r="C991" t="str">
        <f>"בוצעה"</f>
        <v>בוצעה</v>
      </c>
      <c r="E991" s="3">
        <v>44167</v>
      </c>
      <c r="F991" s="3">
        <v>44221</v>
      </c>
      <c r="G991" t="str">
        <f>"700065"</f>
        <v>700065</v>
      </c>
      <c r="H991" t="str">
        <f>"אלתא מערכות בע""מ"</f>
        <v>אלתא מערכות בע"מ</v>
      </c>
      <c r="I991" t="str">
        <f>"ערן שלו"</f>
        <v>ערן שלו</v>
      </c>
      <c r="J991" t="str">
        <f>"OP-AR02149"</f>
        <v>OP-AR02149</v>
      </c>
      <c r="K991" s="1" t="str">
        <f>"9009M497-001  HARNESS WRS97 - TEST CABLE"</f>
        <v>9009M497-001  HARNESS WRS97 - TEST CABLE</v>
      </c>
      <c r="L991">
        <v>1</v>
      </c>
      <c r="M991" t="str">
        <f>"PR20000843"</f>
        <v>PR20000843</v>
      </c>
      <c r="N991" t="str">
        <f>"HARNESS W381 - KEY LOAD SSTU"</f>
        <v>HARNESS W381 - KEY LOAD SSTU</v>
      </c>
      <c r="O991">
        <v>511.29</v>
      </c>
      <c r="P991" t="str">
        <f>"$"</f>
        <v>$</v>
      </c>
      <c r="Q991" t="str">
        <f>"117"</f>
        <v>117</v>
      </c>
      <c r="R991" t="str">
        <f>"רתמות"</f>
        <v>רתמות</v>
      </c>
      <c r="S991" t="str">
        <f>"034"</f>
        <v>034</v>
      </c>
      <c r="T991" t="str">
        <f>"מוסקוביץ אולגה"</f>
        <v>מוסקוביץ אולגה</v>
      </c>
      <c r="U991">
        <v>0</v>
      </c>
      <c r="V991">
        <v>0</v>
      </c>
      <c r="W991">
        <v>511.29</v>
      </c>
      <c r="X991">
        <v>511.29</v>
      </c>
      <c r="Z991" t="str">
        <f>"Y"</f>
        <v>Y</v>
      </c>
      <c r="AA991">
        <v>0</v>
      </c>
      <c r="AC991">
        <v>0</v>
      </c>
      <c r="AE991">
        <v>0</v>
      </c>
      <c r="AF991">
        <v>0</v>
      </c>
      <c r="AG991" s="2">
        <v>1681.63</v>
      </c>
      <c r="AH991">
        <v>0</v>
      </c>
      <c r="AI991" s="2">
        <v>1681.63</v>
      </c>
      <c r="AJ991">
        <v>511.29</v>
      </c>
      <c r="AK991">
        <v>511.29</v>
      </c>
      <c r="AL991" t="str">
        <f>"$"</f>
        <v>$</v>
      </c>
    </row>
    <row r="992" spans="1:38" x14ac:dyDescent="0.3">
      <c r="A992" t="str">
        <f>"SO20000558"</f>
        <v>SO20000558</v>
      </c>
      <c r="B992" t="str">
        <f>"E000327474"</f>
        <v>E000327474</v>
      </c>
      <c r="C992" t="str">
        <f>"בוצעה"</f>
        <v>בוצעה</v>
      </c>
      <c r="E992" s="3">
        <v>44167</v>
      </c>
      <c r="F992" s="3">
        <v>44221</v>
      </c>
      <c r="G992" t="str">
        <f>"700065"</f>
        <v>700065</v>
      </c>
      <c r="H992" t="str">
        <f>"אלתא מערכות בע""מ"</f>
        <v>אלתא מערכות בע"מ</v>
      </c>
      <c r="I992" t="str">
        <f>"ערן שלו"</f>
        <v>ערן שלו</v>
      </c>
      <c r="J992" t="str">
        <f>"OP-AR02149"</f>
        <v>OP-AR02149</v>
      </c>
      <c r="K992" s="1" t="str">
        <f>"9009M497-001  HARNESS WRS97 - TEST CABLE"</f>
        <v>9009M497-001  HARNESS WRS97 - TEST CABLE</v>
      </c>
      <c r="L992">
        <v>1</v>
      </c>
      <c r="M992" t="str">
        <f>"PR20000843"</f>
        <v>PR20000843</v>
      </c>
      <c r="N992" t="str">
        <f>"HARNESS W381 - KEY LOAD SSTU"</f>
        <v>HARNESS W381 - KEY LOAD SSTU</v>
      </c>
      <c r="O992">
        <v>511.29</v>
      </c>
      <c r="P992" t="str">
        <f>"$"</f>
        <v>$</v>
      </c>
      <c r="Q992" t="str">
        <f>"117"</f>
        <v>117</v>
      </c>
      <c r="R992" t="str">
        <f>"רתמות"</f>
        <v>רתמות</v>
      </c>
      <c r="S992" t="str">
        <f>"034"</f>
        <v>034</v>
      </c>
      <c r="T992" t="str">
        <f>"מוסקוביץ אולגה"</f>
        <v>מוסקוביץ אולגה</v>
      </c>
      <c r="U992">
        <v>0</v>
      </c>
      <c r="V992">
        <v>0</v>
      </c>
      <c r="W992">
        <v>511.29</v>
      </c>
      <c r="X992">
        <v>511.29</v>
      </c>
      <c r="Z992" t="str">
        <f>"Y"</f>
        <v>Y</v>
      </c>
      <c r="AA992">
        <v>0</v>
      </c>
      <c r="AC992">
        <v>0</v>
      </c>
      <c r="AE992">
        <v>0</v>
      </c>
      <c r="AF992">
        <v>0</v>
      </c>
      <c r="AG992" s="2">
        <v>1681.63</v>
      </c>
      <c r="AH992">
        <v>0</v>
      </c>
      <c r="AI992" s="2">
        <v>1681.63</v>
      </c>
      <c r="AJ992">
        <v>511.29</v>
      </c>
      <c r="AK992">
        <v>511.29</v>
      </c>
      <c r="AL992" t="str">
        <f>"$"</f>
        <v>$</v>
      </c>
    </row>
    <row r="993" spans="1:38" x14ac:dyDescent="0.3">
      <c r="A993" t="str">
        <f>"SO20000561"</f>
        <v>SO20000561</v>
      </c>
      <c r="B993" t="str">
        <f>"E000327280"</f>
        <v>E000327280</v>
      </c>
      <c r="C993" t="str">
        <f>"בוצעה"</f>
        <v>בוצעה</v>
      </c>
      <c r="E993" s="3">
        <v>44167</v>
      </c>
      <c r="F993" s="3">
        <v>44742</v>
      </c>
      <c r="G993" t="str">
        <f>"700065"</f>
        <v>700065</v>
      </c>
      <c r="H993" t="str">
        <f>"אלתא מערכות בע""מ"</f>
        <v>אלתא מערכות בע"מ</v>
      </c>
      <c r="I993" t="str">
        <f>"רוני דידי"</f>
        <v>רוני דידי</v>
      </c>
      <c r="J993" t="str">
        <f>"OP-ML00196"</f>
        <v>OP-ML00196</v>
      </c>
      <c r="K993" s="1" t="str">
        <f>"PORTABLE SIMULATOR 3068H050-001"</f>
        <v>PORTABLE SIMULATOR 3068H050-001</v>
      </c>
      <c r="L993">
        <v>1</v>
      </c>
      <c r="M993" t="str">
        <f>"PR21000011"</f>
        <v>PR21000011</v>
      </c>
      <c r="N993" t="str">
        <f>"מארז סימולטור"</f>
        <v>מארז סימולטור</v>
      </c>
      <c r="O993" s="2">
        <v>71200</v>
      </c>
      <c r="P993" t="str">
        <f>"$"</f>
        <v>$</v>
      </c>
      <c r="Q993" t="str">
        <f>"118"</f>
        <v>118</v>
      </c>
      <c r="R993" t="str">
        <f>"מערכות"</f>
        <v>מערכות</v>
      </c>
      <c r="S993" t="str">
        <f>"007"</f>
        <v>007</v>
      </c>
      <c r="T993" t="str">
        <f>"מוסקוביץ אולגה"</f>
        <v>מוסקוביץ אולגה</v>
      </c>
      <c r="U993">
        <v>0</v>
      </c>
      <c r="V993">
        <v>0</v>
      </c>
      <c r="W993" s="2">
        <v>71200</v>
      </c>
      <c r="X993" s="2">
        <v>71200</v>
      </c>
      <c r="Z993" t="str">
        <f>"Y"</f>
        <v>Y</v>
      </c>
      <c r="AA993">
        <v>0</v>
      </c>
      <c r="AC993">
        <v>0</v>
      </c>
      <c r="AE993">
        <v>0</v>
      </c>
      <c r="AF993">
        <v>0</v>
      </c>
      <c r="AG993" s="2">
        <v>234176.8</v>
      </c>
      <c r="AH993">
        <v>0</v>
      </c>
      <c r="AI993" s="2">
        <v>234176.8</v>
      </c>
      <c r="AJ993" s="2">
        <v>71200</v>
      </c>
      <c r="AK993" s="2">
        <v>71200</v>
      </c>
      <c r="AL993" t="str">
        <f>"$"</f>
        <v>$</v>
      </c>
    </row>
    <row r="994" spans="1:38" x14ac:dyDescent="0.3">
      <c r="A994" t="str">
        <f>"SO20000561"</f>
        <v>SO20000561</v>
      </c>
      <c r="B994" t="str">
        <f>"E000327280"</f>
        <v>E000327280</v>
      </c>
      <c r="C994" t="str">
        <f>"בוצעה"</f>
        <v>בוצעה</v>
      </c>
      <c r="E994" s="3">
        <v>44167</v>
      </c>
      <c r="F994" s="3">
        <v>44542</v>
      </c>
      <c r="G994" t="str">
        <f>"700065"</f>
        <v>700065</v>
      </c>
      <c r="H994" t="str">
        <f>"אלתא מערכות בע""מ"</f>
        <v>אלתא מערכות בע"מ</v>
      </c>
      <c r="I994" t="str">
        <f>"רוני דידי"</f>
        <v>רוני דידי</v>
      </c>
      <c r="J994" t="str">
        <f>"CM0300033"</f>
        <v>CM0300033</v>
      </c>
      <c r="K994" s="1" t="str">
        <f>"TRIMBLE BX992 DUAL-ANTENNA GNSS RECEIVER"</f>
        <v>TRIMBLE BX992 DUAL-ANTENNA GNSS RECEIVER</v>
      </c>
      <c r="L994">
        <v>1</v>
      </c>
      <c r="M994" t="str">
        <f>"PR21000011"</f>
        <v>PR21000011</v>
      </c>
      <c r="N994" t="str">
        <f>"מארז סימולטור"</f>
        <v>מארז סימולטור</v>
      </c>
      <c r="O994">
        <v>0</v>
      </c>
      <c r="P994" t="str">
        <f>"$"</f>
        <v>$</v>
      </c>
      <c r="Q994" t="str">
        <f>"118"</f>
        <v>118</v>
      </c>
      <c r="R994" t="str">
        <f>"מערכות"</f>
        <v>מערכות</v>
      </c>
      <c r="S994" t="str">
        <f>"007"</f>
        <v>007</v>
      </c>
      <c r="T994" t="str">
        <f>"מוסקוביץ אולגה"</f>
        <v>מוסקוביץ אולגה</v>
      </c>
      <c r="U994">
        <v>0</v>
      </c>
      <c r="V994">
        <v>0</v>
      </c>
      <c r="W994">
        <v>0</v>
      </c>
      <c r="X994">
        <v>0</v>
      </c>
      <c r="Z994" t="str">
        <f>"Y"</f>
        <v>Y</v>
      </c>
      <c r="AA994">
        <v>0</v>
      </c>
      <c r="AC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 t="str">
        <f>"$"</f>
        <v>$</v>
      </c>
    </row>
    <row r="995" spans="1:38" x14ac:dyDescent="0.3">
      <c r="A995" t="str">
        <f>"SO20000561"</f>
        <v>SO20000561</v>
      </c>
      <c r="B995" t="str">
        <f>"E000327280"</f>
        <v>E000327280</v>
      </c>
      <c r="C995" t="str">
        <f>"בוצעה"</f>
        <v>בוצעה</v>
      </c>
      <c r="E995" s="3">
        <v>44167</v>
      </c>
      <c r="F995" s="3">
        <v>44542</v>
      </c>
      <c r="G995" t="str">
        <f>"700065"</f>
        <v>700065</v>
      </c>
      <c r="H995" t="str">
        <f>"אלתא מערכות בע""מ"</f>
        <v>אלתא מערכות בע"מ</v>
      </c>
      <c r="I995" t="str">
        <f>"רוני דידי"</f>
        <v>רוני דידי</v>
      </c>
      <c r="J995" t="str">
        <f>"CM9900113"</f>
        <v>CM9900113</v>
      </c>
      <c r="K995" s="1" t="str">
        <f>"Trimble Zephyr 3 Rover Antenna"</f>
        <v>Trimble Zephyr 3 Rover Antenna</v>
      </c>
      <c r="L995">
        <v>1</v>
      </c>
      <c r="M995" t="str">
        <f>"PR21000011"</f>
        <v>PR21000011</v>
      </c>
      <c r="N995" t="str">
        <f>"מארז סימולטור"</f>
        <v>מארז סימולטור</v>
      </c>
      <c r="O995">
        <v>0</v>
      </c>
      <c r="P995" t="str">
        <f>"$"</f>
        <v>$</v>
      </c>
      <c r="Q995" t="str">
        <f>"118"</f>
        <v>118</v>
      </c>
      <c r="R995" t="str">
        <f>"מערכות"</f>
        <v>מערכות</v>
      </c>
      <c r="S995" t="str">
        <f>"007"</f>
        <v>007</v>
      </c>
      <c r="T995" t="str">
        <f>"מוסקוביץ אולגה"</f>
        <v>מוסקוביץ אולגה</v>
      </c>
      <c r="U995">
        <v>0</v>
      </c>
      <c r="V995">
        <v>0</v>
      </c>
      <c r="W995">
        <v>0</v>
      </c>
      <c r="X995">
        <v>0</v>
      </c>
      <c r="Z995" t="str">
        <f>"Y"</f>
        <v>Y</v>
      </c>
      <c r="AA995">
        <v>0</v>
      </c>
      <c r="AC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 t="str">
        <f>"$"</f>
        <v>$</v>
      </c>
    </row>
    <row r="996" spans="1:38" x14ac:dyDescent="0.3">
      <c r="A996" t="str">
        <f>"SO20000561"</f>
        <v>SO20000561</v>
      </c>
      <c r="B996" t="str">
        <f>"E000327280"</f>
        <v>E000327280</v>
      </c>
      <c r="C996" t="str">
        <f>"בוצעה"</f>
        <v>בוצעה</v>
      </c>
      <c r="E996" s="3">
        <v>44167</v>
      </c>
      <c r="F996" s="3">
        <v>44542</v>
      </c>
      <c r="G996" t="str">
        <f>"700065"</f>
        <v>700065</v>
      </c>
      <c r="H996" t="str">
        <f>"אלתא מערכות בע""מ"</f>
        <v>אלתא מערכות בע"מ</v>
      </c>
      <c r="I996" t="str">
        <f>"רוני דידי"</f>
        <v>רוני דידי</v>
      </c>
      <c r="J996" t="str">
        <f>"CM0300034"</f>
        <v>CM0300034</v>
      </c>
      <c r="K996" s="1" t="str">
        <f>"Rev.2X-1590WBEL מד פילוס דיגיטלי צבאי"</f>
        <v>Rev.2X-1590WBEL מד פילוס דיגיטלי צבאי</v>
      </c>
      <c r="L996">
        <v>1</v>
      </c>
      <c r="M996" t="str">
        <f>"PR21000011"</f>
        <v>PR21000011</v>
      </c>
      <c r="N996" t="str">
        <f>"מארז סימולטור"</f>
        <v>מארז סימולטור</v>
      </c>
      <c r="O996">
        <v>0</v>
      </c>
      <c r="P996" t="str">
        <f>"$"</f>
        <v>$</v>
      </c>
      <c r="Q996" t="str">
        <f>"118"</f>
        <v>118</v>
      </c>
      <c r="R996" t="str">
        <f>"מערכות"</f>
        <v>מערכות</v>
      </c>
      <c r="S996" t="str">
        <f>"007"</f>
        <v>007</v>
      </c>
      <c r="T996" t="str">
        <f>"מוסקוביץ אולגה"</f>
        <v>מוסקוביץ אולגה</v>
      </c>
      <c r="U996">
        <v>0</v>
      </c>
      <c r="V996">
        <v>0</v>
      </c>
      <c r="W996">
        <v>0</v>
      </c>
      <c r="X996">
        <v>0</v>
      </c>
      <c r="Z996" t="str">
        <f>"Y"</f>
        <v>Y</v>
      </c>
      <c r="AA996">
        <v>0</v>
      </c>
      <c r="AC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 t="str">
        <f>"$"</f>
        <v>$</v>
      </c>
    </row>
    <row r="997" spans="1:38" x14ac:dyDescent="0.3">
      <c r="A997" t="str">
        <f>"SO20000561"</f>
        <v>SO20000561</v>
      </c>
      <c r="B997" t="str">
        <f>"E000327280"</f>
        <v>E000327280</v>
      </c>
      <c r="C997" t="str">
        <f>"בוצעה"</f>
        <v>בוצעה</v>
      </c>
      <c r="E997" s="3">
        <v>44167</v>
      </c>
      <c r="F997" s="3">
        <v>44551</v>
      </c>
      <c r="G997" t="str">
        <f>"700065"</f>
        <v>700065</v>
      </c>
      <c r="H997" t="str">
        <f>"אלתא מערכות בע""מ"</f>
        <v>אלתא מערכות בע"מ</v>
      </c>
      <c r="I997" t="str">
        <f>"רוני דידי"</f>
        <v>רוני דידי</v>
      </c>
      <c r="J997" t="str">
        <f>"PA1001087"</f>
        <v>PA1001087</v>
      </c>
      <c r="K997" s="1" t="str">
        <f>"ממיר ETHERNET TO SERIAL RS485 NPort 5130A MOXA"</f>
        <v>ממיר ETHERNET TO SERIAL RS485 NPort 5130A MOXA</v>
      </c>
      <c r="L997">
        <v>1</v>
      </c>
      <c r="M997" t="str">
        <f>"PR21000011"</f>
        <v>PR21000011</v>
      </c>
      <c r="N997" t="str">
        <f>"מארז סימולטור"</f>
        <v>מארז סימולטור</v>
      </c>
      <c r="O997">
        <v>0</v>
      </c>
      <c r="P997" t="str">
        <f>"$"</f>
        <v>$</v>
      </c>
      <c r="Q997" t="str">
        <f>"118"</f>
        <v>118</v>
      </c>
      <c r="R997" t="str">
        <f>"מערכות"</f>
        <v>מערכות</v>
      </c>
      <c r="S997" t="str">
        <f>"007"</f>
        <v>007</v>
      </c>
      <c r="T997" t="str">
        <f>"מוסקוביץ אולגה"</f>
        <v>מוסקוביץ אולגה</v>
      </c>
      <c r="U997">
        <v>0</v>
      </c>
      <c r="V997">
        <v>0</v>
      </c>
      <c r="W997">
        <v>0</v>
      </c>
      <c r="X997">
        <v>0</v>
      </c>
      <c r="Z997" t="str">
        <f>"Y"</f>
        <v>Y</v>
      </c>
      <c r="AA997">
        <v>0</v>
      </c>
      <c r="AC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 t="str">
        <f>"$"</f>
        <v>$</v>
      </c>
    </row>
    <row r="998" spans="1:38" x14ac:dyDescent="0.3">
      <c r="A998" t="str">
        <f>"SO20000561"</f>
        <v>SO20000561</v>
      </c>
      <c r="B998" t="str">
        <f>"E000327280"</f>
        <v>E000327280</v>
      </c>
      <c r="C998" t="str">
        <f>"בוצעה"</f>
        <v>בוצעה</v>
      </c>
      <c r="E998" s="3">
        <v>44167</v>
      </c>
      <c r="F998" s="3">
        <v>44697</v>
      </c>
      <c r="G998" t="str">
        <f>"700065"</f>
        <v>700065</v>
      </c>
      <c r="H998" t="str">
        <f>"אלתא מערכות בע""מ"</f>
        <v>אלתא מערכות בע"מ</v>
      </c>
      <c r="I998" t="str">
        <f>"רוני דידי"</f>
        <v>רוני דידי</v>
      </c>
      <c r="J998" t="str">
        <f>"000"</f>
        <v>000</v>
      </c>
      <c r="K998" s="1" t="str">
        <f>"ציוד לקוח סיגנל גנרטור מתאם נשיונל"</f>
        <v>ציוד לקוח סיגנל גנרטור מתאם נשיונל</v>
      </c>
      <c r="L998">
        <v>1</v>
      </c>
      <c r="M998" t="str">
        <f>"PR21000011"</f>
        <v>PR21000011</v>
      </c>
      <c r="N998" t="str">
        <f>"מארז סימולטור"</f>
        <v>מארז סימולטור</v>
      </c>
      <c r="O998">
        <v>0</v>
      </c>
      <c r="P998" t="str">
        <f>"$"</f>
        <v>$</v>
      </c>
      <c r="Q998" t="str">
        <f>"118"</f>
        <v>118</v>
      </c>
      <c r="R998" t="str">
        <f>"מערכות"</f>
        <v>מערכות</v>
      </c>
      <c r="S998" t="str">
        <f>"007"</f>
        <v>007</v>
      </c>
      <c r="T998" t="str">
        <f>"מוסקוביץ אולגה"</f>
        <v>מוסקוביץ אולגה</v>
      </c>
      <c r="U998">
        <v>0</v>
      </c>
      <c r="V998">
        <v>0</v>
      </c>
      <c r="W998">
        <v>0</v>
      </c>
      <c r="X998">
        <v>0</v>
      </c>
      <c r="Z998" t="str">
        <f>"Y"</f>
        <v>Y</v>
      </c>
      <c r="AA998">
        <v>0</v>
      </c>
      <c r="AC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 t="str">
        <f>"$"</f>
        <v>$</v>
      </c>
    </row>
    <row r="999" spans="1:38" x14ac:dyDescent="0.3">
      <c r="A999" t="str">
        <f>"SO20000569"</f>
        <v>SO20000569</v>
      </c>
      <c r="B999" t="str">
        <f>"E000327221"</f>
        <v>E000327221</v>
      </c>
      <c r="C999" t="str">
        <f>"בוצעה"</f>
        <v>בוצעה</v>
      </c>
      <c r="E999" s="3">
        <v>44172</v>
      </c>
      <c r="F999" s="3">
        <v>44250</v>
      </c>
      <c r="G999" t="str">
        <f>"700065"</f>
        <v>700065</v>
      </c>
      <c r="H999" t="str">
        <f>"אלתא מערכות בע""מ"</f>
        <v>אלתא מערכות בע"מ</v>
      </c>
      <c r="I999" t="str">
        <f>"ערן שלו"</f>
        <v>ערן שלו</v>
      </c>
      <c r="J999" t="str">
        <f>"cust000658"</f>
        <v>cust000658</v>
      </c>
      <c r="K999" s="1" t="str">
        <f>"TSI-EPC - 380Vac-Module BRAVO אלתא"</f>
        <v>TSI-EPC - 380Vac-Module BRAVO אלתא</v>
      </c>
      <c r="L999">
        <v>1</v>
      </c>
      <c r="M999" t="str">
        <f>"PR20000875"</f>
        <v>PR20000875</v>
      </c>
      <c r="N999" t="str">
        <f>"SP-PS0300006 תיקון"</f>
        <v>SP-PS0300006 תיקון</v>
      </c>
      <c r="O999">
        <v>0</v>
      </c>
      <c r="P999" t="str">
        <f>"$"</f>
        <v>$</v>
      </c>
      <c r="Q999" t="str">
        <f>"118"</f>
        <v>118</v>
      </c>
      <c r="R999" t="str">
        <f>"מערכות"</f>
        <v>מערכות</v>
      </c>
      <c r="S999" t="str">
        <f>"034"</f>
        <v>034</v>
      </c>
      <c r="T999" t="str">
        <f>"מוסקוביץ אולגה"</f>
        <v>מוסקוביץ אולגה</v>
      </c>
      <c r="U999">
        <v>0</v>
      </c>
      <c r="V999">
        <v>0</v>
      </c>
      <c r="W999">
        <v>0</v>
      </c>
      <c r="X999">
        <v>0</v>
      </c>
      <c r="Z999" t="str">
        <f>"Y"</f>
        <v>Y</v>
      </c>
      <c r="AA999">
        <v>0</v>
      </c>
      <c r="AC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 t="str">
        <f>"$"</f>
        <v>$</v>
      </c>
    </row>
    <row r="1000" spans="1:38" x14ac:dyDescent="0.3">
      <c r="A1000" t="str">
        <f>"SO20000569"</f>
        <v>SO20000569</v>
      </c>
      <c r="B1000" t="str">
        <f>"E000327221"</f>
        <v>E000327221</v>
      </c>
      <c r="C1000" t="str">
        <f>"בוצעה"</f>
        <v>בוצעה</v>
      </c>
      <c r="E1000" s="3">
        <v>44172</v>
      </c>
      <c r="F1000" s="3">
        <v>44313</v>
      </c>
      <c r="G1000" t="str">
        <f>"700065"</f>
        <v>700065</v>
      </c>
      <c r="H1000" t="str">
        <f>"אלתא מערכות בע""מ"</f>
        <v>אלתא מערכות בע"מ</v>
      </c>
      <c r="I1000" t="str">
        <f>"ערן שלו"</f>
        <v>ערן שלו</v>
      </c>
      <c r="J1000" t="str">
        <f>"cust000658"</f>
        <v>cust000658</v>
      </c>
      <c r="K1000" s="1" t="str">
        <f>"TSI-EPC - 380Vac-Module BRAVO אלתא"</f>
        <v>TSI-EPC - 380Vac-Module BRAVO אלתא</v>
      </c>
      <c r="L1000">
        <v>1</v>
      </c>
      <c r="M1000" t="str">
        <f>"PR20000875"</f>
        <v>PR20000875</v>
      </c>
      <c r="N1000" t="str">
        <f>"SP-PS0300006 תיקון"</f>
        <v>SP-PS0300006 תיקון</v>
      </c>
      <c r="O1000">
        <v>0</v>
      </c>
      <c r="P1000" t="str">
        <f>"$"</f>
        <v>$</v>
      </c>
      <c r="Q1000" t="str">
        <f>"118"</f>
        <v>118</v>
      </c>
      <c r="R1000" t="str">
        <f>"מערכות"</f>
        <v>מערכות</v>
      </c>
      <c r="S1000" t="str">
        <f>"034"</f>
        <v>034</v>
      </c>
      <c r="T1000" t="str">
        <f>"מוסקוביץ אולגה"</f>
        <v>מוסקוביץ אולגה</v>
      </c>
      <c r="U1000">
        <v>0</v>
      </c>
      <c r="V1000">
        <v>0</v>
      </c>
      <c r="W1000">
        <v>0</v>
      </c>
      <c r="X1000">
        <v>0</v>
      </c>
      <c r="Z1000" t="str">
        <f>"Y"</f>
        <v>Y</v>
      </c>
      <c r="AA1000">
        <v>0</v>
      </c>
      <c r="AC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 t="str">
        <f>"$"</f>
        <v>$</v>
      </c>
    </row>
    <row r="1001" spans="1:38" x14ac:dyDescent="0.3">
      <c r="A1001" t="str">
        <f>"SO20000580"</f>
        <v>SO20000580</v>
      </c>
      <c r="B1001" t="str">
        <f>"E000327817"</f>
        <v>E000327817</v>
      </c>
      <c r="C1001" t="str">
        <f>"בוצעה"</f>
        <v>בוצעה</v>
      </c>
      <c r="E1001" s="3">
        <v>44174</v>
      </c>
      <c r="F1001" s="3">
        <v>44378</v>
      </c>
      <c r="G1001" t="str">
        <f>"700065"</f>
        <v>700065</v>
      </c>
      <c r="H1001" t="str">
        <f>"אלתא מערכות בע""מ"</f>
        <v>אלתא מערכות בע"מ</v>
      </c>
      <c r="I1001" t="str">
        <f>"ערן שלו"</f>
        <v>ערן שלו</v>
      </c>
      <c r="J1001" t="str">
        <f>"PS0400019.02"</f>
        <v>PS0400019.02</v>
      </c>
      <c r="K1001" s="1" t="str">
        <f>"P331030000 Module MEDIA"</f>
        <v>P331030000 Module MEDIA</v>
      </c>
      <c r="L1001">
        <v>2</v>
      </c>
      <c r="M1001" t="str">
        <f>"PR20000878"</f>
        <v>PR20000878</v>
      </c>
      <c r="N1001" t="str">
        <f>"P331030000 Module MEDIA"</f>
        <v>P331030000 Module MEDIA</v>
      </c>
      <c r="O1001" s="2">
        <v>3550</v>
      </c>
      <c r="P1001" t="str">
        <f>"$"</f>
        <v>$</v>
      </c>
      <c r="Q1001" t="str">
        <f>"118"</f>
        <v>118</v>
      </c>
      <c r="R1001" t="str">
        <f>"מערכות"</f>
        <v>מערכות</v>
      </c>
      <c r="S1001" t="str">
        <f>"034"</f>
        <v>034</v>
      </c>
      <c r="T1001" t="str">
        <f>"מוסקוביץ אולגה"</f>
        <v>מוסקוביץ אולגה</v>
      </c>
      <c r="U1001">
        <v>0</v>
      </c>
      <c r="V1001">
        <v>0</v>
      </c>
      <c r="W1001" s="2">
        <v>3550</v>
      </c>
      <c r="X1001" s="2">
        <v>7100</v>
      </c>
      <c r="Z1001" t="str">
        <f>"Y"</f>
        <v>Y</v>
      </c>
      <c r="AA1001">
        <v>0</v>
      </c>
      <c r="AC1001">
        <v>0</v>
      </c>
      <c r="AE1001">
        <v>0</v>
      </c>
      <c r="AF1001">
        <v>0</v>
      </c>
      <c r="AG1001" s="2">
        <v>11558.8</v>
      </c>
      <c r="AH1001">
        <v>0</v>
      </c>
      <c r="AI1001" s="2">
        <v>23117.599999999999</v>
      </c>
      <c r="AJ1001" s="2">
        <v>7100</v>
      </c>
      <c r="AK1001" s="2">
        <v>7100</v>
      </c>
      <c r="AL1001" t="str">
        <f>"$"</f>
        <v>$</v>
      </c>
    </row>
    <row r="1002" spans="1:38" x14ac:dyDescent="0.3">
      <c r="A1002" t="str">
        <f>"SO20000580"</f>
        <v>SO20000580</v>
      </c>
      <c r="B1002" t="str">
        <f>"E000327817"</f>
        <v>E000327817</v>
      </c>
      <c r="C1002" t="str">
        <f>"בוצעה"</f>
        <v>בוצעה</v>
      </c>
      <c r="E1002" s="3">
        <v>44174</v>
      </c>
      <c r="F1002" s="3">
        <v>44438</v>
      </c>
      <c r="G1002" t="str">
        <f>"700065"</f>
        <v>700065</v>
      </c>
      <c r="H1002" t="str">
        <f>"אלתא מערכות בע""מ"</f>
        <v>אלתא מערכות בע"מ</v>
      </c>
      <c r="I1002" t="str">
        <f>"ערן שלו"</f>
        <v>ערן שלו</v>
      </c>
      <c r="J1002" t="str">
        <f>"PS0400063"</f>
        <v>PS0400063</v>
      </c>
      <c r="K1002" s="1" t="str">
        <f>"TSI-EPC-48V-230Vac-Module MEDIA ( Stainless)"</f>
        <v>TSI-EPC-48V-230Vac-Module MEDIA ( Stainless)</v>
      </c>
      <c r="L1002">
        <v>2</v>
      </c>
      <c r="O1002" s="2">
        <v>3550</v>
      </c>
      <c r="P1002" t="str">
        <f>"$"</f>
        <v>$</v>
      </c>
      <c r="Q1002" t="str">
        <f>"118"</f>
        <v>118</v>
      </c>
      <c r="R1002" t="str">
        <f>"מערכות"</f>
        <v>מערכות</v>
      </c>
      <c r="S1002" t="str">
        <f>"034"</f>
        <v>034</v>
      </c>
      <c r="T1002" t="str">
        <f>"מוסקוביץ אולגה"</f>
        <v>מוסקוביץ אולגה</v>
      </c>
      <c r="U1002">
        <v>0</v>
      </c>
      <c r="V1002">
        <v>0</v>
      </c>
      <c r="W1002" s="2">
        <v>3550</v>
      </c>
      <c r="X1002" s="2">
        <v>7100</v>
      </c>
      <c r="Z1002" t="str">
        <f>"Y"</f>
        <v>Y</v>
      </c>
      <c r="AA1002">
        <v>0</v>
      </c>
      <c r="AC1002">
        <v>0</v>
      </c>
      <c r="AE1002">
        <v>0</v>
      </c>
      <c r="AF1002">
        <v>0</v>
      </c>
      <c r="AG1002" s="2">
        <v>11558.8</v>
      </c>
      <c r="AH1002">
        <v>0</v>
      </c>
      <c r="AI1002" s="2">
        <v>23117.599999999999</v>
      </c>
      <c r="AJ1002" s="2">
        <v>7100</v>
      </c>
      <c r="AK1002" s="2">
        <v>7100</v>
      </c>
      <c r="AL1002" t="str">
        <f>"$"</f>
        <v>$</v>
      </c>
    </row>
    <row r="1003" spans="1:38" x14ac:dyDescent="0.3">
      <c r="A1003" t="str">
        <f>"SO20000581"</f>
        <v>SO20000581</v>
      </c>
      <c r="B1003" t="str">
        <f>"E000328015"</f>
        <v>E000328015</v>
      </c>
      <c r="C1003" t="str">
        <f>"בוצעה"</f>
        <v>בוצעה</v>
      </c>
      <c r="E1003" s="3">
        <v>44174</v>
      </c>
      <c r="F1003" s="3">
        <v>44199</v>
      </c>
      <c r="G1003" t="str">
        <f>"700065"</f>
        <v>700065</v>
      </c>
      <c r="H1003" t="str">
        <f>"אלתא מערכות בע""מ"</f>
        <v>אלתא מערכות בע"מ</v>
      </c>
      <c r="I1003" t="str">
        <f>"ערן שלו"</f>
        <v>ערן שלו</v>
      </c>
      <c r="J1003" t="str">
        <f>"OP-AR02135"</f>
        <v>OP-AR02135</v>
      </c>
      <c r="K1003" s="1" t="str">
        <f>"שדרוג גלקטיקה 1025A690-001"</f>
        <v>שדרוג גלקטיקה 1025A690-001</v>
      </c>
      <c r="L1003">
        <v>2</v>
      </c>
      <c r="M1003" t="str">
        <f>"PR20000696"</f>
        <v>PR20000696</v>
      </c>
      <c r="N1003" t="str">
        <f>"שדרוג 4 מערכות DC גלקטיקה"</f>
        <v>שדרוג 4 מערכות DC גלקטיקה</v>
      </c>
      <c r="O1003">
        <v>0</v>
      </c>
      <c r="P1003" t="str">
        <f>"$"</f>
        <v>$</v>
      </c>
      <c r="Q1003" t="str">
        <f>"000"</f>
        <v>000</v>
      </c>
      <c r="R1003" t="str">
        <f>"כללית"</f>
        <v>כללית</v>
      </c>
      <c r="S1003" t="str">
        <f>"034"</f>
        <v>034</v>
      </c>
      <c r="T1003" t="str">
        <f>"מוסקוביץ אולגה"</f>
        <v>מוסקוביץ אולגה</v>
      </c>
      <c r="U1003">
        <v>0</v>
      </c>
      <c r="V1003">
        <v>0</v>
      </c>
      <c r="W1003">
        <v>0</v>
      </c>
      <c r="X1003">
        <v>0</v>
      </c>
      <c r="Z1003" t="str">
        <f>"Y"</f>
        <v>Y</v>
      </c>
      <c r="AA1003">
        <v>0</v>
      </c>
      <c r="AC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 t="str">
        <f>"$"</f>
        <v>$</v>
      </c>
    </row>
    <row r="1004" spans="1:38" x14ac:dyDescent="0.3">
      <c r="A1004" t="str">
        <f>"SO20000582"</f>
        <v>SO20000582</v>
      </c>
      <c r="B1004" t="str">
        <f>"E000327893"</f>
        <v>E000327893</v>
      </c>
      <c r="C1004" t="str">
        <f>"בוצעה"</f>
        <v>בוצעה</v>
      </c>
      <c r="E1004" s="3">
        <v>44175</v>
      </c>
      <c r="F1004" s="3">
        <v>44311</v>
      </c>
      <c r="G1004" t="str">
        <f>"700065"</f>
        <v>700065</v>
      </c>
      <c r="H1004" t="str">
        <f>"אלתא מערכות בע""מ"</f>
        <v>אלתא מערכות בע"מ</v>
      </c>
      <c r="I1004" t="str">
        <f>"ערן שלו"</f>
        <v>ערן שלו</v>
      </c>
      <c r="J1004" t="str">
        <f>"OP-AR02195"</f>
        <v>OP-AR02195</v>
      </c>
      <c r="K1004" s="1" t="str">
        <f>"NRE עבור נגדיים E000327893"</f>
        <v>NRE עבור נגדיים E000327893</v>
      </c>
      <c r="L1004">
        <v>1</v>
      </c>
      <c r="M1004" t="str">
        <f>"PR20000895"</f>
        <v>PR20000895</v>
      </c>
      <c r="N1004" t="str">
        <f>"CABLE ASSY WGPM"</f>
        <v>CABLE ASSY WGPM</v>
      </c>
      <c r="O1004">
        <v>250</v>
      </c>
      <c r="P1004" t="str">
        <f>"$"</f>
        <v>$</v>
      </c>
      <c r="Q1004" t="str">
        <f>"117"</f>
        <v>117</v>
      </c>
      <c r="R1004" t="str">
        <f>"רתמות"</f>
        <v>רתמות</v>
      </c>
      <c r="S1004" t="str">
        <f>"034"</f>
        <v>034</v>
      </c>
      <c r="T1004" t="str">
        <f>"מוסקוביץ אולגה"</f>
        <v>מוסקוביץ אולגה</v>
      </c>
      <c r="U1004">
        <v>0</v>
      </c>
      <c r="V1004">
        <v>0</v>
      </c>
      <c r="W1004">
        <v>250</v>
      </c>
      <c r="X1004">
        <v>250</v>
      </c>
      <c r="Z1004" t="str">
        <f>"Y"</f>
        <v>Y</v>
      </c>
      <c r="AA1004">
        <v>1</v>
      </c>
      <c r="AC1004">
        <v>0</v>
      </c>
      <c r="AE1004">
        <v>0</v>
      </c>
      <c r="AF1004">
        <v>0</v>
      </c>
      <c r="AG1004">
        <v>812.75</v>
      </c>
      <c r="AH1004">
        <v>0</v>
      </c>
      <c r="AI1004">
        <v>812.75</v>
      </c>
      <c r="AJ1004">
        <v>250</v>
      </c>
      <c r="AK1004">
        <v>250</v>
      </c>
      <c r="AL1004" t="str">
        <f>"$"</f>
        <v>$</v>
      </c>
    </row>
    <row r="1005" spans="1:38" x14ac:dyDescent="0.3">
      <c r="A1005" t="str">
        <f>"SO20000582"</f>
        <v>SO20000582</v>
      </c>
      <c r="B1005" t="str">
        <f>"E000327893"</f>
        <v>E000327893</v>
      </c>
      <c r="C1005" t="str">
        <f>"בוצעה"</f>
        <v>בוצעה</v>
      </c>
      <c r="E1005" s="3">
        <v>44175</v>
      </c>
      <c r="F1005" s="3">
        <v>44311</v>
      </c>
      <c r="G1005" t="str">
        <f>"700065"</f>
        <v>700065</v>
      </c>
      <c r="H1005" t="str">
        <f>"אלתא מערכות בע""מ"</f>
        <v>אלתא מערכות בע"מ</v>
      </c>
      <c r="I1005" t="str">
        <f>"ערן שלו"</f>
        <v>ערן שלו</v>
      </c>
      <c r="J1005" t="str">
        <f>"OP-AR02196"</f>
        <v>OP-AR02196</v>
      </c>
      <c r="K1005" s="1" t="str">
        <f>"2120B094-001   CABLE ASSY WGPM"</f>
        <v>2120B094-001   CABLE ASSY WGPM</v>
      </c>
      <c r="L1005">
        <v>1</v>
      </c>
      <c r="M1005" t="str">
        <f>"PR20000895"</f>
        <v>PR20000895</v>
      </c>
      <c r="N1005" t="str">
        <f>"CABLE ASSY WGPM"</f>
        <v>CABLE ASSY WGPM</v>
      </c>
      <c r="O1005">
        <v>659.61</v>
      </c>
      <c r="P1005" t="str">
        <f>"$"</f>
        <v>$</v>
      </c>
      <c r="Q1005" t="str">
        <f>"117"</f>
        <v>117</v>
      </c>
      <c r="R1005" t="str">
        <f>"רתמות"</f>
        <v>רתמות</v>
      </c>
      <c r="S1005" t="str">
        <f>"034"</f>
        <v>034</v>
      </c>
      <c r="T1005" t="str">
        <f>"מוסקוביץ אולגה"</f>
        <v>מוסקוביץ אולגה</v>
      </c>
      <c r="U1005">
        <v>0</v>
      </c>
      <c r="V1005">
        <v>0</v>
      </c>
      <c r="W1005">
        <v>659.61</v>
      </c>
      <c r="X1005">
        <v>659.61</v>
      </c>
      <c r="Z1005" t="str">
        <f>"Y"</f>
        <v>Y</v>
      </c>
      <c r="AA1005">
        <v>0</v>
      </c>
      <c r="AC1005">
        <v>0</v>
      </c>
      <c r="AE1005">
        <v>0</v>
      </c>
      <c r="AF1005">
        <v>0</v>
      </c>
      <c r="AG1005" s="2">
        <v>2144.39</v>
      </c>
      <c r="AH1005">
        <v>0</v>
      </c>
      <c r="AI1005" s="2">
        <v>2144.39</v>
      </c>
      <c r="AJ1005">
        <v>659.61</v>
      </c>
      <c r="AK1005">
        <v>659.61</v>
      </c>
      <c r="AL1005" t="str">
        <f>"$"</f>
        <v>$</v>
      </c>
    </row>
    <row r="1006" spans="1:38" x14ac:dyDescent="0.3">
      <c r="A1006" t="str">
        <f>"SO20000582"</f>
        <v>SO20000582</v>
      </c>
      <c r="B1006" t="str">
        <f>"E000327893"</f>
        <v>E000327893</v>
      </c>
      <c r="C1006" t="str">
        <f>"בוצעה"</f>
        <v>בוצעה</v>
      </c>
      <c r="E1006" s="3">
        <v>44175</v>
      </c>
      <c r="F1006" s="3">
        <v>44311</v>
      </c>
      <c r="G1006" t="str">
        <f>"700065"</f>
        <v>700065</v>
      </c>
      <c r="H1006" t="str">
        <f>"אלתא מערכות בע""מ"</f>
        <v>אלתא מערכות בע"מ</v>
      </c>
      <c r="I1006" t="str">
        <f>"ערן שלו"</f>
        <v>ערן שלו</v>
      </c>
      <c r="J1006" t="str">
        <f>"OP-AR02197"</f>
        <v>OP-AR02197</v>
      </c>
      <c r="K1006" s="1" t="str">
        <f>"2120B112-001   CABLE ASSY WCAB"</f>
        <v>2120B112-001   CABLE ASSY WCAB</v>
      </c>
      <c r="L1006">
        <v>1</v>
      </c>
      <c r="M1006" t="str">
        <f>"PR20000895"</f>
        <v>PR20000895</v>
      </c>
      <c r="N1006" t="str">
        <f>"CABLE ASSY WGPM"</f>
        <v>CABLE ASSY WGPM</v>
      </c>
      <c r="O1006">
        <v>696.6</v>
      </c>
      <c r="P1006" t="str">
        <f>"$"</f>
        <v>$</v>
      </c>
      <c r="Q1006" t="str">
        <f>"117"</f>
        <v>117</v>
      </c>
      <c r="R1006" t="str">
        <f>"רתמות"</f>
        <v>רתמות</v>
      </c>
      <c r="S1006" t="str">
        <f>"034"</f>
        <v>034</v>
      </c>
      <c r="T1006" t="str">
        <f>"מוסקוביץ אולגה"</f>
        <v>מוסקוביץ אולגה</v>
      </c>
      <c r="U1006">
        <v>0</v>
      </c>
      <c r="V1006">
        <v>0</v>
      </c>
      <c r="W1006">
        <v>696.6</v>
      </c>
      <c r="X1006">
        <v>696.6</v>
      </c>
      <c r="Z1006" t="str">
        <f>"Y"</f>
        <v>Y</v>
      </c>
      <c r="AA1006">
        <v>0</v>
      </c>
      <c r="AC1006">
        <v>0</v>
      </c>
      <c r="AE1006">
        <v>0</v>
      </c>
      <c r="AF1006">
        <v>0</v>
      </c>
      <c r="AG1006" s="2">
        <v>2264.65</v>
      </c>
      <c r="AH1006">
        <v>0</v>
      </c>
      <c r="AI1006" s="2">
        <v>2264.65</v>
      </c>
      <c r="AJ1006">
        <v>696.6</v>
      </c>
      <c r="AK1006">
        <v>696.6</v>
      </c>
      <c r="AL1006" t="str">
        <f>"$"</f>
        <v>$</v>
      </c>
    </row>
    <row r="1007" spans="1:38" x14ac:dyDescent="0.3">
      <c r="A1007" t="str">
        <f>"SO20000582"</f>
        <v>SO20000582</v>
      </c>
      <c r="B1007" t="str">
        <f>"E000327893"</f>
        <v>E000327893</v>
      </c>
      <c r="C1007" t="str">
        <f>"בוצעה"</f>
        <v>בוצעה</v>
      </c>
      <c r="E1007" s="3">
        <v>44175</v>
      </c>
      <c r="F1007" s="3">
        <v>44311</v>
      </c>
      <c r="G1007" t="str">
        <f>"700065"</f>
        <v>700065</v>
      </c>
      <c r="H1007" t="str">
        <f>"אלתא מערכות בע""מ"</f>
        <v>אלתא מערכות בע"מ</v>
      </c>
      <c r="I1007" t="str">
        <f>"ערן שלו"</f>
        <v>ערן שלו</v>
      </c>
      <c r="J1007" t="str">
        <f>"OP-AR02198"</f>
        <v>OP-AR02198</v>
      </c>
      <c r="K1007" s="1" t="str">
        <f>"2120B114-001   CABLE ASSY WP.SW"</f>
        <v>2120B114-001   CABLE ASSY WP.SW</v>
      </c>
      <c r="L1007">
        <v>1</v>
      </c>
      <c r="M1007" t="str">
        <f>"PR20000895"</f>
        <v>PR20000895</v>
      </c>
      <c r="N1007" t="str">
        <f>"CABLE ASSY WGPM"</f>
        <v>CABLE ASSY WGPM</v>
      </c>
      <c r="O1007">
        <v>649.65</v>
      </c>
      <c r="P1007" t="str">
        <f>"$"</f>
        <v>$</v>
      </c>
      <c r="Q1007" t="str">
        <f>"117"</f>
        <v>117</v>
      </c>
      <c r="R1007" t="str">
        <f>"רתמות"</f>
        <v>רתמות</v>
      </c>
      <c r="S1007" t="str">
        <f>"034"</f>
        <v>034</v>
      </c>
      <c r="T1007" t="str">
        <f>"מוסקוביץ אולגה"</f>
        <v>מוסקוביץ אולגה</v>
      </c>
      <c r="U1007">
        <v>0</v>
      </c>
      <c r="V1007">
        <v>0</v>
      </c>
      <c r="W1007">
        <v>649.65</v>
      </c>
      <c r="X1007">
        <v>649.65</v>
      </c>
      <c r="Z1007" t="str">
        <f>"Y"</f>
        <v>Y</v>
      </c>
      <c r="AA1007">
        <v>0</v>
      </c>
      <c r="AC1007">
        <v>0</v>
      </c>
      <c r="AE1007">
        <v>0</v>
      </c>
      <c r="AF1007">
        <v>0</v>
      </c>
      <c r="AG1007" s="2">
        <v>2112.0100000000002</v>
      </c>
      <c r="AH1007">
        <v>0</v>
      </c>
      <c r="AI1007" s="2">
        <v>2112.0100000000002</v>
      </c>
      <c r="AJ1007">
        <v>649.65</v>
      </c>
      <c r="AK1007">
        <v>649.65</v>
      </c>
      <c r="AL1007" t="str">
        <f>"$"</f>
        <v>$</v>
      </c>
    </row>
    <row r="1008" spans="1:38" x14ac:dyDescent="0.3">
      <c r="A1008" t="str">
        <f>"SO20000583"</f>
        <v>SO20000583</v>
      </c>
      <c r="B1008" t="str">
        <f>"E000327655"</f>
        <v>E000327655</v>
      </c>
      <c r="C1008" t="str">
        <f>"בוצעה"</f>
        <v>בוצעה</v>
      </c>
      <c r="E1008" s="3">
        <v>44175</v>
      </c>
      <c r="F1008" s="3">
        <v>44311</v>
      </c>
      <c r="G1008" t="str">
        <f>"700065"</f>
        <v>700065</v>
      </c>
      <c r="H1008" t="str">
        <f>"אלתא מערכות בע""מ"</f>
        <v>אלתא מערכות בע"מ</v>
      </c>
      <c r="I1008" t="str">
        <f>"ערן שלו"</f>
        <v>ערן שלו</v>
      </c>
      <c r="J1008" t="str">
        <f>"OP-AR02235"</f>
        <v>OP-AR02235</v>
      </c>
      <c r="K1008" s="1" t="str">
        <f>"1036C426-001   HARNESS W426 - EPU - PDU1 CONTROL"</f>
        <v>1036C426-001   HARNESS W426 - EPU - PDU1 CONTROL</v>
      </c>
      <c r="L1008">
        <v>3</v>
      </c>
      <c r="M1008" t="str">
        <f>"PR21000020"</f>
        <v>PR21000020</v>
      </c>
      <c r="N1008" t="str">
        <f>"ARNESS W426 - EPU - PDU1 CONTROL"</f>
        <v>ARNESS W426 - EPU - PDU1 CONTROL</v>
      </c>
      <c r="O1008" s="2">
        <v>3307.94</v>
      </c>
      <c r="P1008" t="str">
        <f>"$"</f>
        <v>$</v>
      </c>
      <c r="Q1008" t="str">
        <f>"117"</f>
        <v>117</v>
      </c>
      <c r="R1008" t="str">
        <f>"רתמות"</f>
        <v>רתמות</v>
      </c>
      <c r="S1008" t="str">
        <f>"034"</f>
        <v>034</v>
      </c>
      <c r="T1008" t="str">
        <f>"מוסקוביץ אולגה"</f>
        <v>מוסקוביץ אולגה</v>
      </c>
      <c r="U1008">
        <v>0</v>
      </c>
      <c r="V1008">
        <v>0</v>
      </c>
      <c r="W1008" s="2">
        <v>3307.94</v>
      </c>
      <c r="X1008" s="2">
        <v>9923.82</v>
      </c>
      <c r="Z1008" t="str">
        <f>"Y"</f>
        <v>Y</v>
      </c>
      <c r="AA1008">
        <v>0</v>
      </c>
      <c r="AC1008">
        <v>0</v>
      </c>
      <c r="AE1008">
        <v>0</v>
      </c>
      <c r="AF1008">
        <v>0</v>
      </c>
      <c r="AG1008" s="2">
        <v>10754.11</v>
      </c>
      <c r="AH1008">
        <v>0</v>
      </c>
      <c r="AI1008" s="2">
        <v>32262.34</v>
      </c>
      <c r="AJ1008" s="2">
        <v>9923.82</v>
      </c>
      <c r="AK1008" s="2">
        <v>9556.64</v>
      </c>
      <c r="AL1008" t="str">
        <f>"$"</f>
        <v>$</v>
      </c>
    </row>
    <row r="1009" spans="1:38" x14ac:dyDescent="0.3">
      <c r="A1009" t="str">
        <f>"SO20000583"</f>
        <v>SO20000583</v>
      </c>
      <c r="B1009" t="str">
        <f>"E000327655"</f>
        <v>E000327655</v>
      </c>
      <c r="C1009" t="str">
        <f>"בוצעה"</f>
        <v>בוצעה</v>
      </c>
      <c r="E1009" s="3">
        <v>44175</v>
      </c>
      <c r="F1009" s="3">
        <v>44326</v>
      </c>
      <c r="G1009" t="str">
        <f>"700065"</f>
        <v>700065</v>
      </c>
      <c r="H1009" t="str">
        <f>"אלתא מערכות בע""מ"</f>
        <v>אלתא מערכות בע"מ</v>
      </c>
      <c r="I1009" t="str">
        <f>"ערן שלו"</f>
        <v>ערן שלו</v>
      </c>
      <c r="J1009" t="str">
        <f>"OP-AR02235"</f>
        <v>OP-AR02235</v>
      </c>
      <c r="K1009" s="1" t="str">
        <f>"1036C426-001   HARNESS W426 - EPU - PDU1 CONTROL"</f>
        <v>1036C426-001   HARNESS W426 - EPU - PDU1 CONTROL</v>
      </c>
      <c r="L1009">
        <v>2</v>
      </c>
      <c r="M1009" t="str">
        <f>"PR21000020"</f>
        <v>PR21000020</v>
      </c>
      <c r="N1009" t="str">
        <f>"ARNESS W426 - EPU - PDU1 CONTROL"</f>
        <v>ARNESS W426 - EPU - PDU1 CONTROL</v>
      </c>
      <c r="O1009" s="2">
        <v>3307.94</v>
      </c>
      <c r="P1009" t="str">
        <f>"$"</f>
        <v>$</v>
      </c>
      <c r="Q1009" t="str">
        <f>"117"</f>
        <v>117</v>
      </c>
      <c r="R1009" t="str">
        <f>"רתמות"</f>
        <v>רתמות</v>
      </c>
      <c r="S1009" t="str">
        <f>"034"</f>
        <v>034</v>
      </c>
      <c r="T1009" t="str">
        <f>"מוסקוביץ אולגה"</f>
        <v>מוסקוביץ אולגה</v>
      </c>
      <c r="U1009">
        <v>0</v>
      </c>
      <c r="V1009">
        <v>0</v>
      </c>
      <c r="W1009" s="2">
        <v>3307.94</v>
      </c>
      <c r="X1009" s="2">
        <v>6615.88</v>
      </c>
      <c r="Z1009" t="str">
        <f>"Y"</f>
        <v>Y</v>
      </c>
      <c r="AA1009">
        <v>0</v>
      </c>
      <c r="AC1009">
        <v>0</v>
      </c>
      <c r="AE1009">
        <v>0</v>
      </c>
      <c r="AF1009">
        <v>0</v>
      </c>
      <c r="AG1009" s="2">
        <v>10754.11</v>
      </c>
      <c r="AH1009">
        <v>0</v>
      </c>
      <c r="AI1009" s="2">
        <v>21508.23</v>
      </c>
      <c r="AJ1009" s="2">
        <v>6615.88</v>
      </c>
      <c r="AK1009" s="2">
        <v>6371.09</v>
      </c>
      <c r="AL1009" t="str">
        <f>"$"</f>
        <v>$</v>
      </c>
    </row>
    <row r="1010" spans="1:38" x14ac:dyDescent="0.3">
      <c r="A1010" t="str">
        <f>"SO20000583"</f>
        <v>SO20000583</v>
      </c>
      <c r="B1010" t="str">
        <f>"E000327655"</f>
        <v>E000327655</v>
      </c>
      <c r="C1010" t="str">
        <f>"בוצעה"</f>
        <v>בוצעה</v>
      </c>
      <c r="E1010" s="3">
        <v>44175</v>
      </c>
      <c r="F1010" s="3">
        <v>44423</v>
      </c>
      <c r="G1010" t="str">
        <f>"700065"</f>
        <v>700065</v>
      </c>
      <c r="H1010" t="str">
        <f>"אלתא מערכות בע""מ"</f>
        <v>אלתא מערכות בע"מ</v>
      </c>
      <c r="I1010" t="str">
        <f>"ערן שלו"</f>
        <v>ערן שלו</v>
      </c>
      <c r="J1010" t="str">
        <f>"OP-AR02235"</f>
        <v>OP-AR02235</v>
      </c>
      <c r="K1010" s="1" t="str">
        <f>"1036C426-001   HARNESS W426 - EPU - PDU1 CONTROL"</f>
        <v>1036C426-001   HARNESS W426 - EPU - PDU1 CONTROL</v>
      </c>
      <c r="L1010">
        <v>4</v>
      </c>
      <c r="M1010" t="str">
        <f>"PR21000020"</f>
        <v>PR21000020</v>
      </c>
      <c r="N1010" t="str">
        <f>"ARNESS W426 - EPU - PDU1 CONTROL"</f>
        <v>ARNESS W426 - EPU - PDU1 CONTROL</v>
      </c>
      <c r="O1010" s="2">
        <v>3307.94</v>
      </c>
      <c r="P1010" t="str">
        <f>"$"</f>
        <v>$</v>
      </c>
      <c r="Q1010" t="str">
        <f>"117"</f>
        <v>117</v>
      </c>
      <c r="R1010" t="str">
        <f>"רתמות"</f>
        <v>רתמות</v>
      </c>
      <c r="S1010" t="str">
        <f>"034"</f>
        <v>034</v>
      </c>
      <c r="T1010" t="str">
        <f>"מוסקוביץ אולגה"</f>
        <v>מוסקוביץ אולגה</v>
      </c>
      <c r="U1010">
        <v>0</v>
      </c>
      <c r="V1010">
        <v>0</v>
      </c>
      <c r="W1010" s="2">
        <v>3307.94</v>
      </c>
      <c r="X1010" s="2">
        <v>13231.76</v>
      </c>
      <c r="Z1010" t="str">
        <f>"Y"</f>
        <v>Y</v>
      </c>
      <c r="AA1010">
        <v>0</v>
      </c>
      <c r="AC1010">
        <v>0</v>
      </c>
      <c r="AE1010">
        <v>0</v>
      </c>
      <c r="AF1010">
        <v>0</v>
      </c>
      <c r="AG1010" s="2">
        <v>10754.11</v>
      </c>
      <c r="AH1010">
        <v>0</v>
      </c>
      <c r="AI1010" s="2">
        <v>43016.45</v>
      </c>
      <c r="AJ1010" s="2">
        <v>13231.76</v>
      </c>
      <c r="AK1010" s="2">
        <v>12742.18</v>
      </c>
      <c r="AL1010" t="str">
        <f>"$"</f>
        <v>$</v>
      </c>
    </row>
    <row r="1011" spans="1:38" x14ac:dyDescent="0.3">
      <c r="A1011" t="str">
        <f>"SO20000583"</f>
        <v>SO20000583</v>
      </c>
      <c r="B1011" t="str">
        <f>"E000327655"</f>
        <v>E000327655</v>
      </c>
      <c r="C1011" t="str">
        <f>"בוצעה"</f>
        <v>בוצעה</v>
      </c>
      <c r="E1011" s="3">
        <v>44175</v>
      </c>
      <c r="F1011" s="3">
        <v>44423</v>
      </c>
      <c r="G1011" t="str">
        <f>"700065"</f>
        <v>700065</v>
      </c>
      <c r="H1011" t="str">
        <f>"אלתא מערכות בע""מ"</f>
        <v>אלתא מערכות בע"מ</v>
      </c>
      <c r="I1011" t="str">
        <f>"ערן שלו"</f>
        <v>ערן שלו</v>
      </c>
      <c r="J1011" t="str">
        <f>"OP-AR02235"</f>
        <v>OP-AR02235</v>
      </c>
      <c r="K1011" s="1" t="str">
        <f>"1036C426-001   HARNESS W426 - EPU - PDU1 CONTROL"</f>
        <v>1036C426-001   HARNESS W426 - EPU - PDU1 CONTROL</v>
      </c>
      <c r="L1011">
        <v>1</v>
      </c>
      <c r="O1011" s="2">
        <v>3307.94</v>
      </c>
      <c r="P1011" t="str">
        <f>"$"</f>
        <v>$</v>
      </c>
      <c r="Q1011" t="str">
        <f>"117"</f>
        <v>117</v>
      </c>
      <c r="R1011" t="str">
        <f>"רתמות"</f>
        <v>רתמות</v>
      </c>
      <c r="S1011" t="str">
        <f>"034"</f>
        <v>034</v>
      </c>
      <c r="T1011" t="str">
        <f>"מוסקוביץ אולגה"</f>
        <v>מוסקוביץ אולגה</v>
      </c>
      <c r="U1011">
        <v>0</v>
      </c>
      <c r="V1011">
        <v>0</v>
      </c>
      <c r="W1011" s="2">
        <v>3307.94</v>
      </c>
      <c r="X1011" s="2">
        <v>3307.94</v>
      </c>
      <c r="Z1011" t="str">
        <f>"Y"</f>
        <v>Y</v>
      </c>
      <c r="AA1011">
        <v>0</v>
      </c>
      <c r="AC1011">
        <v>0</v>
      </c>
      <c r="AE1011">
        <v>0</v>
      </c>
      <c r="AF1011">
        <v>0</v>
      </c>
      <c r="AG1011" s="2">
        <v>10754.11</v>
      </c>
      <c r="AH1011">
        <v>0</v>
      </c>
      <c r="AI1011" s="2">
        <v>10754.11</v>
      </c>
      <c r="AJ1011" s="2">
        <v>3307.94</v>
      </c>
      <c r="AK1011" s="2">
        <v>3185.55</v>
      </c>
      <c r="AL1011" t="str">
        <f>"$"</f>
        <v>$</v>
      </c>
    </row>
    <row r="1012" spans="1:38" x14ac:dyDescent="0.3">
      <c r="A1012" t="str">
        <f>"SO20000584"</f>
        <v>SO20000584</v>
      </c>
      <c r="B1012" t="str">
        <f>"E000327859"</f>
        <v>E000327859</v>
      </c>
      <c r="C1012" t="str">
        <f>"בוצעה"</f>
        <v>בוצעה</v>
      </c>
      <c r="E1012" s="3">
        <v>44175</v>
      </c>
      <c r="F1012" s="3">
        <v>44222</v>
      </c>
      <c r="G1012" t="str">
        <f>"700065"</f>
        <v>700065</v>
      </c>
      <c r="H1012" t="str">
        <f>"אלתא מערכות בע""מ"</f>
        <v>אלתא מערכות בע"מ</v>
      </c>
      <c r="I1012" t="str">
        <f>"ערן שלו"</f>
        <v>ערן שלו</v>
      </c>
      <c r="J1012" t="str">
        <f>"OP-AR02193"</f>
        <v>OP-AR02193</v>
      </c>
      <c r="K1012" s="1" t="str">
        <f>"2209B127-001  ASW322 CTRL CABLE ASSY"</f>
        <v>2209B127-001  ASW322 CTRL CABLE ASSY</v>
      </c>
      <c r="L1012">
        <v>1</v>
      </c>
      <c r="M1012" t="str">
        <f>"PR20000879"</f>
        <v>PR20000879</v>
      </c>
      <c r="N1012" t="str">
        <f>"ASW322 CTRL CABLE ASSY"</f>
        <v>ASW322 CTRL CABLE ASSY</v>
      </c>
      <c r="O1012">
        <v>698.39</v>
      </c>
      <c r="P1012" t="str">
        <f>"$"</f>
        <v>$</v>
      </c>
      <c r="Q1012" t="str">
        <f>"117"</f>
        <v>117</v>
      </c>
      <c r="R1012" t="str">
        <f>"רתמות"</f>
        <v>רתמות</v>
      </c>
      <c r="S1012" t="str">
        <f>"034"</f>
        <v>034</v>
      </c>
      <c r="T1012" t="str">
        <f>"מוסקוביץ אולגה"</f>
        <v>מוסקוביץ אולגה</v>
      </c>
      <c r="U1012">
        <v>0</v>
      </c>
      <c r="V1012">
        <v>0</v>
      </c>
      <c r="W1012">
        <v>698.39</v>
      </c>
      <c r="X1012">
        <v>698.39</v>
      </c>
      <c r="Z1012" t="str">
        <f>"Y"</f>
        <v>Y</v>
      </c>
      <c r="AA1012">
        <v>0</v>
      </c>
      <c r="AC1012">
        <v>0</v>
      </c>
      <c r="AE1012">
        <v>0</v>
      </c>
      <c r="AF1012">
        <v>0</v>
      </c>
      <c r="AG1012" s="2">
        <v>2270.4699999999998</v>
      </c>
      <c r="AH1012">
        <v>0</v>
      </c>
      <c r="AI1012" s="2">
        <v>2270.4699999999998</v>
      </c>
      <c r="AJ1012">
        <v>698.39</v>
      </c>
      <c r="AK1012">
        <v>698.39</v>
      </c>
      <c r="AL1012" t="str">
        <f>"$"</f>
        <v>$</v>
      </c>
    </row>
    <row r="1013" spans="1:38" x14ac:dyDescent="0.3">
      <c r="A1013" t="str">
        <f>"SO20000591"</f>
        <v>SO20000591</v>
      </c>
      <c r="B1013" t="str">
        <f>"E000327920"</f>
        <v>E000327920</v>
      </c>
      <c r="C1013" t="str">
        <f>"בוצעה"</f>
        <v>בוצעה</v>
      </c>
      <c r="E1013" s="3">
        <v>44180</v>
      </c>
      <c r="F1013" s="3">
        <v>44285</v>
      </c>
      <c r="G1013" t="str">
        <f>"700065"</f>
        <v>700065</v>
      </c>
      <c r="H1013" t="str">
        <f>"אלתא מערכות בע""מ"</f>
        <v>אלתא מערכות בע"מ</v>
      </c>
      <c r="I1013" t="str">
        <f>"ערן שלו"</f>
        <v>ערן שלו</v>
      </c>
      <c r="J1013" t="str">
        <f>"OP-AR01297"</f>
        <v>OP-AR01297</v>
      </c>
      <c r="K1013" s="1" t="str">
        <f>"שדרוג יחידה LB PDB"</f>
        <v>שדרוג יחידה LB PDB</v>
      </c>
      <c r="L1013">
        <v>1</v>
      </c>
      <c r="M1013" t="str">
        <f>"PR19000454"</f>
        <v>PR19000454</v>
      </c>
      <c r="N1013" t="str">
        <f>"שדרוג יחידות LB PDB"</f>
        <v>שדרוג יחידות LB PDB</v>
      </c>
      <c r="O1013">
        <v>0</v>
      </c>
      <c r="P1013" t="str">
        <f>"$"</f>
        <v>$</v>
      </c>
      <c r="Q1013" t="str">
        <f>"118"</f>
        <v>118</v>
      </c>
      <c r="R1013" t="str">
        <f>"מערכות"</f>
        <v>מערכות</v>
      </c>
      <c r="S1013" t="str">
        <f>"034"</f>
        <v>034</v>
      </c>
      <c r="T1013" t="str">
        <f>"מוסקוביץ אולגה"</f>
        <v>מוסקוביץ אולגה</v>
      </c>
      <c r="U1013">
        <v>0</v>
      </c>
      <c r="V1013">
        <v>0</v>
      </c>
      <c r="W1013">
        <v>0</v>
      </c>
      <c r="X1013">
        <v>0</v>
      </c>
      <c r="Z1013" t="str">
        <f>"Y"</f>
        <v>Y</v>
      </c>
      <c r="AA1013">
        <v>0</v>
      </c>
      <c r="AC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 t="str">
        <f>"$"</f>
        <v>$</v>
      </c>
    </row>
    <row r="1014" spans="1:38" x14ac:dyDescent="0.3">
      <c r="A1014" t="str">
        <f>"SO20000599"</f>
        <v>SO20000599</v>
      </c>
      <c r="B1014" t="str">
        <f>"E000328964"</f>
        <v>E000328964</v>
      </c>
      <c r="C1014" t="str">
        <f>"בוצעה"</f>
        <v>בוצעה</v>
      </c>
      <c r="E1014" s="3">
        <v>44182</v>
      </c>
      <c r="F1014" s="3">
        <v>44214</v>
      </c>
      <c r="G1014" t="str">
        <f>"700065"</f>
        <v>700065</v>
      </c>
      <c r="H1014" t="str">
        <f>"אלתא מערכות בע""מ"</f>
        <v>אלתא מערכות בע"מ</v>
      </c>
      <c r="I1014" t="str">
        <f>"ערן שלו"</f>
        <v>ערן שלו</v>
      </c>
      <c r="J1014" t="str">
        <f>"OP-PD03477"</f>
        <v>OP-PD03477</v>
      </c>
      <c r="K1014" s="1" t="str">
        <f>"שנאי 1039T517-001"</f>
        <v>שנאי 1039T517-001</v>
      </c>
      <c r="L1014">
        <v>1</v>
      </c>
      <c r="O1014">
        <v>0</v>
      </c>
      <c r="P1014" t="str">
        <f>"$"</f>
        <v>$</v>
      </c>
      <c r="Q1014" t="str">
        <f>"000"</f>
        <v>000</v>
      </c>
      <c r="R1014" t="str">
        <f>"כללית"</f>
        <v>כללית</v>
      </c>
      <c r="S1014" t="str">
        <f>"034"</f>
        <v>034</v>
      </c>
      <c r="T1014" t="str">
        <f>"מוסקוביץ אולגה"</f>
        <v>מוסקוביץ אולגה</v>
      </c>
      <c r="U1014">
        <v>0</v>
      </c>
      <c r="V1014">
        <v>0</v>
      </c>
      <c r="W1014">
        <v>0</v>
      </c>
      <c r="X1014">
        <v>0</v>
      </c>
      <c r="Z1014" t="str">
        <f>"Y"</f>
        <v>Y</v>
      </c>
      <c r="AA1014">
        <v>0</v>
      </c>
      <c r="AC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 t="str">
        <f>"$"</f>
        <v>$</v>
      </c>
    </row>
    <row r="1015" spans="1:38" x14ac:dyDescent="0.3">
      <c r="A1015" t="str">
        <f>"SO20000600"</f>
        <v>SO20000600</v>
      </c>
      <c r="B1015" t="str">
        <f>"E000328464"</f>
        <v>E000328464</v>
      </c>
      <c r="C1015" t="str">
        <f>"בוצעה"</f>
        <v>בוצעה</v>
      </c>
      <c r="E1015" s="3">
        <v>44185</v>
      </c>
      <c r="F1015" s="3">
        <v>44276</v>
      </c>
      <c r="G1015" t="str">
        <f>"700065"</f>
        <v>700065</v>
      </c>
      <c r="H1015" t="str">
        <f>"אלתא מערכות בע""מ"</f>
        <v>אלתא מערכות בע"מ</v>
      </c>
      <c r="I1015" t="str">
        <f>"ערן שלו"</f>
        <v>ערן שלו</v>
      </c>
      <c r="J1015" t="str">
        <f>"OP-AR02203"</f>
        <v>OP-AR02203</v>
      </c>
      <c r="K1015" s="1" t="str">
        <f>"1034E876-001   HARNESS W876 - EXT REC CL CABLE"</f>
        <v>1034E876-001   HARNESS W876 - EXT REC CL CABLE</v>
      </c>
      <c r="L1015">
        <v>6</v>
      </c>
      <c r="M1015" t="str">
        <f>"PR20000891"</f>
        <v>PR20000891</v>
      </c>
      <c r="N1015" t="str">
        <f>"HARNESS W876 - EXT REC CL CABLE"</f>
        <v>HARNESS W876 - EXT REC CL CABLE</v>
      </c>
      <c r="O1015">
        <v>335.75</v>
      </c>
      <c r="P1015" t="str">
        <f>"$"</f>
        <v>$</v>
      </c>
      <c r="Q1015" t="str">
        <f>"117"</f>
        <v>117</v>
      </c>
      <c r="R1015" t="str">
        <f>"רתמות"</f>
        <v>רתמות</v>
      </c>
      <c r="S1015" t="str">
        <f>"034"</f>
        <v>034</v>
      </c>
      <c r="T1015" t="str">
        <f>"מוסקוביץ אולגה"</f>
        <v>מוסקוביץ אולגה</v>
      </c>
      <c r="U1015">
        <v>0</v>
      </c>
      <c r="V1015">
        <v>0</v>
      </c>
      <c r="W1015">
        <v>335.75</v>
      </c>
      <c r="X1015" s="2">
        <v>2014.5</v>
      </c>
      <c r="Z1015" t="str">
        <f>"Y"</f>
        <v>Y</v>
      </c>
      <c r="AA1015">
        <v>0</v>
      </c>
      <c r="AC1015">
        <v>0</v>
      </c>
      <c r="AE1015">
        <v>0</v>
      </c>
      <c r="AF1015">
        <v>0</v>
      </c>
      <c r="AG1015" s="2">
        <v>1088.17</v>
      </c>
      <c r="AH1015">
        <v>0</v>
      </c>
      <c r="AI1015" s="2">
        <v>6528.99</v>
      </c>
      <c r="AJ1015" s="2">
        <v>2014.5</v>
      </c>
      <c r="AK1015" s="2">
        <v>2014.5</v>
      </c>
      <c r="AL1015" t="str">
        <f>"$"</f>
        <v>$</v>
      </c>
    </row>
    <row r="1016" spans="1:38" x14ac:dyDescent="0.3">
      <c r="A1016" t="str">
        <f>"SO20000600"</f>
        <v>SO20000600</v>
      </c>
      <c r="B1016" t="str">
        <f>"E000328464"</f>
        <v>E000328464</v>
      </c>
      <c r="C1016" t="str">
        <f>"בוצעה"</f>
        <v>בוצעה</v>
      </c>
      <c r="E1016" s="3">
        <v>44185</v>
      </c>
      <c r="F1016" s="3">
        <v>44276</v>
      </c>
      <c r="G1016" t="str">
        <f>"700065"</f>
        <v>700065</v>
      </c>
      <c r="H1016" t="str">
        <f>"אלתא מערכות בע""מ"</f>
        <v>אלתא מערכות בע"מ</v>
      </c>
      <c r="I1016" t="str">
        <f>"ערן שלו"</f>
        <v>ערן שלו</v>
      </c>
      <c r="J1016" t="str">
        <f>"OP-AR02204"</f>
        <v>OP-AR02204</v>
      </c>
      <c r="K1016" s="1" t="str">
        <f>"1034E877-001   HARNESS W877 - MAINTENANCE BURN"</f>
        <v>1034E877-001   HARNESS W877 - MAINTENANCE BURN</v>
      </c>
      <c r="L1016">
        <v>6</v>
      </c>
      <c r="M1016" t="str">
        <f>"PR20000891"</f>
        <v>PR20000891</v>
      </c>
      <c r="N1016" t="str">
        <f>"HARNESS W876 - EXT REC CL CABLE"</f>
        <v>HARNESS W876 - EXT REC CL CABLE</v>
      </c>
      <c r="O1016">
        <v>328.19</v>
      </c>
      <c r="P1016" t="str">
        <f>"$"</f>
        <v>$</v>
      </c>
      <c r="Q1016" t="str">
        <f>"117"</f>
        <v>117</v>
      </c>
      <c r="R1016" t="str">
        <f>"רתמות"</f>
        <v>רתמות</v>
      </c>
      <c r="S1016" t="str">
        <f>"034"</f>
        <v>034</v>
      </c>
      <c r="T1016" t="str">
        <f>"מוסקוביץ אולגה"</f>
        <v>מוסקוביץ אולגה</v>
      </c>
      <c r="U1016">
        <v>0</v>
      </c>
      <c r="V1016">
        <v>0</v>
      </c>
      <c r="W1016">
        <v>328.19</v>
      </c>
      <c r="X1016" s="2">
        <v>1969.14</v>
      </c>
      <c r="Z1016" t="str">
        <f>"Y"</f>
        <v>Y</v>
      </c>
      <c r="AA1016">
        <v>0</v>
      </c>
      <c r="AC1016">
        <v>0</v>
      </c>
      <c r="AE1016">
        <v>0</v>
      </c>
      <c r="AF1016">
        <v>0</v>
      </c>
      <c r="AG1016" s="2">
        <v>1063.6600000000001</v>
      </c>
      <c r="AH1016">
        <v>0</v>
      </c>
      <c r="AI1016" s="2">
        <v>6381.98</v>
      </c>
      <c r="AJ1016" s="2">
        <v>1969.14</v>
      </c>
      <c r="AK1016" s="2">
        <v>1969.14</v>
      </c>
      <c r="AL1016" t="str">
        <f>"$"</f>
        <v>$</v>
      </c>
    </row>
    <row r="1017" spans="1:38" x14ac:dyDescent="0.3">
      <c r="A1017" t="str">
        <f>"SO20000600"</f>
        <v>SO20000600</v>
      </c>
      <c r="B1017" t="str">
        <f>"E000328464"</f>
        <v>E000328464</v>
      </c>
      <c r="C1017" t="str">
        <f>"בוצעה"</f>
        <v>בוצעה</v>
      </c>
      <c r="E1017" s="3">
        <v>44185</v>
      </c>
      <c r="F1017" s="3">
        <v>44276</v>
      </c>
      <c r="G1017" t="str">
        <f>"700065"</f>
        <v>700065</v>
      </c>
      <c r="H1017" t="str">
        <f>"אלתא מערכות בע""מ"</f>
        <v>אלתא מערכות בע"מ</v>
      </c>
      <c r="I1017" t="str">
        <f>"ערן שלו"</f>
        <v>ערן שלו</v>
      </c>
      <c r="J1017" t="str">
        <f>"OP-AR02205"</f>
        <v>OP-AR02205</v>
      </c>
      <c r="K1017" s="1" t="str">
        <f>"1034E883-001   HARNESS W883 - POWER"</f>
        <v>1034E883-001   HARNESS W883 - POWER</v>
      </c>
      <c r="L1017">
        <v>6</v>
      </c>
      <c r="M1017" t="str">
        <f>"PR20000891"</f>
        <v>PR20000891</v>
      </c>
      <c r="N1017" t="str">
        <f>"HARNESS W876 - EXT REC CL CABLE"</f>
        <v>HARNESS W876 - EXT REC CL CABLE</v>
      </c>
      <c r="O1017">
        <v>323.57</v>
      </c>
      <c r="P1017" t="str">
        <f>"$"</f>
        <v>$</v>
      </c>
      <c r="Q1017" t="str">
        <f>"117"</f>
        <v>117</v>
      </c>
      <c r="R1017" t="str">
        <f>"רתמות"</f>
        <v>רתמות</v>
      </c>
      <c r="S1017" t="str">
        <f>"034"</f>
        <v>034</v>
      </c>
      <c r="T1017" t="str">
        <f>"מוסקוביץ אולגה"</f>
        <v>מוסקוביץ אולגה</v>
      </c>
      <c r="U1017">
        <v>0</v>
      </c>
      <c r="V1017">
        <v>0</v>
      </c>
      <c r="W1017">
        <v>323.57</v>
      </c>
      <c r="X1017" s="2">
        <v>1941.42</v>
      </c>
      <c r="Z1017" t="str">
        <f>"Y"</f>
        <v>Y</v>
      </c>
      <c r="AA1017">
        <v>0</v>
      </c>
      <c r="AC1017">
        <v>0</v>
      </c>
      <c r="AE1017">
        <v>0</v>
      </c>
      <c r="AF1017">
        <v>0</v>
      </c>
      <c r="AG1017" s="2">
        <v>1048.69</v>
      </c>
      <c r="AH1017">
        <v>0</v>
      </c>
      <c r="AI1017" s="2">
        <v>6292.14</v>
      </c>
      <c r="AJ1017" s="2">
        <v>1941.42</v>
      </c>
      <c r="AK1017" s="2">
        <v>1941.42</v>
      </c>
      <c r="AL1017" t="str">
        <f>"$"</f>
        <v>$</v>
      </c>
    </row>
    <row r="1018" spans="1:38" x14ac:dyDescent="0.3">
      <c r="A1018" t="str">
        <f>"SO20000600"</f>
        <v>SO20000600</v>
      </c>
      <c r="B1018" t="str">
        <f>"E000328464"</f>
        <v>E000328464</v>
      </c>
      <c r="C1018" t="str">
        <f>"בוצעה"</f>
        <v>בוצעה</v>
      </c>
      <c r="E1018" s="3">
        <v>44185</v>
      </c>
      <c r="F1018" s="3">
        <v>44188</v>
      </c>
      <c r="G1018" t="str">
        <f>"700065"</f>
        <v>700065</v>
      </c>
      <c r="H1018" t="str">
        <f>"אלתא מערכות בע""מ"</f>
        <v>אלתא מערכות בע"מ</v>
      </c>
      <c r="I1018" t="str">
        <f>"ערן שלו"</f>
        <v>ערן שלו</v>
      </c>
      <c r="J1018" t="str">
        <f>"OP-AR02206"</f>
        <v>OP-AR02206</v>
      </c>
      <c r="K1018" s="1" t="str">
        <f>"NRE FOR E000328464"</f>
        <v>NRE FOR E000328464</v>
      </c>
      <c r="L1018">
        <v>0</v>
      </c>
      <c r="M1018" t="str">
        <f>"PR20000891"</f>
        <v>PR20000891</v>
      </c>
      <c r="N1018" t="str">
        <f>"HARNESS W876 - EXT REC CL CABLE"</f>
        <v>HARNESS W876 - EXT REC CL CABLE</v>
      </c>
      <c r="O1018">
        <v>0</v>
      </c>
      <c r="P1018" t="str">
        <f>"$"</f>
        <v>$</v>
      </c>
      <c r="Q1018" t="str">
        <f>"117"</f>
        <v>117</v>
      </c>
      <c r="R1018" t="str">
        <f>"רתמות"</f>
        <v>רתמות</v>
      </c>
      <c r="S1018" t="str">
        <f>"034"</f>
        <v>034</v>
      </c>
      <c r="T1018" t="str">
        <f>"מוסקוביץ אולגה"</f>
        <v>מוסקוביץ אולגה</v>
      </c>
      <c r="U1018">
        <v>0</v>
      </c>
      <c r="V1018">
        <v>0</v>
      </c>
      <c r="W1018">
        <v>0</v>
      </c>
      <c r="X1018">
        <v>0</v>
      </c>
      <c r="Z1018" t="str">
        <f>"Y"</f>
        <v>Y</v>
      </c>
      <c r="AA1018">
        <v>0</v>
      </c>
      <c r="AC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 t="str">
        <f>"$"</f>
        <v>$</v>
      </c>
    </row>
    <row r="1019" spans="1:38" x14ac:dyDescent="0.3">
      <c r="A1019" t="str">
        <f>"SO20000601"</f>
        <v>SO20000601</v>
      </c>
      <c r="B1019" t="str">
        <f>"E000328999"</f>
        <v>E000328999</v>
      </c>
      <c r="C1019" t="str">
        <f>"בוצעה"</f>
        <v>בוצעה</v>
      </c>
      <c r="E1019" s="3">
        <v>44185</v>
      </c>
      <c r="F1019" s="3">
        <v>44270</v>
      </c>
      <c r="G1019" t="str">
        <f>"700065"</f>
        <v>700065</v>
      </c>
      <c r="H1019" t="str">
        <f>"אלתא מערכות בע""מ"</f>
        <v>אלתא מערכות בע"מ</v>
      </c>
      <c r="I1019" t="str">
        <f>"ערן שלו"</f>
        <v>ערן שלו</v>
      </c>
      <c r="J1019" t="str">
        <f>"OP-AR02199"</f>
        <v>OP-AR02199</v>
      </c>
      <c r="K1019" s="1" t="str">
        <f>"9008C161-001   HARNESS WT161 - DAU CONTROL CABIN"</f>
        <v>9008C161-001   HARNESS WT161 - DAU CONTROL CABIN</v>
      </c>
      <c r="L1019">
        <v>1</v>
      </c>
      <c r="M1019" t="str">
        <f>"PR20000894"</f>
        <v>PR20000894</v>
      </c>
      <c r="N1019" t="str">
        <f>"ESS WT161 - DAU CONTROL CABIN 2M"</f>
        <v>ESS WT161 - DAU CONTROL CABIN 2M</v>
      </c>
      <c r="O1019">
        <v>552.73</v>
      </c>
      <c r="P1019" t="str">
        <f>"$"</f>
        <v>$</v>
      </c>
      <c r="Q1019" t="str">
        <f>"117"</f>
        <v>117</v>
      </c>
      <c r="R1019" t="str">
        <f>"רתמות"</f>
        <v>רתמות</v>
      </c>
      <c r="S1019" t="str">
        <f>"034"</f>
        <v>034</v>
      </c>
      <c r="T1019" t="str">
        <f>"מוסקוביץ אולגה"</f>
        <v>מוסקוביץ אולגה</v>
      </c>
      <c r="U1019">
        <v>0</v>
      </c>
      <c r="V1019">
        <v>0</v>
      </c>
      <c r="W1019">
        <v>552.73</v>
      </c>
      <c r="X1019">
        <v>552.73</v>
      </c>
      <c r="Z1019" t="str">
        <f>"Y"</f>
        <v>Y</v>
      </c>
      <c r="AA1019">
        <v>0</v>
      </c>
      <c r="AC1019">
        <v>0</v>
      </c>
      <c r="AE1019">
        <v>0</v>
      </c>
      <c r="AF1019">
        <v>0</v>
      </c>
      <c r="AG1019" s="2">
        <v>1791.4</v>
      </c>
      <c r="AH1019">
        <v>0</v>
      </c>
      <c r="AI1019" s="2">
        <v>1791.4</v>
      </c>
      <c r="AJ1019">
        <v>552.73</v>
      </c>
      <c r="AK1019">
        <v>552.73</v>
      </c>
      <c r="AL1019" t="str">
        <f>"$"</f>
        <v>$</v>
      </c>
    </row>
    <row r="1020" spans="1:38" x14ac:dyDescent="0.3">
      <c r="A1020" t="str">
        <f>"SO20000601"</f>
        <v>SO20000601</v>
      </c>
      <c r="B1020" t="str">
        <f>"E000328999"</f>
        <v>E000328999</v>
      </c>
      <c r="C1020" t="str">
        <f>"בוצעה"</f>
        <v>בוצעה</v>
      </c>
      <c r="E1020" s="3">
        <v>44185</v>
      </c>
      <c r="F1020" s="3">
        <v>44270</v>
      </c>
      <c r="G1020" t="str">
        <f>"700065"</f>
        <v>700065</v>
      </c>
      <c r="H1020" t="str">
        <f>"אלתא מערכות בע""מ"</f>
        <v>אלתא מערכות בע"מ</v>
      </c>
      <c r="I1020" t="str">
        <f>"ערן שלו"</f>
        <v>ערן שלו</v>
      </c>
      <c r="J1020" t="str">
        <f>"OP-AR02200"</f>
        <v>OP-AR02200</v>
      </c>
      <c r="K1020" s="1" t="str">
        <f>"9008C162-001   HARNESS WT162 - DAU CONTROL NOSE"</f>
        <v>9008C162-001   HARNESS WT162 - DAU CONTROL NOSE</v>
      </c>
      <c r="L1020">
        <v>1</v>
      </c>
      <c r="M1020" t="str">
        <f>"PR20000894"</f>
        <v>PR20000894</v>
      </c>
      <c r="N1020" t="str">
        <f>"ESS WT161 - DAU CONTROL CABIN 2M"</f>
        <v>ESS WT161 - DAU CONTROL CABIN 2M</v>
      </c>
      <c r="O1020">
        <v>735.23</v>
      </c>
      <c r="P1020" t="str">
        <f>"$"</f>
        <v>$</v>
      </c>
      <c r="Q1020" t="str">
        <f>"117"</f>
        <v>117</v>
      </c>
      <c r="R1020" t="str">
        <f>"רתמות"</f>
        <v>רתמות</v>
      </c>
      <c r="S1020" t="str">
        <f>"034"</f>
        <v>034</v>
      </c>
      <c r="T1020" t="str">
        <f>"מוסקוביץ אולגה"</f>
        <v>מוסקוביץ אולגה</v>
      </c>
      <c r="U1020">
        <v>0</v>
      </c>
      <c r="V1020">
        <v>0</v>
      </c>
      <c r="W1020">
        <v>735.23</v>
      </c>
      <c r="X1020">
        <v>735.23</v>
      </c>
      <c r="Z1020" t="str">
        <f>"Y"</f>
        <v>Y</v>
      </c>
      <c r="AA1020">
        <v>0</v>
      </c>
      <c r="AC1020">
        <v>0</v>
      </c>
      <c r="AE1020">
        <v>0</v>
      </c>
      <c r="AF1020">
        <v>0</v>
      </c>
      <c r="AG1020" s="2">
        <v>2382.88</v>
      </c>
      <c r="AH1020">
        <v>0</v>
      </c>
      <c r="AI1020" s="2">
        <v>2382.88</v>
      </c>
      <c r="AJ1020">
        <v>735.23</v>
      </c>
      <c r="AK1020">
        <v>735.23</v>
      </c>
      <c r="AL1020" t="str">
        <f>"$"</f>
        <v>$</v>
      </c>
    </row>
    <row r="1021" spans="1:38" x14ac:dyDescent="0.3">
      <c r="A1021" t="str">
        <f>"SO20000601"</f>
        <v>SO20000601</v>
      </c>
      <c r="B1021" t="str">
        <f>"E000328999"</f>
        <v>E000328999</v>
      </c>
      <c r="C1021" t="str">
        <f>"בוצעה"</f>
        <v>בוצעה</v>
      </c>
      <c r="E1021" s="3">
        <v>44185</v>
      </c>
      <c r="F1021" s="3">
        <v>44270</v>
      </c>
      <c r="G1021" t="str">
        <f>"700065"</f>
        <v>700065</v>
      </c>
      <c r="H1021" t="str">
        <f>"אלתא מערכות בע""מ"</f>
        <v>אלתא מערכות בע"מ</v>
      </c>
      <c r="I1021" t="str">
        <f>"ערן שלו"</f>
        <v>ערן שלו</v>
      </c>
      <c r="J1021" t="str">
        <f>"OP-AR02201"</f>
        <v>OP-AR02201</v>
      </c>
      <c r="K1021" s="1" t="str">
        <f>"9008C163-001   HARNESS WT163 - DAU TO PEDESTAL"</f>
        <v>9008C163-001   HARNESS WT163 - DAU TO PEDESTAL</v>
      </c>
      <c r="L1021">
        <v>1</v>
      </c>
      <c r="M1021" t="str">
        <f>"PR20000894"</f>
        <v>PR20000894</v>
      </c>
      <c r="N1021" t="str">
        <f>"ESS WT161 - DAU CONTROL CABIN 2M"</f>
        <v>ESS WT161 - DAU CONTROL CABIN 2M</v>
      </c>
      <c r="O1021">
        <v>563.91</v>
      </c>
      <c r="P1021" t="str">
        <f>"$"</f>
        <v>$</v>
      </c>
      <c r="Q1021" t="str">
        <f>"117"</f>
        <v>117</v>
      </c>
      <c r="R1021" t="str">
        <f>"רתמות"</f>
        <v>רתמות</v>
      </c>
      <c r="S1021" t="str">
        <f>"034"</f>
        <v>034</v>
      </c>
      <c r="T1021" t="str">
        <f>"מוסקוביץ אולגה"</f>
        <v>מוסקוביץ אולגה</v>
      </c>
      <c r="U1021">
        <v>0</v>
      </c>
      <c r="V1021">
        <v>0</v>
      </c>
      <c r="W1021">
        <v>563.91</v>
      </c>
      <c r="X1021">
        <v>563.91</v>
      </c>
      <c r="Z1021" t="str">
        <f>"Y"</f>
        <v>Y</v>
      </c>
      <c r="AA1021">
        <v>0</v>
      </c>
      <c r="AC1021">
        <v>0</v>
      </c>
      <c r="AE1021">
        <v>0</v>
      </c>
      <c r="AF1021">
        <v>0</v>
      </c>
      <c r="AG1021" s="2">
        <v>1827.63</v>
      </c>
      <c r="AH1021">
        <v>0</v>
      </c>
      <c r="AI1021" s="2">
        <v>1827.63</v>
      </c>
      <c r="AJ1021">
        <v>563.91</v>
      </c>
      <c r="AK1021">
        <v>563.91</v>
      </c>
      <c r="AL1021" t="str">
        <f>"$"</f>
        <v>$</v>
      </c>
    </row>
    <row r="1022" spans="1:38" x14ac:dyDescent="0.3">
      <c r="A1022" t="str">
        <f>"SO20000601"</f>
        <v>SO20000601</v>
      </c>
      <c r="B1022" t="str">
        <f>"E000328999"</f>
        <v>E000328999</v>
      </c>
      <c r="C1022" t="str">
        <f>"בוצעה"</f>
        <v>בוצעה</v>
      </c>
      <c r="E1022" s="3">
        <v>44185</v>
      </c>
      <c r="F1022" s="3">
        <v>44270</v>
      </c>
      <c r="G1022" t="str">
        <f>"700065"</f>
        <v>700065</v>
      </c>
      <c r="H1022" t="str">
        <f>"אלתא מערכות בע""מ"</f>
        <v>אלתא מערכות בע"מ</v>
      </c>
      <c r="I1022" t="str">
        <f>"ערן שלו"</f>
        <v>ערן שלו</v>
      </c>
      <c r="J1022" t="str">
        <f>"OP-AR02202"</f>
        <v>OP-AR02202</v>
      </c>
      <c r="K1022" s="1" t="str">
        <f>"9008C164-001   HARNESS WT164 - DAU CONTROL CABIN"</f>
        <v>9008C164-001   HARNESS WT164 - DAU CONTROL CABIN</v>
      </c>
      <c r="L1022">
        <v>1</v>
      </c>
      <c r="M1022" t="str">
        <f>"PR20000894"</f>
        <v>PR20000894</v>
      </c>
      <c r="N1022" t="str">
        <f>"ESS WT161 - DAU CONTROL CABIN 2M"</f>
        <v>ESS WT161 - DAU CONTROL CABIN 2M</v>
      </c>
      <c r="O1022">
        <v>640.42999999999995</v>
      </c>
      <c r="P1022" t="str">
        <f>"$"</f>
        <v>$</v>
      </c>
      <c r="Q1022" t="str">
        <f>"117"</f>
        <v>117</v>
      </c>
      <c r="R1022" t="str">
        <f>"רתמות"</f>
        <v>רתמות</v>
      </c>
      <c r="S1022" t="str">
        <f>"034"</f>
        <v>034</v>
      </c>
      <c r="T1022" t="str">
        <f>"מוסקוביץ אולגה"</f>
        <v>מוסקוביץ אולגה</v>
      </c>
      <c r="U1022">
        <v>0</v>
      </c>
      <c r="V1022">
        <v>0</v>
      </c>
      <c r="W1022">
        <v>640.42999999999995</v>
      </c>
      <c r="X1022">
        <v>640.42999999999995</v>
      </c>
      <c r="Z1022" t="str">
        <f>"Y"</f>
        <v>Y</v>
      </c>
      <c r="AA1022">
        <v>0</v>
      </c>
      <c r="AC1022">
        <v>0</v>
      </c>
      <c r="AE1022">
        <v>0</v>
      </c>
      <c r="AF1022">
        <v>0</v>
      </c>
      <c r="AG1022" s="2">
        <v>2075.63</v>
      </c>
      <c r="AH1022">
        <v>0</v>
      </c>
      <c r="AI1022" s="2">
        <v>2075.63</v>
      </c>
      <c r="AJ1022">
        <v>640.42999999999995</v>
      </c>
      <c r="AK1022">
        <v>640.42999999999995</v>
      </c>
      <c r="AL1022" t="str">
        <f>"$"</f>
        <v>$</v>
      </c>
    </row>
    <row r="1023" spans="1:38" x14ac:dyDescent="0.3">
      <c r="A1023" t="str">
        <f>"SO20000602"</f>
        <v>SO20000602</v>
      </c>
      <c r="B1023" t="str">
        <f>"E000328844"</f>
        <v>E000328844</v>
      </c>
      <c r="C1023" t="str">
        <f>"בוצעה"</f>
        <v>בוצעה</v>
      </c>
      <c r="E1023" s="3">
        <v>44186</v>
      </c>
      <c r="F1023" s="3">
        <v>44201</v>
      </c>
      <c r="G1023" t="str">
        <f>"700065"</f>
        <v>700065</v>
      </c>
      <c r="H1023" t="str">
        <f>"אלתא מערכות בע""מ"</f>
        <v>אלתא מערכות בע"מ</v>
      </c>
      <c r="I1023" t="str">
        <f>"ערן שלו"</f>
        <v>ערן שלו</v>
      </c>
      <c r="J1023" t="str">
        <f>"CB0800001"</f>
        <v>CB0800001</v>
      </c>
      <c r="K1023" s="1" t="str">
        <f>"כבל ניאופרן 5X25 H07RNF"</f>
        <v>כבל ניאופרן 5X25 H07RNF</v>
      </c>
      <c r="L1023">
        <v>30</v>
      </c>
      <c r="M1023" t="str">
        <f>"PR20000906"</f>
        <v>PR20000906</v>
      </c>
      <c r="N1023" t="str">
        <f>"SP-PS040001902 תיקון"</f>
        <v>SP-PS040001902 תיקון</v>
      </c>
      <c r="O1023">
        <v>0</v>
      </c>
      <c r="P1023" t="str">
        <f>"$"</f>
        <v>$</v>
      </c>
      <c r="Q1023" t="str">
        <f>"000"</f>
        <v>000</v>
      </c>
      <c r="R1023" t="str">
        <f>"כללית"</f>
        <v>כללית</v>
      </c>
      <c r="S1023" t="str">
        <f>"034"</f>
        <v>034</v>
      </c>
      <c r="T1023" t="str">
        <f>"מוסקוביץ אולגה"</f>
        <v>מוסקוביץ אולגה</v>
      </c>
      <c r="U1023">
        <v>0</v>
      </c>
      <c r="V1023">
        <v>0</v>
      </c>
      <c r="W1023">
        <v>0</v>
      </c>
      <c r="X1023">
        <v>0</v>
      </c>
      <c r="Z1023" t="str">
        <f>"Y"</f>
        <v>Y</v>
      </c>
      <c r="AA1023">
        <v>0</v>
      </c>
      <c r="AC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 t="str">
        <f>"$"</f>
        <v>$</v>
      </c>
    </row>
    <row r="1024" spans="1:38" x14ac:dyDescent="0.3">
      <c r="A1024" t="str">
        <f>"SO20000602"</f>
        <v>SO20000602</v>
      </c>
      <c r="B1024" t="str">
        <f>"E000328844"</f>
        <v>E000328844</v>
      </c>
      <c r="C1024" t="str">
        <f>"בוצעה"</f>
        <v>בוצעה</v>
      </c>
      <c r="E1024" s="3">
        <v>44186</v>
      </c>
      <c r="F1024" s="3">
        <v>44256</v>
      </c>
      <c r="G1024" t="str">
        <f>"700065"</f>
        <v>700065</v>
      </c>
      <c r="H1024" t="str">
        <f>"אלתא מערכות בע""מ"</f>
        <v>אלתא מערכות בע"מ</v>
      </c>
      <c r="I1024" t="str">
        <f>"ערן שלו"</f>
        <v>ערן שלו</v>
      </c>
      <c r="J1024" t="str">
        <f>"cust000658"</f>
        <v>cust000658</v>
      </c>
      <c r="K1024" s="1" t="str">
        <f>"TSI-EPC - 380Vac-Module BRAVO אלתא"</f>
        <v>TSI-EPC - 380Vac-Module BRAVO אלתא</v>
      </c>
      <c r="L1024">
        <v>1</v>
      </c>
      <c r="M1024" t="str">
        <f>"PR20000906"</f>
        <v>PR20000906</v>
      </c>
      <c r="N1024" t="str">
        <f>"SP-PS040001902 תיקון"</f>
        <v>SP-PS040001902 תיקון</v>
      </c>
      <c r="O1024">
        <v>0</v>
      </c>
      <c r="P1024" t="str">
        <f>"$"</f>
        <v>$</v>
      </c>
      <c r="Q1024" t="str">
        <f>"000"</f>
        <v>000</v>
      </c>
      <c r="R1024" t="str">
        <f>"כללית"</f>
        <v>כללית</v>
      </c>
      <c r="S1024" t="str">
        <f>"034"</f>
        <v>034</v>
      </c>
      <c r="T1024" t="str">
        <f>"מוסקוביץ אולגה"</f>
        <v>מוסקוביץ אולגה</v>
      </c>
      <c r="U1024">
        <v>0</v>
      </c>
      <c r="V1024">
        <v>0</v>
      </c>
      <c r="W1024">
        <v>0</v>
      </c>
      <c r="X1024">
        <v>0</v>
      </c>
      <c r="Z1024" t="str">
        <f>"Y"</f>
        <v>Y</v>
      </c>
      <c r="AA1024">
        <v>1</v>
      </c>
      <c r="AC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 t="str">
        <f>"$"</f>
        <v>$</v>
      </c>
    </row>
    <row r="1025" spans="1:38" x14ac:dyDescent="0.3">
      <c r="A1025" t="str">
        <f>"SO20000602"</f>
        <v>SO20000602</v>
      </c>
      <c r="B1025" t="str">
        <f>"E000328844"</f>
        <v>E000328844</v>
      </c>
      <c r="C1025" t="str">
        <f>"בוצעה"</f>
        <v>בוצעה</v>
      </c>
      <c r="E1025" s="3">
        <v>44186</v>
      </c>
      <c r="F1025" s="3">
        <v>44256</v>
      </c>
      <c r="G1025" t="str">
        <f>"700065"</f>
        <v>700065</v>
      </c>
      <c r="H1025" t="str">
        <f>"אלתא מערכות בע""מ"</f>
        <v>אלתא מערכות בע"מ</v>
      </c>
      <c r="I1025" t="str">
        <f>"ערן שלו"</f>
        <v>ערן שלו</v>
      </c>
      <c r="J1025" t="str">
        <f>"cust00896"</f>
        <v>cust00896</v>
      </c>
      <c r="K1025" s="1" t="str">
        <f>"MEDIA EPC 230V  P33173000 אלתא"</f>
        <v>MEDIA EPC 230V  P33173000 אלתא</v>
      </c>
      <c r="L1025">
        <v>1</v>
      </c>
      <c r="M1025" t="str">
        <f>"PR20000906"</f>
        <v>PR20000906</v>
      </c>
      <c r="N1025" t="str">
        <f>"SP-PS040001902 תיקון"</f>
        <v>SP-PS040001902 תיקון</v>
      </c>
      <c r="O1025">
        <v>0</v>
      </c>
      <c r="P1025" t="str">
        <f>"$"</f>
        <v>$</v>
      </c>
      <c r="Q1025" t="str">
        <f>"000"</f>
        <v>000</v>
      </c>
      <c r="R1025" t="str">
        <f>"כללית"</f>
        <v>כללית</v>
      </c>
      <c r="S1025" t="str">
        <f>"034"</f>
        <v>034</v>
      </c>
      <c r="T1025" t="str">
        <f>"מוסקוביץ אולגה"</f>
        <v>מוסקוביץ אולגה</v>
      </c>
      <c r="U1025">
        <v>0</v>
      </c>
      <c r="V1025">
        <v>0</v>
      </c>
      <c r="W1025">
        <v>0</v>
      </c>
      <c r="X1025">
        <v>0</v>
      </c>
      <c r="Z1025" t="str">
        <f>"Y"</f>
        <v>Y</v>
      </c>
      <c r="AA1025">
        <v>0</v>
      </c>
      <c r="AC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 t="str">
        <f>"$"</f>
        <v>$</v>
      </c>
    </row>
    <row r="1026" spans="1:38" x14ac:dyDescent="0.3">
      <c r="A1026" t="str">
        <f>"SO20000603"</f>
        <v>SO20000603</v>
      </c>
      <c r="B1026" t="str">
        <f>"E000329191"</f>
        <v>E000329191</v>
      </c>
      <c r="C1026" t="str">
        <f>"בוצעה"</f>
        <v>בוצעה</v>
      </c>
      <c r="E1026" s="3">
        <v>44187</v>
      </c>
      <c r="F1026" s="3">
        <v>44201</v>
      </c>
      <c r="G1026" t="str">
        <f>"700065"</f>
        <v>700065</v>
      </c>
      <c r="H1026" t="str">
        <f>"אלתא מערכות בע""מ"</f>
        <v>אלתא מערכות בע"מ</v>
      </c>
      <c r="I1026" t="str">
        <f>"ערן שלו"</f>
        <v>ערן שלו</v>
      </c>
      <c r="J1026" t="str">
        <f>"000"</f>
        <v>000</v>
      </c>
      <c r="K1026" s="1" t="str">
        <f>"הארכת כבל הזנה למכונת קירור"</f>
        <v>הארכת כבל הזנה למכונת קירור</v>
      </c>
      <c r="L1026">
        <v>1</v>
      </c>
      <c r="M1026" t="str">
        <f>"PR20000904"</f>
        <v>PR20000904</v>
      </c>
      <c r="N1026" t="str">
        <f>"הארכת כבל טל שמיים"</f>
        <v>הארכת כבל טל שמיים</v>
      </c>
      <c r="O1026" s="2">
        <v>2950</v>
      </c>
      <c r="P1026" t="str">
        <f>"$"</f>
        <v>$</v>
      </c>
      <c r="Q1026" t="str">
        <f>"000"</f>
        <v>000</v>
      </c>
      <c r="R1026" t="str">
        <f>"כללית"</f>
        <v>כללית</v>
      </c>
      <c r="S1026" t="str">
        <f>"034"</f>
        <v>034</v>
      </c>
      <c r="T1026" t="str">
        <f>"מוסקוביץ אולגה"</f>
        <v>מוסקוביץ אולגה</v>
      </c>
      <c r="U1026">
        <v>0</v>
      </c>
      <c r="V1026">
        <v>0</v>
      </c>
      <c r="W1026" s="2">
        <v>2950</v>
      </c>
      <c r="X1026" s="2">
        <v>2950</v>
      </c>
      <c r="Z1026" t="str">
        <f>"Y"</f>
        <v>Y</v>
      </c>
      <c r="AA1026">
        <v>1</v>
      </c>
      <c r="AC1026">
        <v>0</v>
      </c>
      <c r="AE1026">
        <v>0</v>
      </c>
      <c r="AF1026">
        <v>0</v>
      </c>
      <c r="AG1026" s="2">
        <v>9540.2999999999993</v>
      </c>
      <c r="AH1026">
        <v>0</v>
      </c>
      <c r="AI1026" s="2">
        <v>9540.2999999999993</v>
      </c>
      <c r="AJ1026" s="2">
        <v>2950</v>
      </c>
      <c r="AK1026" s="2">
        <v>2950</v>
      </c>
      <c r="AL1026" t="str">
        <f>"$"</f>
        <v>$</v>
      </c>
    </row>
    <row r="1027" spans="1:38" x14ac:dyDescent="0.3">
      <c r="A1027" t="str">
        <f>"SO20000606"</f>
        <v>SO20000606</v>
      </c>
      <c r="B1027" t="str">
        <f>"E000328399"</f>
        <v>E000328399</v>
      </c>
      <c r="C1027" t="str">
        <f>"בוצעה"</f>
        <v>בוצעה</v>
      </c>
      <c r="E1027" s="3">
        <v>44188</v>
      </c>
      <c r="F1027" s="3">
        <v>44249</v>
      </c>
      <c r="G1027" t="str">
        <f>"700065"</f>
        <v>700065</v>
      </c>
      <c r="H1027" t="str">
        <f>"אלתא מערכות בע""מ"</f>
        <v>אלתא מערכות בע"מ</v>
      </c>
      <c r="I1027" t="str">
        <f>"ערן שלו"</f>
        <v>ערן שלו</v>
      </c>
      <c r="J1027" t="str">
        <f>"OP-AR02207"</f>
        <v>OP-AR02207</v>
      </c>
      <c r="K1027" s="1" t="str">
        <f>"4019B122-001  HARNESS W122 - GDT BU TO SCME - KE"</f>
        <v>4019B122-001  HARNESS W122 - GDT BU TO SCME - KE</v>
      </c>
      <c r="L1027">
        <v>4</v>
      </c>
      <c r="M1027" t="str">
        <f>"PR20000907"</f>
        <v>PR20000907</v>
      </c>
      <c r="N1027" t="str">
        <f>"W122 - GDT BU TO SCME - KEY LOAD"</f>
        <v>W122 - GDT BU TO SCME - KEY LOAD</v>
      </c>
      <c r="O1027">
        <v>608.66</v>
      </c>
      <c r="P1027" t="str">
        <f>"$"</f>
        <v>$</v>
      </c>
      <c r="Q1027" t="str">
        <f>"117"</f>
        <v>117</v>
      </c>
      <c r="R1027" t="str">
        <f>"רתמות"</f>
        <v>רתמות</v>
      </c>
      <c r="S1027" t="str">
        <f>"034"</f>
        <v>034</v>
      </c>
      <c r="T1027" t="str">
        <f>"מוסקוביץ אולגה"</f>
        <v>מוסקוביץ אולגה</v>
      </c>
      <c r="U1027">
        <v>0</v>
      </c>
      <c r="V1027">
        <v>0</v>
      </c>
      <c r="W1027">
        <v>608.66</v>
      </c>
      <c r="X1027" s="2">
        <v>2434.64</v>
      </c>
      <c r="Z1027" t="str">
        <f>"Y"</f>
        <v>Y</v>
      </c>
      <c r="AA1027">
        <v>0</v>
      </c>
      <c r="AC1027">
        <v>0</v>
      </c>
      <c r="AE1027">
        <v>0</v>
      </c>
      <c r="AF1027">
        <v>0</v>
      </c>
      <c r="AG1027" s="2">
        <v>1961.1</v>
      </c>
      <c r="AH1027">
        <v>0</v>
      </c>
      <c r="AI1027" s="2">
        <v>7844.41</v>
      </c>
      <c r="AJ1027" s="2">
        <v>2434.64</v>
      </c>
      <c r="AK1027" s="2">
        <v>2434.64</v>
      </c>
      <c r="AL1027" t="str">
        <f>"$"</f>
        <v>$</v>
      </c>
    </row>
    <row r="1028" spans="1:38" x14ac:dyDescent="0.3">
      <c r="A1028" t="str">
        <f>"SO20000627"</f>
        <v>SO20000627</v>
      </c>
      <c r="C1028" t="str">
        <f>"בוצעה"</f>
        <v>בוצעה</v>
      </c>
      <c r="E1028" s="3">
        <v>44196</v>
      </c>
      <c r="F1028" s="3">
        <v>44196</v>
      </c>
      <c r="G1028" t="str">
        <f>"700065"</f>
        <v>700065</v>
      </c>
      <c r="H1028" t="str">
        <f>"אלתא מערכות בע""מ"</f>
        <v>אלתא מערכות בע"מ</v>
      </c>
      <c r="I1028" t="str">
        <f>"כללי"</f>
        <v>כללי</v>
      </c>
      <c r="J1028" t="str">
        <f>"cust000644"</f>
        <v>cust000644</v>
      </c>
      <c r="K1028" s="1" t="str">
        <f>"1037C520-001 אלתא"</f>
        <v>1037C520-001 אלתא</v>
      </c>
      <c r="L1028">
        <v>2</v>
      </c>
      <c r="M1028" t="str">
        <f>"PR19000107"</f>
        <v>PR19000107</v>
      </c>
      <c r="N1028" t="str">
        <f>"ייצור 2 לוחות PDB 12 AND 13"</f>
        <v>ייצור 2 לוחות PDB 12 AND 13</v>
      </c>
      <c r="O1028">
        <v>0</v>
      </c>
      <c r="P1028" t="str">
        <f>"$"</f>
        <v>$</v>
      </c>
      <c r="Q1028" t="str">
        <f>"070"</f>
        <v>070</v>
      </c>
      <c r="R1028" t="str">
        <f>"הזמנה פנימית"</f>
        <v>הזמנה פנימית</v>
      </c>
      <c r="S1028" t="str">
        <f>"000"</f>
        <v>000</v>
      </c>
      <c r="T1028" t="str">
        <f>"גנם הודיה"</f>
        <v>גנם הודיה</v>
      </c>
      <c r="U1028">
        <v>0</v>
      </c>
      <c r="V1028">
        <v>0</v>
      </c>
      <c r="W1028">
        <v>0</v>
      </c>
      <c r="X1028">
        <v>0</v>
      </c>
      <c r="Z1028" t="str">
        <f>"Y"</f>
        <v>Y</v>
      </c>
      <c r="AA1028">
        <v>0</v>
      </c>
      <c r="AC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 t="str">
        <f>"$"</f>
        <v>$</v>
      </c>
    </row>
    <row r="1029" spans="1:38" x14ac:dyDescent="0.3">
      <c r="A1029" t="str">
        <f>"SO21000005"</f>
        <v>SO21000005</v>
      </c>
      <c r="B1029" t="str">
        <f>"E000329719"</f>
        <v>E000329719</v>
      </c>
      <c r="C1029" t="str">
        <f>"בוצעה"</f>
        <v>בוצעה</v>
      </c>
      <c r="E1029" s="3">
        <v>44199</v>
      </c>
      <c r="F1029" s="3">
        <v>44265</v>
      </c>
      <c r="G1029" t="str">
        <f>"700065"</f>
        <v>700065</v>
      </c>
      <c r="H1029" t="str">
        <f>"אלתא מערכות בע""מ"</f>
        <v>אלתא מערכות בע"מ</v>
      </c>
      <c r="I1029" t="str">
        <f>"ערן שלו"</f>
        <v>ערן שלו</v>
      </c>
      <c r="J1029" t="str">
        <f>"cust000617"</f>
        <v>cust000617</v>
      </c>
      <c r="K1029" s="1" t="str">
        <f>"1038L452-001 אלתא"</f>
        <v>1038L452-001 אלתא</v>
      </c>
      <c r="L1029">
        <v>1</v>
      </c>
      <c r="M1029" t="str">
        <f>"PR20000755"</f>
        <v>PR20000755</v>
      </c>
      <c r="N1029" t="str">
        <f>"תיקון יחידת  CU"</f>
        <v>תיקון יחידת  CU</v>
      </c>
      <c r="O1029">
        <v>0</v>
      </c>
      <c r="P1029" t="str">
        <f>"$"</f>
        <v>$</v>
      </c>
      <c r="Q1029" t="str">
        <f>"000"</f>
        <v>000</v>
      </c>
      <c r="R1029" t="str">
        <f>"כללית"</f>
        <v>כללית</v>
      </c>
      <c r="S1029" t="str">
        <f>"034"</f>
        <v>034</v>
      </c>
      <c r="T1029" t="str">
        <f>"מוסקוביץ אולגה"</f>
        <v>מוסקוביץ אולגה</v>
      </c>
      <c r="U1029">
        <v>0</v>
      </c>
      <c r="V1029">
        <v>0</v>
      </c>
      <c r="W1029">
        <v>0</v>
      </c>
      <c r="X1029">
        <v>0</v>
      </c>
      <c r="Z1029" t="str">
        <f>"Y"</f>
        <v>Y</v>
      </c>
      <c r="AA1029">
        <v>0</v>
      </c>
      <c r="AC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 t="str">
        <f>"$"</f>
        <v>$</v>
      </c>
    </row>
    <row r="1030" spans="1:38" x14ac:dyDescent="0.3">
      <c r="A1030" t="str">
        <f>"SO21000009"</f>
        <v>SO21000009</v>
      </c>
      <c r="B1030" t="str">
        <f>"E000329195"</f>
        <v>E000329195</v>
      </c>
      <c r="C1030" t="str">
        <f>"בוצעה"</f>
        <v>בוצעה</v>
      </c>
      <c r="E1030" s="3">
        <v>44200</v>
      </c>
      <c r="F1030" s="3">
        <v>44650</v>
      </c>
      <c r="G1030" t="str">
        <f>"700065"</f>
        <v>700065</v>
      </c>
      <c r="H1030" t="str">
        <f>"אלתא מערכות בע""מ"</f>
        <v>אלתא מערכות בע"מ</v>
      </c>
      <c r="I1030" t="str">
        <f>"ערן שלו"</f>
        <v>ערן שלו</v>
      </c>
      <c r="J1030" t="str">
        <f>"OP-AR02306"</f>
        <v>OP-AR02306</v>
      </c>
      <c r="K1030" s="1" t="str">
        <f>"HVJB 1026L230-001"</f>
        <v>HVJB 1026L230-001</v>
      </c>
      <c r="L1030">
        <v>4</v>
      </c>
      <c r="M1030" t="str">
        <f>"PR21000122"</f>
        <v>PR21000122</v>
      </c>
      <c r="N1030" t="str">
        <f>"*HIGH VOLTAGE HVJB"</f>
        <v>*HIGH VOLTAGE HVJB</v>
      </c>
      <c r="O1030" s="2">
        <v>9425</v>
      </c>
      <c r="P1030" t="str">
        <f>"$"</f>
        <v>$</v>
      </c>
      <c r="Q1030" t="str">
        <f>"118"</f>
        <v>118</v>
      </c>
      <c r="R1030" t="str">
        <f>"מערכות"</f>
        <v>מערכות</v>
      </c>
      <c r="S1030" t="str">
        <f>"034"</f>
        <v>034</v>
      </c>
      <c r="T1030" t="str">
        <f>"מוסקוביץ אולגה"</f>
        <v>מוסקוביץ אולגה</v>
      </c>
      <c r="U1030">
        <v>0</v>
      </c>
      <c r="V1030">
        <v>0</v>
      </c>
      <c r="W1030" s="2">
        <v>9425</v>
      </c>
      <c r="X1030" s="2">
        <v>37700</v>
      </c>
      <c r="Z1030" t="str">
        <f>"Y"</f>
        <v>Y</v>
      </c>
      <c r="AA1030">
        <v>0</v>
      </c>
      <c r="AC1030">
        <v>0</v>
      </c>
      <c r="AE1030">
        <v>0</v>
      </c>
      <c r="AF1030">
        <v>0</v>
      </c>
      <c r="AG1030" s="2">
        <v>30216.55</v>
      </c>
      <c r="AH1030">
        <v>0</v>
      </c>
      <c r="AI1030" s="2">
        <v>120866.2</v>
      </c>
      <c r="AJ1030" s="2">
        <v>37700</v>
      </c>
      <c r="AK1030" s="2">
        <v>37700</v>
      </c>
      <c r="AL1030" t="str">
        <f>"$"</f>
        <v>$</v>
      </c>
    </row>
    <row r="1031" spans="1:38" x14ac:dyDescent="0.3">
      <c r="A1031" t="str">
        <f>"SO21000009"</f>
        <v>SO21000009</v>
      </c>
      <c r="B1031" t="str">
        <f>"E000329195"</f>
        <v>E000329195</v>
      </c>
      <c r="C1031" t="str">
        <f>"בוצעה"</f>
        <v>בוצעה</v>
      </c>
      <c r="E1031" s="3">
        <v>44200</v>
      </c>
      <c r="F1031" s="3">
        <v>44644</v>
      </c>
      <c r="G1031" t="str">
        <f>"700065"</f>
        <v>700065</v>
      </c>
      <c r="H1031" t="str">
        <f>"אלתא מערכות בע""מ"</f>
        <v>אלתא מערכות בע"מ</v>
      </c>
      <c r="I1031" t="str">
        <f>"ערן שלו"</f>
        <v>ערן שלו</v>
      </c>
      <c r="J1031" t="str">
        <f>"OP-AR02306"</f>
        <v>OP-AR02306</v>
      </c>
      <c r="K1031" s="1" t="str">
        <f>"HVJB 1026L230-001"</f>
        <v>HVJB 1026L230-001</v>
      </c>
      <c r="L1031">
        <v>3</v>
      </c>
      <c r="M1031" t="str">
        <f>"PR21000122"</f>
        <v>PR21000122</v>
      </c>
      <c r="N1031" t="str">
        <f>"*HIGH VOLTAGE HVJB"</f>
        <v>*HIGH VOLTAGE HVJB</v>
      </c>
      <c r="O1031" s="2">
        <v>9425</v>
      </c>
      <c r="P1031" t="str">
        <f>"$"</f>
        <v>$</v>
      </c>
      <c r="Q1031" t="str">
        <f>"118"</f>
        <v>118</v>
      </c>
      <c r="R1031" t="str">
        <f>"מערכות"</f>
        <v>מערכות</v>
      </c>
      <c r="S1031" t="str">
        <f>"034"</f>
        <v>034</v>
      </c>
      <c r="T1031" t="str">
        <f>"מוסקוביץ אולגה"</f>
        <v>מוסקוביץ אולגה</v>
      </c>
      <c r="U1031">
        <v>0</v>
      </c>
      <c r="V1031">
        <v>0</v>
      </c>
      <c r="W1031" s="2">
        <v>9425</v>
      </c>
      <c r="X1031" s="2">
        <v>28275</v>
      </c>
      <c r="Z1031" t="str">
        <f>"Y"</f>
        <v>Y</v>
      </c>
      <c r="AA1031">
        <v>0</v>
      </c>
      <c r="AC1031">
        <v>0</v>
      </c>
      <c r="AE1031">
        <v>0</v>
      </c>
      <c r="AF1031">
        <v>0</v>
      </c>
      <c r="AG1031" s="2">
        <v>30216.55</v>
      </c>
      <c r="AH1031">
        <v>0</v>
      </c>
      <c r="AI1031" s="2">
        <v>90649.65</v>
      </c>
      <c r="AJ1031" s="2">
        <v>28275</v>
      </c>
      <c r="AK1031" s="2">
        <v>28275</v>
      </c>
      <c r="AL1031" t="str">
        <f>"$"</f>
        <v>$</v>
      </c>
    </row>
    <row r="1032" spans="1:38" x14ac:dyDescent="0.3">
      <c r="A1032" t="str">
        <f>"SO21000009"</f>
        <v>SO21000009</v>
      </c>
      <c r="B1032" t="str">
        <f>"E000329195"</f>
        <v>E000329195</v>
      </c>
      <c r="C1032" t="str">
        <f>"בוצעה"</f>
        <v>בוצעה</v>
      </c>
      <c r="E1032" s="3">
        <v>44200</v>
      </c>
      <c r="F1032" s="3">
        <v>44650</v>
      </c>
      <c r="G1032" t="str">
        <f>"700065"</f>
        <v>700065</v>
      </c>
      <c r="H1032" t="str">
        <f>"אלתא מערכות בע""מ"</f>
        <v>אלתא מערכות בע"מ</v>
      </c>
      <c r="I1032" t="str">
        <f>"ערן שלו"</f>
        <v>ערן שלו</v>
      </c>
      <c r="J1032" t="str">
        <f>"OP-AR02306"</f>
        <v>OP-AR02306</v>
      </c>
      <c r="K1032" s="1" t="str">
        <f>"HVJB 1026L230-001"</f>
        <v>HVJB 1026L230-001</v>
      </c>
      <c r="L1032">
        <v>0</v>
      </c>
      <c r="O1032" s="2">
        <v>9425</v>
      </c>
      <c r="P1032" t="str">
        <f>"$"</f>
        <v>$</v>
      </c>
      <c r="Q1032" t="str">
        <f>"118"</f>
        <v>118</v>
      </c>
      <c r="R1032" t="str">
        <f>"מערכות"</f>
        <v>מערכות</v>
      </c>
      <c r="S1032" t="str">
        <f>"034"</f>
        <v>034</v>
      </c>
      <c r="T1032" t="str">
        <f>"מוסקוביץ אולגה"</f>
        <v>מוסקוביץ אולגה</v>
      </c>
      <c r="U1032">
        <v>0</v>
      </c>
      <c r="V1032">
        <v>0</v>
      </c>
      <c r="W1032" s="2">
        <v>9425</v>
      </c>
      <c r="X1032">
        <v>0</v>
      </c>
      <c r="Z1032" t="str">
        <f>"Y"</f>
        <v>Y</v>
      </c>
      <c r="AA1032">
        <v>0</v>
      </c>
      <c r="AC1032">
        <v>0</v>
      </c>
      <c r="AE1032">
        <v>0</v>
      </c>
      <c r="AF1032">
        <v>0</v>
      </c>
      <c r="AG1032" s="2">
        <v>30216.55</v>
      </c>
      <c r="AH1032">
        <v>0</v>
      </c>
      <c r="AI1032">
        <v>0</v>
      </c>
      <c r="AJ1032">
        <v>0</v>
      </c>
      <c r="AK1032">
        <v>0</v>
      </c>
      <c r="AL1032" t="str">
        <f>"$"</f>
        <v>$</v>
      </c>
    </row>
    <row r="1033" spans="1:38" x14ac:dyDescent="0.3">
      <c r="A1033" t="str">
        <f>"SO21000009"</f>
        <v>SO21000009</v>
      </c>
      <c r="B1033" t="str">
        <f>"E000329195"</f>
        <v>E000329195</v>
      </c>
      <c r="C1033" t="str">
        <f>"בוצעה"</f>
        <v>בוצעה</v>
      </c>
      <c r="E1033" s="3">
        <v>44200</v>
      </c>
      <c r="F1033" s="3">
        <v>44650</v>
      </c>
      <c r="G1033" t="str">
        <f>"700065"</f>
        <v>700065</v>
      </c>
      <c r="H1033" t="str">
        <f>"אלתא מערכות בע""מ"</f>
        <v>אלתא מערכות בע"מ</v>
      </c>
      <c r="I1033" t="str">
        <f>"ערן שלו"</f>
        <v>ערן שלו</v>
      </c>
      <c r="J1033" t="str">
        <f>"OP-AR02306"</f>
        <v>OP-AR02306</v>
      </c>
      <c r="K1033" s="1" t="str">
        <f>"HVJB 1026L230-001"</f>
        <v>HVJB 1026L230-001</v>
      </c>
      <c r="L1033">
        <v>7</v>
      </c>
      <c r="M1033" t="str">
        <f>"PR21000122"</f>
        <v>PR21000122</v>
      </c>
      <c r="N1033" t="str">
        <f>"*HIGH VOLTAGE HVJB"</f>
        <v>*HIGH VOLTAGE HVJB</v>
      </c>
      <c r="O1033" s="2">
        <v>9425</v>
      </c>
      <c r="P1033" t="str">
        <f>"$"</f>
        <v>$</v>
      </c>
      <c r="Q1033" t="str">
        <f>"118"</f>
        <v>118</v>
      </c>
      <c r="R1033" t="str">
        <f>"מערכות"</f>
        <v>מערכות</v>
      </c>
      <c r="S1033" t="str">
        <f>"034"</f>
        <v>034</v>
      </c>
      <c r="T1033" t="str">
        <f>"מוסקוביץ אולגה"</f>
        <v>מוסקוביץ אולגה</v>
      </c>
      <c r="U1033">
        <v>0</v>
      </c>
      <c r="V1033">
        <v>0</v>
      </c>
      <c r="W1033" s="2">
        <v>9425</v>
      </c>
      <c r="X1033" s="2">
        <v>65975</v>
      </c>
      <c r="Z1033" t="str">
        <f>"Y"</f>
        <v>Y</v>
      </c>
      <c r="AA1033">
        <v>0</v>
      </c>
      <c r="AC1033">
        <v>0</v>
      </c>
      <c r="AE1033">
        <v>0</v>
      </c>
      <c r="AF1033">
        <v>0</v>
      </c>
      <c r="AG1033" s="2">
        <v>30216.55</v>
      </c>
      <c r="AH1033">
        <v>0</v>
      </c>
      <c r="AI1033" s="2">
        <v>211515.85</v>
      </c>
      <c r="AJ1033" s="2">
        <v>65975</v>
      </c>
      <c r="AK1033" s="2">
        <v>65975</v>
      </c>
      <c r="AL1033" t="str">
        <f>"$"</f>
        <v>$</v>
      </c>
    </row>
    <row r="1034" spans="1:38" x14ac:dyDescent="0.3">
      <c r="A1034" t="str">
        <f>"SO21000009"</f>
        <v>SO21000009</v>
      </c>
      <c r="B1034" t="str">
        <f>"E000329195"</f>
        <v>E000329195</v>
      </c>
      <c r="C1034" t="str">
        <f>"בוצעה"</f>
        <v>בוצעה</v>
      </c>
      <c r="E1034" s="3">
        <v>44200</v>
      </c>
      <c r="F1034" s="3">
        <v>44650</v>
      </c>
      <c r="G1034" t="str">
        <f>"700065"</f>
        <v>700065</v>
      </c>
      <c r="H1034" t="str">
        <f>"אלתא מערכות בע""מ"</f>
        <v>אלתא מערכות בע"מ</v>
      </c>
      <c r="I1034" t="str">
        <f>"ערן שלו"</f>
        <v>ערן שלו</v>
      </c>
      <c r="J1034" t="str">
        <f>"OP-AR02306"</f>
        <v>OP-AR02306</v>
      </c>
      <c r="K1034" s="1" t="str">
        <f>"HVJB 1026L230-001"</f>
        <v>HVJB 1026L230-001</v>
      </c>
      <c r="L1034">
        <v>0</v>
      </c>
      <c r="O1034">
        <v>0</v>
      </c>
      <c r="P1034" t="str">
        <f>"$"</f>
        <v>$</v>
      </c>
      <c r="Q1034" t="str">
        <f>"118"</f>
        <v>118</v>
      </c>
      <c r="R1034" t="str">
        <f>"מערכות"</f>
        <v>מערכות</v>
      </c>
      <c r="S1034" t="str">
        <f>"034"</f>
        <v>034</v>
      </c>
      <c r="T1034" t="str">
        <f>"מוסקוביץ אולגה"</f>
        <v>מוסקוביץ אולגה</v>
      </c>
      <c r="U1034">
        <v>0</v>
      </c>
      <c r="V1034">
        <v>0</v>
      </c>
      <c r="W1034">
        <v>0</v>
      </c>
      <c r="X1034">
        <v>0</v>
      </c>
      <c r="Z1034" t="str">
        <f>"Y"</f>
        <v>Y</v>
      </c>
      <c r="AA1034">
        <v>0</v>
      </c>
      <c r="AC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 t="str">
        <f>"$"</f>
        <v>$</v>
      </c>
    </row>
    <row r="1035" spans="1:38" x14ac:dyDescent="0.3">
      <c r="A1035" t="str">
        <f>"SO21000009"</f>
        <v>SO21000009</v>
      </c>
      <c r="B1035" t="str">
        <f>"E000329195"</f>
        <v>E000329195</v>
      </c>
      <c r="C1035" t="str">
        <f>"בוצעה"</f>
        <v>בוצעה</v>
      </c>
      <c r="E1035" s="3">
        <v>44200</v>
      </c>
      <c r="F1035" s="3">
        <v>44650</v>
      </c>
      <c r="G1035" t="str">
        <f>"700065"</f>
        <v>700065</v>
      </c>
      <c r="H1035" t="str">
        <f>"אלתא מערכות בע""מ"</f>
        <v>אלתא מערכות בע"מ</v>
      </c>
      <c r="I1035" t="str">
        <f>"ערן שלו"</f>
        <v>ערן שלו</v>
      </c>
      <c r="J1035" t="str">
        <f>"OP-AR02306"</f>
        <v>OP-AR02306</v>
      </c>
      <c r="K1035" s="1" t="str">
        <f>"HVJB 1026L230-001"</f>
        <v>HVJB 1026L230-001</v>
      </c>
      <c r="L1035">
        <v>7</v>
      </c>
      <c r="M1035" t="str">
        <f>"PR21000122"</f>
        <v>PR21000122</v>
      </c>
      <c r="N1035" t="str">
        <f>"*HIGH VOLTAGE HVJB"</f>
        <v>*HIGH VOLTAGE HVJB</v>
      </c>
      <c r="O1035" s="2">
        <v>9425</v>
      </c>
      <c r="P1035" t="str">
        <f>"$"</f>
        <v>$</v>
      </c>
      <c r="Q1035" t="str">
        <f>"118"</f>
        <v>118</v>
      </c>
      <c r="R1035" t="str">
        <f>"מערכות"</f>
        <v>מערכות</v>
      </c>
      <c r="S1035" t="str">
        <f>"034"</f>
        <v>034</v>
      </c>
      <c r="T1035" t="str">
        <f>"מוסקוביץ אולגה"</f>
        <v>מוסקוביץ אולגה</v>
      </c>
      <c r="U1035">
        <v>0</v>
      </c>
      <c r="V1035">
        <v>0</v>
      </c>
      <c r="W1035" s="2">
        <v>9425</v>
      </c>
      <c r="X1035" s="2">
        <v>65975</v>
      </c>
      <c r="Z1035" t="str">
        <f>"Y"</f>
        <v>Y</v>
      </c>
      <c r="AA1035">
        <v>0</v>
      </c>
      <c r="AC1035">
        <v>0</v>
      </c>
      <c r="AE1035">
        <v>0</v>
      </c>
      <c r="AF1035">
        <v>0</v>
      </c>
      <c r="AG1035" s="2">
        <v>30216.55</v>
      </c>
      <c r="AH1035">
        <v>0</v>
      </c>
      <c r="AI1035" s="2">
        <v>211515.85</v>
      </c>
      <c r="AJ1035" s="2">
        <v>65975</v>
      </c>
      <c r="AK1035" s="2">
        <v>65975</v>
      </c>
      <c r="AL1035" t="str">
        <f>"$"</f>
        <v>$</v>
      </c>
    </row>
    <row r="1036" spans="1:38" x14ac:dyDescent="0.3">
      <c r="A1036" t="str">
        <f>"SO21000009"</f>
        <v>SO21000009</v>
      </c>
      <c r="B1036" t="str">
        <f>"E000329195"</f>
        <v>E000329195</v>
      </c>
      <c r="C1036" t="str">
        <f>"בוצעה"</f>
        <v>בוצעה</v>
      </c>
      <c r="E1036" s="3">
        <v>44200</v>
      </c>
      <c r="F1036" s="3">
        <v>44377</v>
      </c>
      <c r="G1036" t="str">
        <f>"700065"</f>
        <v>700065</v>
      </c>
      <c r="H1036" t="str">
        <f>"אלתא מערכות בע""מ"</f>
        <v>אלתא מערכות בע"מ</v>
      </c>
      <c r="I1036" t="str">
        <f>"ערן שלו"</f>
        <v>ערן שלו</v>
      </c>
      <c r="J1036" t="str">
        <f>"OP-AR09107-2"</f>
        <v>OP-AR09107-2</v>
      </c>
      <c r="K1036" s="1" t="str">
        <f>"לוח AUX BOX מק""ט לקוח 1026L320-002"</f>
        <v>לוח AUX BOX מק"ט לקוח 1026L320-002</v>
      </c>
      <c r="L1036">
        <v>1</v>
      </c>
      <c r="M1036" t="str">
        <f>"PR20000151"</f>
        <v>PR20000151</v>
      </c>
      <c r="N1036" t="str">
        <f>"יצור AUX BOX אפור"</f>
        <v>יצור AUX BOX אפור</v>
      </c>
      <c r="O1036" s="2">
        <v>27792</v>
      </c>
      <c r="P1036" t="str">
        <f>"$"</f>
        <v>$</v>
      </c>
      <c r="Q1036" t="str">
        <f>"118"</f>
        <v>118</v>
      </c>
      <c r="R1036" t="str">
        <f>"מערכות"</f>
        <v>מערכות</v>
      </c>
      <c r="S1036" t="str">
        <f>"034"</f>
        <v>034</v>
      </c>
      <c r="T1036" t="str">
        <f>"מוסקוביץ אולגה"</f>
        <v>מוסקוביץ אולגה</v>
      </c>
      <c r="U1036">
        <v>0</v>
      </c>
      <c r="V1036">
        <v>0</v>
      </c>
      <c r="W1036" s="2">
        <v>27792</v>
      </c>
      <c r="X1036" s="2">
        <v>27792</v>
      </c>
      <c r="Z1036" t="str">
        <f>"Y"</f>
        <v>Y</v>
      </c>
      <c r="AA1036">
        <v>0</v>
      </c>
      <c r="AC1036">
        <v>0</v>
      </c>
      <c r="AE1036">
        <v>0</v>
      </c>
      <c r="AF1036">
        <v>0</v>
      </c>
      <c r="AG1036" s="2">
        <v>89101.15</v>
      </c>
      <c r="AH1036">
        <v>0</v>
      </c>
      <c r="AI1036" s="2">
        <v>89101.15</v>
      </c>
      <c r="AJ1036" s="2">
        <v>27792</v>
      </c>
      <c r="AK1036" s="2">
        <v>27792</v>
      </c>
      <c r="AL1036" t="str">
        <f>"$"</f>
        <v>$</v>
      </c>
    </row>
    <row r="1037" spans="1:38" x14ac:dyDescent="0.3">
      <c r="A1037" t="str">
        <f>"SO21000009"</f>
        <v>SO21000009</v>
      </c>
      <c r="B1037" t="str">
        <f>"E000329195"</f>
        <v>E000329195</v>
      </c>
      <c r="C1037" t="str">
        <f>"בוצעה"</f>
        <v>בוצעה</v>
      </c>
      <c r="E1037" s="3">
        <v>44200</v>
      </c>
      <c r="F1037" s="3">
        <v>44392</v>
      </c>
      <c r="G1037" t="str">
        <f>"700065"</f>
        <v>700065</v>
      </c>
      <c r="H1037" t="str">
        <f>"אלתא מערכות בע""מ"</f>
        <v>אלתא מערכות בע"מ</v>
      </c>
      <c r="I1037" t="str">
        <f>"ערן שלו"</f>
        <v>ערן שלו</v>
      </c>
      <c r="J1037" t="str">
        <f>"OP-AR01025-01"</f>
        <v>OP-AR01025-01</v>
      </c>
      <c r="K1037" s="1" t="str">
        <f>"BATTERY BOX 1029P520-001אפור"</f>
        <v>BATTERY BOX 1029P520-001אפור</v>
      </c>
      <c r="L1037">
        <v>1</v>
      </c>
      <c r="M1037" t="str">
        <f>"PR20000157"</f>
        <v>PR20000157</v>
      </c>
      <c r="N1037" t="str">
        <f>"LB BATTERY BOX יולי 2021"</f>
        <v>LB BATTERY BOX יולי 2021</v>
      </c>
      <c r="O1037" s="2">
        <v>5750</v>
      </c>
      <c r="P1037" t="str">
        <f>"$"</f>
        <v>$</v>
      </c>
      <c r="Q1037" t="str">
        <f>"118"</f>
        <v>118</v>
      </c>
      <c r="R1037" t="str">
        <f>"מערכות"</f>
        <v>מערכות</v>
      </c>
      <c r="S1037" t="str">
        <f>"034"</f>
        <v>034</v>
      </c>
      <c r="T1037" t="str">
        <f>"מוסקוביץ אולגה"</f>
        <v>מוסקוביץ אולגה</v>
      </c>
      <c r="U1037">
        <v>0</v>
      </c>
      <c r="V1037">
        <v>0</v>
      </c>
      <c r="W1037" s="2">
        <v>5750</v>
      </c>
      <c r="X1037" s="2">
        <v>5750</v>
      </c>
      <c r="Z1037" t="str">
        <f>"Y"</f>
        <v>Y</v>
      </c>
      <c r="AA1037">
        <v>0</v>
      </c>
      <c r="AC1037">
        <v>0</v>
      </c>
      <c r="AE1037">
        <v>0</v>
      </c>
      <c r="AF1037">
        <v>0</v>
      </c>
      <c r="AG1037" s="2">
        <v>18434.5</v>
      </c>
      <c r="AH1037">
        <v>0</v>
      </c>
      <c r="AI1037" s="2">
        <v>18434.5</v>
      </c>
      <c r="AJ1037" s="2">
        <v>5750</v>
      </c>
      <c r="AK1037" s="2">
        <v>5750</v>
      </c>
      <c r="AL1037" t="str">
        <f>"$"</f>
        <v>$</v>
      </c>
    </row>
    <row r="1038" spans="1:38" x14ac:dyDescent="0.3">
      <c r="A1038" t="str">
        <f>"SO21000012"</f>
        <v>SO21000012</v>
      </c>
      <c r="B1038" t="str">
        <f>"E000330501"</f>
        <v>E000330501</v>
      </c>
      <c r="C1038" t="str">
        <f>"בוצעה"</f>
        <v>בוצעה</v>
      </c>
      <c r="E1038" s="3">
        <v>44206</v>
      </c>
      <c r="F1038" s="3">
        <v>44287</v>
      </c>
      <c r="G1038" t="str">
        <f>"700065"</f>
        <v>700065</v>
      </c>
      <c r="H1038" t="str">
        <f>"אלתא מערכות בע""מ"</f>
        <v>אלתא מערכות בע"מ</v>
      </c>
      <c r="I1038" t="str">
        <f>"ערן שלו"</f>
        <v>ערן שלו</v>
      </c>
      <c r="J1038" t="str">
        <f>"OP-AR01297"</f>
        <v>OP-AR01297</v>
      </c>
      <c r="K1038" s="1" t="str">
        <f>"שדרוג יחידה LB PDB"</f>
        <v>שדרוג יחידה LB PDB</v>
      </c>
      <c r="L1038">
        <v>1</v>
      </c>
      <c r="M1038" t="str">
        <f>"PR19000454"</f>
        <v>PR19000454</v>
      </c>
      <c r="N1038" t="str">
        <f>"שדרוג יחידות LB PDB"</f>
        <v>שדרוג יחידות LB PDB</v>
      </c>
      <c r="O1038" s="2">
        <v>2549</v>
      </c>
      <c r="P1038" t="str">
        <f>"$"</f>
        <v>$</v>
      </c>
      <c r="Q1038" t="str">
        <f>"118"</f>
        <v>118</v>
      </c>
      <c r="R1038" t="str">
        <f>"מערכות"</f>
        <v>מערכות</v>
      </c>
      <c r="S1038" t="str">
        <f>"034"</f>
        <v>034</v>
      </c>
      <c r="T1038" t="str">
        <f>"מוסקוביץ אולגה"</f>
        <v>מוסקוביץ אולגה</v>
      </c>
      <c r="U1038">
        <v>0</v>
      </c>
      <c r="V1038">
        <v>0</v>
      </c>
      <c r="W1038" s="2">
        <v>2549</v>
      </c>
      <c r="X1038" s="2">
        <v>2549</v>
      </c>
      <c r="Z1038" t="str">
        <f>"Y"</f>
        <v>Y</v>
      </c>
      <c r="AA1038">
        <v>0</v>
      </c>
      <c r="AC1038">
        <v>0</v>
      </c>
      <c r="AE1038">
        <v>0</v>
      </c>
      <c r="AF1038">
        <v>0</v>
      </c>
      <c r="AG1038" s="2">
        <v>8123.66</v>
      </c>
      <c r="AH1038">
        <v>0</v>
      </c>
      <c r="AI1038" s="2">
        <v>8123.66</v>
      </c>
      <c r="AJ1038" s="2">
        <v>2549</v>
      </c>
      <c r="AK1038" s="2">
        <v>2549</v>
      </c>
      <c r="AL1038" t="str">
        <f>"$"</f>
        <v>$</v>
      </c>
    </row>
    <row r="1039" spans="1:38" x14ac:dyDescent="0.3">
      <c r="A1039" t="str">
        <f>"SO21000024"</f>
        <v>SO21000024</v>
      </c>
      <c r="B1039" t="str">
        <f>"E000330496"</f>
        <v>E000330496</v>
      </c>
      <c r="C1039" t="str">
        <f>"בוצעה"</f>
        <v>בוצעה</v>
      </c>
      <c r="E1039" s="3">
        <v>44215</v>
      </c>
      <c r="F1039" s="3">
        <v>44311</v>
      </c>
      <c r="G1039" t="str">
        <f>"700065"</f>
        <v>700065</v>
      </c>
      <c r="H1039" t="str">
        <f>"אלתא מערכות בע""מ"</f>
        <v>אלתא מערכות בע"מ</v>
      </c>
      <c r="I1039" t="str">
        <f>"ערן שלו"</f>
        <v>ערן שלו</v>
      </c>
      <c r="J1039" t="str">
        <f>"OP-AR02239"</f>
        <v>OP-AR02239</v>
      </c>
      <c r="K1039" s="1" t="str">
        <f>"1035K740-001    CABLE W16"</f>
        <v>1035K740-001    CABLE W16</v>
      </c>
      <c r="L1039">
        <v>4</v>
      </c>
      <c r="M1039" t="str">
        <f>"PR21000081"</f>
        <v>PR21000081</v>
      </c>
      <c r="N1039" t="str">
        <f>"CABLE W16"</f>
        <v>CABLE W16</v>
      </c>
      <c r="O1039" s="2">
        <v>1563.5</v>
      </c>
      <c r="P1039" t="str">
        <f>"$"</f>
        <v>$</v>
      </c>
      <c r="Q1039" t="str">
        <f>"117"</f>
        <v>117</v>
      </c>
      <c r="R1039" t="str">
        <f>"רתמות"</f>
        <v>רתמות</v>
      </c>
      <c r="S1039" t="str">
        <f>"034"</f>
        <v>034</v>
      </c>
      <c r="T1039" t="str">
        <f>"גנם הודיה"</f>
        <v>גנם הודיה</v>
      </c>
      <c r="U1039">
        <v>0</v>
      </c>
      <c r="V1039">
        <v>0</v>
      </c>
      <c r="W1039" s="2">
        <v>1563.5</v>
      </c>
      <c r="X1039" s="2">
        <v>6254</v>
      </c>
      <c r="Z1039" t="str">
        <f>"Y"</f>
        <v>Y</v>
      </c>
      <c r="AA1039">
        <v>0</v>
      </c>
      <c r="AC1039">
        <v>0</v>
      </c>
      <c r="AE1039">
        <v>0</v>
      </c>
      <c r="AF1039">
        <v>0</v>
      </c>
      <c r="AG1039" s="2">
        <v>5053.2299999999996</v>
      </c>
      <c r="AH1039">
        <v>0</v>
      </c>
      <c r="AI1039" s="2">
        <v>20212.93</v>
      </c>
      <c r="AJ1039" s="2">
        <v>6254</v>
      </c>
      <c r="AK1039" s="2">
        <v>6254</v>
      </c>
      <c r="AL1039" t="str">
        <f>"$"</f>
        <v>$</v>
      </c>
    </row>
    <row r="1040" spans="1:38" x14ac:dyDescent="0.3">
      <c r="A1040" t="str">
        <f>"SO21000025"</f>
        <v>SO21000025</v>
      </c>
      <c r="B1040" t="str">
        <f>"E000327150"</f>
        <v>E000327150</v>
      </c>
      <c r="C1040" t="str">
        <f>"בוצעה"</f>
        <v>בוצעה</v>
      </c>
      <c r="E1040" s="3">
        <v>44215</v>
      </c>
      <c r="F1040" s="3">
        <v>44377</v>
      </c>
      <c r="G1040" t="str">
        <f>"700065"</f>
        <v>700065</v>
      </c>
      <c r="H1040" t="str">
        <f>"אלתא מערכות בע""מ"</f>
        <v>אלתא מערכות בע"מ</v>
      </c>
      <c r="I1040" t="str">
        <f>"ערן שלו"</f>
        <v>ערן שלו</v>
      </c>
      <c r="J1040" t="str">
        <f>"OP-AR01616"</f>
        <v>OP-AR01616</v>
      </c>
      <c r="K1040" s="1" t="str">
        <f>"1041G103-001 W103 - PWR 220 ANT FRAME TO PS1"</f>
        <v>1041G103-001 W103 - PWR 220 ANT FRAME TO PS1</v>
      </c>
      <c r="L1040">
        <v>1</v>
      </c>
      <c r="M1040" t="str">
        <f>"PR21000080"</f>
        <v>PR21000080</v>
      </c>
      <c r="N1040" t="str">
        <f>"W103 - PWR 220 ANT FRAME TO PS1"</f>
        <v>W103 - PWR 220 ANT FRAME TO PS1</v>
      </c>
      <c r="O1040">
        <v>544.41</v>
      </c>
      <c r="P1040" t="str">
        <f>"$"</f>
        <v>$</v>
      </c>
      <c r="Q1040" t="str">
        <f>"117"</f>
        <v>117</v>
      </c>
      <c r="R1040" t="str">
        <f>"רתמות"</f>
        <v>רתמות</v>
      </c>
      <c r="S1040" t="str">
        <f>"034"</f>
        <v>034</v>
      </c>
      <c r="T1040" t="str">
        <f>"גנם הודיה"</f>
        <v>גנם הודיה</v>
      </c>
      <c r="U1040">
        <v>0</v>
      </c>
      <c r="V1040">
        <v>0</v>
      </c>
      <c r="W1040">
        <v>544.41</v>
      </c>
      <c r="X1040">
        <v>544.41</v>
      </c>
      <c r="Z1040" t="str">
        <f>"Y"</f>
        <v>Y</v>
      </c>
      <c r="AA1040">
        <v>0</v>
      </c>
      <c r="AC1040">
        <v>0</v>
      </c>
      <c r="AE1040">
        <v>0</v>
      </c>
      <c r="AF1040">
        <v>0</v>
      </c>
      <c r="AG1040" s="2">
        <v>1759.53</v>
      </c>
      <c r="AH1040">
        <v>0</v>
      </c>
      <c r="AI1040" s="2">
        <v>1759.53</v>
      </c>
      <c r="AJ1040">
        <v>544.41</v>
      </c>
      <c r="AK1040">
        <v>544.41</v>
      </c>
      <c r="AL1040" t="str">
        <f>"$"</f>
        <v>$</v>
      </c>
    </row>
    <row r="1041" spans="1:38" x14ac:dyDescent="0.3">
      <c r="A1041" t="str">
        <f>"SO21000025"</f>
        <v>SO21000025</v>
      </c>
      <c r="B1041" t="str">
        <f>"E000327150"</f>
        <v>E000327150</v>
      </c>
      <c r="C1041" t="str">
        <f>"בוצעה"</f>
        <v>בוצעה</v>
      </c>
      <c r="E1041" s="3">
        <v>44215</v>
      </c>
      <c r="F1041" s="3">
        <v>44377</v>
      </c>
      <c r="G1041" t="str">
        <f>"700065"</f>
        <v>700065</v>
      </c>
      <c r="H1041" t="str">
        <f>"אלתא מערכות בע""מ"</f>
        <v>אלתא מערכות בע"מ</v>
      </c>
      <c r="I1041" t="str">
        <f>"ערן שלו"</f>
        <v>ערן שלו</v>
      </c>
      <c r="J1041" t="str">
        <f>"OP-AR01617"</f>
        <v>OP-AR01617</v>
      </c>
      <c r="K1041" s="1" t="str">
        <f>"1041G104-001 W104 - PWR 220 ANT FRAME TO PS2"</f>
        <v>1041G104-001 W104 - PWR 220 ANT FRAME TO PS2</v>
      </c>
      <c r="L1041">
        <v>1</v>
      </c>
      <c r="M1041" t="str">
        <f>"PR21000080"</f>
        <v>PR21000080</v>
      </c>
      <c r="N1041" t="str">
        <f>"W103 - PWR 220 ANT FRAME TO PS1"</f>
        <v>W103 - PWR 220 ANT FRAME TO PS1</v>
      </c>
      <c r="O1041">
        <v>544.41</v>
      </c>
      <c r="P1041" t="str">
        <f>"$"</f>
        <v>$</v>
      </c>
      <c r="Q1041" t="str">
        <f>"117"</f>
        <v>117</v>
      </c>
      <c r="R1041" t="str">
        <f>"רתמות"</f>
        <v>רתמות</v>
      </c>
      <c r="S1041" t="str">
        <f>"034"</f>
        <v>034</v>
      </c>
      <c r="T1041" t="str">
        <f>"גנם הודיה"</f>
        <v>גנם הודיה</v>
      </c>
      <c r="U1041">
        <v>0</v>
      </c>
      <c r="V1041">
        <v>0</v>
      </c>
      <c r="W1041">
        <v>544.41</v>
      </c>
      <c r="X1041">
        <v>544.41</v>
      </c>
      <c r="Z1041" t="str">
        <f>"Y"</f>
        <v>Y</v>
      </c>
      <c r="AA1041">
        <v>0</v>
      </c>
      <c r="AC1041">
        <v>0</v>
      </c>
      <c r="AE1041">
        <v>0</v>
      </c>
      <c r="AF1041">
        <v>0</v>
      </c>
      <c r="AG1041" s="2">
        <v>1759.53</v>
      </c>
      <c r="AH1041">
        <v>0</v>
      </c>
      <c r="AI1041" s="2">
        <v>1759.53</v>
      </c>
      <c r="AJ1041">
        <v>544.41</v>
      </c>
      <c r="AK1041">
        <v>544.41</v>
      </c>
      <c r="AL1041" t="str">
        <f>"$"</f>
        <v>$</v>
      </c>
    </row>
    <row r="1042" spans="1:38" x14ac:dyDescent="0.3">
      <c r="A1042" t="str">
        <f>"SO21000025"</f>
        <v>SO21000025</v>
      </c>
      <c r="B1042" t="str">
        <f>"E000327150"</f>
        <v>E000327150</v>
      </c>
      <c r="C1042" t="str">
        <f>"בוצעה"</f>
        <v>בוצעה</v>
      </c>
      <c r="E1042" s="3">
        <v>44215</v>
      </c>
      <c r="F1042" s="3">
        <v>44377</v>
      </c>
      <c r="G1042" t="str">
        <f>"700065"</f>
        <v>700065</v>
      </c>
      <c r="H1042" t="str">
        <f>"אלתא מערכות בע""מ"</f>
        <v>אלתא מערכות בע"מ</v>
      </c>
      <c r="I1042" t="str">
        <f>"ערן שלו"</f>
        <v>ערן שלו</v>
      </c>
      <c r="J1042" t="str">
        <f>"OP-AR02238"</f>
        <v>OP-AR02238</v>
      </c>
      <c r="K1042" s="1" t="str">
        <f>"1041G105-001  HARNESS W105 - GROUND - ANTENNA PA"</f>
        <v>1041G105-001  HARNESS W105 - GROUND - ANTENNA PA</v>
      </c>
      <c r="L1042">
        <v>2</v>
      </c>
      <c r="M1042" t="str">
        <f>"PR21000080"</f>
        <v>PR21000080</v>
      </c>
      <c r="N1042" t="str">
        <f>"W103 - PWR 220 ANT FRAME TO PS1"</f>
        <v>W103 - PWR 220 ANT FRAME TO PS1</v>
      </c>
      <c r="O1042">
        <v>132.34</v>
      </c>
      <c r="P1042" t="str">
        <f>"$"</f>
        <v>$</v>
      </c>
      <c r="Q1042" t="str">
        <f>"117"</f>
        <v>117</v>
      </c>
      <c r="R1042" t="str">
        <f>"רתמות"</f>
        <v>רתמות</v>
      </c>
      <c r="S1042" t="str">
        <f>"034"</f>
        <v>034</v>
      </c>
      <c r="T1042" t="str">
        <f>"גנם הודיה"</f>
        <v>גנם הודיה</v>
      </c>
      <c r="U1042">
        <v>0</v>
      </c>
      <c r="V1042">
        <v>0</v>
      </c>
      <c r="W1042">
        <v>132.34</v>
      </c>
      <c r="X1042">
        <v>264.68</v>
      </c>
      <c r="Z1042" t="str">
        <f>"Y"</f>
        <v>Y</v>
      </c>
      <c r="AA1042">
        <v>0</v>
      </c>
      <c r="AC1042">
        <v>0</v>
      </c>
      <c r="AE1042">
        <v>0</v>
      </c>
      <c r="AF1042">
        <v>0</v>
      </c>
      <c r="AG1042">
        <v>427.72</v>
      </c>
      <c r="AH1042">
        <v>0</v>
      </c>
      <c r="AI1042">
        <v>855.45</v>
      </c>
      <c r="AJ1042">
        <v>264.68</v>
      </c>
      <c r="AK1042">
        <v>264.68</v>
      </c>
      <c r="AL1042" t="str">
        <f>"$"</f>
        <v>$</v>
      </c>
    </row>
    <row r="1043" spans="1:38" x14ac:dyDescent="0.3">
      <c r="A1043" t="str">
        <f>"SO21000025"</f>
        <v>SO21000025</v>
      </c>
      <c r="B1043" t="str">
        <f>"E000327150"</f>
        <v>E000327150</v>
      </c>
      <c r="C1043" t="str">
        <f>"בוצעה"</f>
        <v>בוצעה</v>
      </c>
      <c r="E1043" s="3">
        <v>44215</v>
      </c>
      <c r="F1043" s="3">
        <v>44377</v>
      </c>
      <c r="G1043" t="str">
        <f>"700065"</f>
        <v>700065</v>
      </c>
      <c r="H1043" t="str">
        <f>"אלתא מערכות בע""מ"</f>
        <v>אלתא מערכות בע"מ</v>
      </c>
      <c r="I1043" t="str">
        <f>"ערן שלו"</f>
        <v>ערן שלו</v>
      </c>
      <c r="J1043" t="str">
        <f>"PA1001801"</f>
        <v>PA1001801</v>
      </c>
      <c r="K1043" s="1" t="str">
        <f>"RAYBLOCK-105KIT0105-A"</f>
        <v>RAYBLOCK-105KIT0105-A</v>
      </c>
      <c r="L1043">
        <v>900</v>
      </c>
      <c r="M1043" t="str">
        <f>"PR21000080"</f>
        <v>PR21000080</v>
      </c>
      <c r="N1043" t="str">
        <f>"W103 - PWR 220 ANT FRAME TO PS1"</f>
        <v>W103 - PWR 220 ANT FRAME TO PS1</v>
      </c>
      <c r="O1043">
        <v>0.43</v>
      </c>
      <c r="P1043" t="str">
        <f>"$"</f>
        <v>$</v>
      </c>
      <c r="Q1043" t="str">
        <f>"117"</f>
        <v>117</v>
      </c>
      <c r="R1043" t="str">
        <f>"רתמות"</f>
        <v>רתמות</v>
      </c>
      <c r="S1043" t="str">
        <f>"034"</f>
        <v>034</v>
      </c>
      <c r="T1043" t="str">
        <f>"גנם הודיה"</f>
        <v>גנם הודיה</v>
      </c>
      <c r="U1043">
        <v>0</v>
      </c>
      <c r="V1043">
        <v>0</v>
      </c>
      <c r="W1043">
        <v>0.43</v>
      </c>
      <c r="X1043">
        <v>387</v>
      </c>
      <c r="Z1043" t="str">
        <f>"Y"</f>
        <v>Y</v>
      </c>
      <c r="AA1043">
        <v>0</v>
      </c>
      <c r="AC1043">
        <v>0</v>
      </c>
      <c r="AE1043">
        <v>0</v>
      </c>
      <c r="AF1043">
        <v>0</v>
      </c>
      <c r="AG1043">
        <v>1.39</v>
      </c>
      <c r="AH1043">
        <v>0</v>
      </c>
      <c r="AI1043" s="2">
        <v>1250.78</v>
      </c>
      <c r="AJ1043">
        <v>387</v>
      </c>
      <c r="AK1043">
        <v>387</v>
      </c>
      <c r="AL1043" t="str">
        <f>"$"</f>
        <v>$</v>
      </c>
    </row>
    <row r="1044" spans="1:38" x14ac:dyDescent="0.3">
      <c r="A1044" t="str">
        <f>"SO21000025"</f>
        <v>SO21000025</v>
      </c>
      <c r="B1044" t="str">
        <f>"E000327150"</f>
        <v>E000327150</v>
      </c>
      <c r="C1044" t="str">
        <f>"בוצעה"</f>
        <v>בוצעה</v>
      </c>
      <c r="E1044" s="3">
        <v>44215</v>
      </c>
      <c r="F1044" s="3">
        <v>44377</v>
      </c>
      <c r="G1044" t="str">
        <f>"700065"</f>
        <v>700065</v>
      </c>
      <c r="H1044" t="str">
        <f>"אלתא מערכות בע""מ"</f>
        <v>אלתא מערכות בע"מ</v>
      </c>
      <c r="I1044" t="str">
        <f>"ערן שלו"</f>
        <v>ערן שלו</v>
      </c>
      <c r="J1044" t="str">
        <f>"PA1001188"</f>
        <v>PA1001188</v>
      </c>
      <c r="K1044" s="1" t="str">
        <f>"CABLE 8# M22759/41-8-9"</f>
        <v>CABLE 8# M22759/41-8-9</v>
      </c>
      <c r="L1044">
        <v>68</v>
      </c>
      <c r="M1044" t="str">
        <f>"PR21000080"</f>
        <v>PR21000080</v>
      </c>
      <c r="N1044" t="str">
        <f>"W103 - PWR 220 ANT FRAME TO PS1"</f>
        <v>W103 - PWR 220 ANT FRAME TO PS1</v>
      </c>
      <c r="O1044">
        <v>0</v>
      </c>
      <c r="P1044" t="str">
        <f>"$"</f>
        <v>$</v>
      </c>
      <c r="Q1044" t="str">
        <f>"117"</f>
        <v>117</v>
      </c>
      <c r="R1044" t="str">
        <f>"רתמות"</f>
        <v>רתמות</v>
      </c>
      <c r="S1044" t="str">
        <f>"034"</f>
        <v>034</v>
      </c>
      <c r="T1044" t="str">
        <f>"גנם הודיה"</f>
        <v>גנם הודיה</v>
      </c>
      <c r="U1044">
        <v>0</v>
      </c>
      <c r="V1044">
        <v>0</v>
      </c>
      <c r="W1044">
        <v>0</v>
      </c>
      <c r="X1044">
        <v>0</v>
      </c>
      <c r="Z1044" t="str">
        <f>"Y"</f>
        <v>Y</v>
      </c>
      <c r="AA1044">
        <v>68</v>
      </c>
      <c r="AC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 t="str">
        <f>"$"</f>
        <v>$</v>
      </c>
    </row>
    <row r="1045" spans="1:38" x14ac:dyDescent="0.3">
      <c r="A1045" t="str">
        <f>"SO21000036"</f>
        <v>SO21000036</v>
      </c>
      <c r="B1045" t="str">
        <f>"E000330617"</f>
        <v>E000330617</v>
      </c>
      <c r="C1045" t="str">
        <f>"בוצעה"</f>
        <v>בוצעה</v>
      </c>
      <c r="E1045" s="3">
        <v>44217</v>
      </c>
      <c r="F1045" s="3">
        <v>44296</v>
      </c>
      <c r="G1045" t="str">
        <f>"700065"</f>
        <v>700065</v>
      </c>
      <c r="H1045" t="str">
        <f>"אלתא מערכות בע""מ"</f>
        <v>אלתא מערכות בע"מ</v>
      </c>
      <c r="I1045" t="str">
        <f>"ערן שלו"</f>
        <v>ערן שלו</v>
      </c>
      <c r="J1045" t="str">
        <f>"OP-AR02243"</f>
        <v>OP-AR02243</v>
      </c>
      <c r="K1045" s="1" t="str">
        <f>"2211B044-001   WSTRU CABLE ASSY"</f>
        <v>2211B044-001   WSTRU CABLE ASSY</v>
      </c>
      <c r="L1045">
        <v>2</v>
      </c>
      <c r="M1045" t="str">
        <f>"PR21000070"</f>
        <v>PR21000070</v>
      </c>
      <c r="N1045" t="str">
        <f>"WSTRU CABLE ASSY"</f>
        <v>WSTRU CABLE ASSY</v>
      </c>
      <c r="O1045">
        <v>324.72000000000003</v>
      </c>
      <c r="P1045" t="str">
        <f>"$"</f>
        <v>$</v>
      </c>
      <c r="Q1045" t="str">
        <f>"117"</f>
        <v>117</v>
      </c>
      <c r="R1045" t="str">
        <f>"רתמות"</f>
        <v>רתמות</v>
      </c>
      <c r="S1045" t="str">
        <f>"034"</f>
        <v>034</v>
      </c>
      <c r="T1045" t="str">
        <f>"גנם הודיה"</f>
        <v>גנם הודיה</v>
      </c>
      <c r="U1045">
        <v>0</v>
      </c>
      <c r="V1045">
        <v>0</v>
      </c>
      <c r="W1045">
        <v>324.72000000000003</v>
      </c>
      <c r="X1045">
        <v>649.44000000000005</v>
      </c>
      <c r="Z1045" t="str">
        <f>"Y"</f>
        <v>Y</v>
      </c>
      <c r="AA1045">
        <v>0</v>
      </c>
      <c r="AC1045">
        <v>0</v>
      </c>
      <c r="AE1045">
        <v>0</v>
      </c>
      <c r="AF1045">
        <v>0</v>
      </c>
      <c r="AG1045" s="2">
        <v>1056.6400000000001</v>
      </c>
      <c r="AH1045">
        <v>0</v>
      </c>
      <c r="AI1045" s="2">
        <v>2113.2800000000002</v>
      </c>
      <c r="AJ1045">
        <v>649.44000000000005</v>
      </c>
      <c r="AK1045">
        <v>649.44000000000005</v>
      </c>
      <c r="AL1045" t="str">
        <f>"$"</f>
        <v>$</v>
      </c>
    </row>
    <row r="1046" spans="1:38" x14ac:dyDescent="0.3">
      <c r="A1046" t="str">
        <f>"SO21000036"</f>
        <v>SO21000036</v>
      </c>
      <c r="B1046" t="str">
        <f>"E000330617"</f>
        <v>E000330617</v>
      </c>
      <c r="C1046" t="str">
        <f>"בוצעה"</f>
        <v>בוצעה</v>
      </c>
      <c r="E1046" s="3">
        <v>44217</v>
      </c>
      <c r="F1046" s="3">
        <v>44296</v>
      </c>
      <c r="G1046" t="str">
        <f>"700065"</f>
        <v>700065</v>
      </c>
      <c r="H1046" t="str">
        <f>"אלתא מערכות בע""מ"</f>
        <v>אלתא מערכות בע"מ</v>
      </c>
      <c r="I1046" t="str">
        <f>"ערן שלו"</f>
        <v>ערן שלו</v>
      </c>
      <c r="J1046" t="str">
        <f>"OP-AR02244"</f>
        <v>OP-AR02244</v>
      </c>
      <c r="K1046" s="1" t="str">
        <f>"2211B157-001   CFW07 CU ADAPTER SELFTEST CABLE A"</f>
        <v>2211B157-001   CFW07 CU ADAPTER SELFTEST CABLE A</v>
      </c>
      <c r="L1046">
        <v>2</v>
      </c>
      <c r="M1046" t="str">
        <f>"PR21000070"</f>
        <v>PR21000070</v>
      </c>
      <c r="N1046" t="str">
        <f>"WSTRU CABLE ASSY"</f>
        <v>WSTRU CABLE ASSY</v>
      </c>
      <c r="O1046">
        <v>694.65</v>
      </c>
      <c r="P1046" t="str">
        <f>"$"</f>
        <v>$</v>
      </c>
      <c r="Q1046" t="str">
        <f>"117"</f>
        <v>117</v>
      </c>
      <c r="R1046" t="str">
        <f>"רתמות"</f>
        <v>רתמות</v>
      </c>
      <c r="S1046" t="str">
        <f>"034"</f>
        <v>034</v>
      </c>
      <c r="T1046" t="str">
        <f>"גנם הודיה"</f>
        <v>גנם הודיה</v>
      </c>
      <c r="U1046">
        <v>0</v>
      </c>
      <c r="V1046">
        <v>0</v>
      </c>
      <c r="W1046">
        <v>694.65</v>
      </c>
      <c r="X1046" s="2">
        <v>1389.3</v>
      </c>
      <c r="Z1046" t="str">
        <f>"Y"</f>
        <v>Y</v>
      </c>
      <c r="AA1046">
        <v>0</v>
      </c>
      <c r="AC1046">
        <v>0</v>
      </c>
      <c r="AE1046">
        <v>0</v>
      </c>
      <c r="AF1046">
        <v>0</v>
      </c>
      <c r="AG1046" s="2">
        <v>2260.39</v>
      </c>
      <c r="AH1046">
        <v>0</v>
      </c>
      <c r="AI1046" s="2">
        <v>4520.78</v>
      </c>
      <c r="AJ1046" s="2">
        <v>1389.3</v>
      </c>
      <c r="AK1046" s="2">
        <v>1389.3</v>
      </c>
      <c r="AL1046" t="str">
        <f>"$"</f>
        <v>$</v>
      </c>
    </row>
    <row r="1047" spans="1:38" x14ac:dyDescent="0.3">
      <c r="A1047" t="str">
        <f>"SO21000036"</f>
        <v>SO21000036</v>
      </c>
      <c r="B1047" t="str">
        <f>"E000330617"</f>
        <v>E000330617</v>
      </c>
      <c r="C1047" t="str">
        <f>"בוצעה"</f>
        <v>בוצעה</v>
      </c>
      <c r="E1047" s="3">
        <v>44217</v>
      </c>
      <c r="F1047" s="3">
        <v>44296</v>
      </c>
      <c r="G1047" t="str">
        <f>"700065"</f>
        <v>700065</v>
      </c>
      <c r="H1047" t="str">
        <f>"אלתא מערכות בע""מ"</f>
        <v>אלתא מערכות בע"מ</v>
      </c>
      <c r="I1047" t="str">
        <f>"ערן שלו"</f>
        <v>ערן שלו</v>
      </c>
      <c r="J1047" t="str">
        <f>"OP-AR02245"</f>
        <v>OP-AR02245</v>
      </c>
      <c r="K1047" s="1" t="str">
        <f>"2211B248-001   SELFTEST CABLE"</f>
        <v>2211B248-001   SELFTEST CABLE</v>
      </c>
      <c r="L1047">
        <v>2</v>
      </c>
      <c r="M1047" t="str">
        <f>"PR21000070"</f>
        <v>PR21000070</v>
      </c>
      <c r="N1047" t="str">
        <f>"WSTRU CABLE ASSY"</f>
        <v>WSTRU CABLE ASSY</v>
      </c>
      <c r="O1047">
        <v>593.44000000000005</v>
      </c>
      <c r="P1047" t="str">
        <f>"$"</f>
        <v>$</v>
      </c>
      <c r="Q1047" t="str">
        <f>"117"</f>
        <v>117</v>
      </c>
      <c r="R1047" t="str">
        <f>"רתמות"</f>
        <v>רתמות</v>
      </c>
      <c r="S1047" t="str">
        <f>"034"</f>
        <v>034</v>
      </c>
      <c r="T1047" t="str">
        <f>"גנם הודיה"</f>
        <v>גנם הודיה</v>
      </c>
      <c r="U1047">
        <v>0</v>
      </c>
      <c r="V1047">
        <v>0</v>
      </c>
      <c r="W1047">
        <v>593.44000000000005</v>
      </c>
      <c r="X1047" s="2">
        <v>1186.8800000000001</v>
      </c>
      <c r="Z1047" t="str">
        <f>"Y"</f>
        <v>Y</v>
      </c>
      <c r="AA1047">
        <v>0</v>
      </c>
      <c r="AC1047">
        <v>0</v>
      </c>
      <c r="AE1047">
        <v>0</v>
      </c>
      <c r="AF1047">
        <v>0</v>
      </c>
      <c r="AG1047" s="2">
        <v>1931.05</v>
      </c>
      <c r="AH1047">
        <v>0</v>
      </c>
      <c r="AI1047" s="2">
        <v>3862.11</v>
      </c>
      <c r="AJ1047" s="2">
        <v>1186.8800000000001</v>
      </c>
      <c r="AK1047" s="2">
        <v>1186.8800000000001</v>
      </c>
      <c r="AL1047" t="str">
        <f>"$"</f>
        <v>$</v>
      </c>
    </row>
    <row r="1048" spans="1:38" x14ac:dyDescent="0.3">
      <c r="A1048" t="str">
        <f>"SO21000036"</f>
        <v>SO21000036</v>
      </c>
      <c r="B1048" t="str">
        <f>"E000330617"</f>
        <v>E000330617</v>
      </c>
      <c r="C1048" t="str">
        <f>"בוצעה"</f>
        <v>בוצעה</v>
      </c>
      <c r="E1048" s="3">
        <v>44217</v>
      </c>
      <c r="F1048" s="3">
        <v>44357</v>
      </c>
      <c r="G1048" t="str">
        <f>"700065"</f>
        <v>700065</v>
      </c>
      <c r="H1048" t="str">
        <f>"אלתא מערכות בע""מ"</f>
        <v>אלתא מערכות בע"מ</v>
      </c>
      <c r="I1048" t="str">
        <f>"ערן שלו"</f>
        <v>ערן שלו</v>
      </c>
      <c r="J1048" t="str">
        <f>"OP-AR02246"</f>
        <v>OP-AR02246</v>
      </c>
      <c r="K1048" s="1" t="str">
        <f>"1033A201-001   HARNESS W0001 - POWER - MAIN"</f>
        <v>1033A201-001   HARNESS W0001 - POWER - MAIN</v>
      </c>
      <c r="L1048">
        <v>2</v>
      </c>
      <c r="M1048" t="str">
        <f>"PR21000070"</f>
        <v>PR21000070</v>
      </c>
      <c r="N1048" t="str">
        <f>"WSTRU CABLE ASSY"</f>
        <v>WSTRU CABLE ASSY</v>
      </c>
      <c r="O1048" s="2">
        <v>1399.02</v>
      </c>
      <c r="P1048" t="str">
        <f>"$"</f>
        <v>$</v>
      </c>
      <c r="Q1048" t="str">
        <f>"117"</f>
        <v>117</v>
      </c>
      <c r="R1048" t="str">
        <f>"רתמות"</f>
        <v>רתמות</v>
      </c>
      <c r="S1048" t="str">
        <f>"034"</f>
        <v>034</v>
      </c>
      <c r="T1048" t="str">
        <f>"גנם הודיה"</f>
        <v>גנם הודיה</v>
      </c>
      <c r="U1048">
        <v>0</v>
      </c>
      <c r="V1048">
        <v>0</v>
      </c>
      <c r="W1048" s="2">
        <v>1399.02</v>
      </c>
      <c r="X1048" s="2">
        <v>2798.04</v>
      </c>
      <c r="Z1048" t="str">
        <f>"Y"</f>
        <v>Y</v>
      </c>
      <c r="AA1048">
        <v>0</v>
      </c>
      <c r="AC1048">
        <v>0</v>
      </c>
      <c r="AE1048">
        <v>0</v>
      </c>
      <c r="AF1048">
        <v>0</v>
      </c>
      <c r="AG1048" s="2">
        <v>4552.41</v>
      </c>
      <c r="AH1048">
        <v>0</v>
      </c>
      <c r="AI1048" s="2">
        <v>9104.82</v>
      </c>
      <c r="AJ1048" s="2">
        <v>2798.04</v>
      </c>
      <c r="AK1048" s="2">
        <v>2798.04</v>
      </c>
      <c r="AL1048" t="str">
        <f>"$"</f>
        <v>$</v>
      </c>
    </row>
    <row r="1049" spans="1:38" x14ac:dyDescent="0.3">
      <c r="A1049" t="str">
        <f>"SO21000038"</f>
        <v>SO21000038</v>
      </c>
      <c r="B1049" t="str">
        <f>"E000331155"</f>
        <v>E000331155</v>
      </c>
      <c r="C1049" t="str">
        <f>"בוצעה"</f>
        <v>בוצעה</v>
      </c>
      <c r="E1049" s="3">
        <v>44217</v>
      </c>
      <c r="F1049" s="3">
        <v>44382</v>
      </c>
      <c r="G1049" t="str">
        <f>"700065"</f>
        <v>700065</v>
      </c>
      <c r="H1049" t="str">
        <f>"אלתא מערכות בע""מ"</f>
        <v>אלתא מערכות בע"מ</v>
      </c>
      <c r="I1049" t="str">
        <f>"ערן שלו"</f>
        <v>ערן שלו</v>
      </c>
      <c r="J1049" t="str">
        <f>"OP-AR02241"</f>
        <v>OP-AR02241</v>
      </c>
      <c r="K1049" s="1" t="str">
        <f>"1037M832-001   FAN BASE WIRING"</f>
        <v>1037M832-001   FAN BASE WIRING</v>
      </c>
      <c r="L1049">
        <v>5</v>
      </c>
      <c r="M1049" t="str">
        <f>"PR21000083"</f>
        <v>PR21000083</v>
      </c>
      <c r="N1049" t="str">
        <f>"FAN BASE WIRING"</f>
        <v>FAN BASE WIRING</v>
      </c>
      <c r="O1049">
        <v>975.59</v>
      </c>
      <c r="P1049" t="str">
        <f>"$"</f>
        <v>$</v>
      </c>
      <c r="Q1049" t="str">
        <f>"117"</f>
        <v>117</v>
      </c>
      <c r="R1049" t="str">
        <f>"רתמות"</f>
        <v>רתמות</v>
      </c>
      <c r="S1049" t="str">
        <f>"034"</f>
        <v>034</v>
      </c>
      <c r="T1049" t="str">
        <f>"גנם הודיה"</f>
        <v>גנם הודיה</v>
      </c>
      <c r="U1049">
        <v>0</v>
      </c>
      <c r="V1049">
        <v>0</v>
      </c>
      <c r="W1049">
        <v>975.59</v>
      </c>
      <c r="X1049" s="2">
        <v>4877.95</v>
      </c>
      <c r="Z1049" t="str">
        <f>"Y"</f>
        <v>Y</v>
      </c>
      <c r="AA1049">
        <v>0</v>
      </c>
      <c r="AC1049">
        <v>0</v>
      </c>
      <c r="AE1049">
        <v>0</v>
      </c>
      <c r="AF1049">
        <v>0</v>
      </c>
      <c r="AG1049" s="2">
        <v>3174.57</v>
      </c>
      <c r="AH1049">
        <v>0</v>
      </c>
      <c r="AI1049" s="2">
        <v>15872.85</v>
      </c>
      <c r="AJ1049" s="2">
        <v>4877.95</v>
      </c>
      <c r="AK1049" s="2">
        <v>4877.95</v>
      </c>
      <c r="AL1049" t="str">
        <f>"$"</f>
        <v>$</v>
      </c>
    </row>
    <row r="1050" spans="1:38" x14ac:dyDescent="0.3">
      <c r="A1050" t="str">
        <f>"SO21000038"</f>
        <v>SO21000038</v>
      </c>
      <c r="B1050" t="str">
        <f>"E000331155"</f>
        <v>E000331155</v>
      </c>
      <c r="C1050" t="str">
        <f>"בוצעה"</f>
        <v>בוצעה</v>
      </c>
      <c r="E1050" s="3">
        <v>44217</v>
      </c>
      <c r="F1050" s="3">
        <v>44382</v>
      </c>
      <c r="G1050" t="str">
        <f>"700065"</f>
        <v>700065</v>
      </c>
      <c r="H1050" t="str">
        <f>"אלתא מערכות בע""מ"</f>
        <v>אלתא מערכות בע"מ</v>
      </c>
      <c r="I1050" t="str">
        <f>"ערן שלו"</f>
        <v>ערן שלו</v>
      </c>
      <c r="J1050" t="str">
        <f>"OP-AR02242"</f>
        <v>OP-AR02242</v>
      </c>
      <c r="K1050" s="1" t="str">
        <f>"1094F817-001   CABLE W7"</f>
        <v>1094F817-001   CABLE W7</v>
      </c>
      <c r="L1050">
        <v>4</v>
      </c>
      <c r="M1050" t="str">
        <f>"PR21000083"</f>
        <v>PR21000083</v>
      </c>
      <c r="N1050" t="str">
        <f>"FAN BASE WIRING"</f>
        <v>FAN BASE WIRING</v>
      </c>
      <c r="O1050">
        <v>791.52</v>
      </c>
      <c r="P1050" t="str">
        <f>"$"</f>
        <v>$</v>
      </c>
      <c r="Q1050" t="str">
        <f>"117"</f>
        <v>117</v>
      </c>
      <c r="R1050" t="str">
        <f>"רתמות"</f>
        <v>רתמות</v>
      </c>
      <c r="S1050" t="str">
        <f>"034"</f>
        <v>034</v>
      </c>
      <c r="T1050" t="str">
        <f>"גנם הודיה"</f>
        <v>גנם הודיה</v>
      </c>
      <c r="U1050">
        <v>0</v>
      </c>
      <c r="V1050">
        <v>0</v>
      </c>
      <c r="W1050">
        <v>791.52</v>
      </c>
      <c r="X1050" s="2">
        <v>3166.08</v>
      </c>
      <c r="Z1050" t="str">
        <f>"Y"</f>
        <v>Y</v>
      </c>
      <c r="AA1050">
        <v>0</v>
      </c>
      <c r="AC1050">
        <v>0</v>
      </c>
      <c r="AE1050">
        <v>0</v>
      </c>
      <c r="AF1050">
        <v>0</v>
      </c>
      <c r="AG1050" s="2">
        <v>2575.61</v>
      </c>
      <c r="AH1050">
        <v>0</v>
      </c>
      <c r="AI1050" s="2">
        <v>10302.42</v>
      </c>
      <c r="AJ1050" s="2">
        <v>3166.08</v>
      </c>
      <c r="AK1050" s="2">
        <v>3166.08</v>
      </c>
      <c r="AL1050" t="str">
        <f>"$"</f>
        <v>$</v>
      </c>
    </row>
    <row r="1051" spans="1:38" x14ac:dyDescent="0.3">
      <c r="A1051" t="str">
        <f>"SO21000046"</f>
        <v>SO21000046</v>
      </c>
      <c r="B1051" t="str">
        <f>"E000331379"</f>
        <v>E000331379</v>
      </c>
      <c r="C1051" t="str">
        <f>"בוצעה"</f>
        <v>בוצעה</v>
      </c>
      <c r="E1051" s="3">
        <v>44222</v>
      </c>
      <c r="F1051" s="3">
        <v>44560</v>
      </c>
      <c r="G1051" t="str">
        <f>"700065"</f>
        <v>700065</v>
      </c>
      <c r="H1051" t="str">
        <f>"אלתא מערכות בע""מ"</f>
        <v>אלתא מערכות בע"מ</v>
      </c>
      <c r="I1051" t="str">
        <f>"רוני דידי"</f>
        <v>רוני דידי</v>
      </c>
      <c r="J1051" t="str">
        <f>"000"</f>
        <v>000</v>
      </c>
      <c r="K1051" s="1" t="str">
        <f>"ניסוי חשמל באתר"</f>
        <v>ניסוי חשמל באתר</v>
      </c>
      <c r="L1051">
        <v>1</v>
      </c>
      <c r="M1051" t="str">
        <f>"PR20000904"</f>
        <v>PR20000904</v>
      </c>
      <c r="N1051" t="str">
        <f>"הארכת כבל טל שמיים"</f>
        <v>הארכת כבל טל שמיים</v>
      </c>
      <c r="O1051" s="2">
        <v>2300</v>
      </c>
      <c r="P1051" t="str">
        <f>"$"</f>
        <v>$</v>
      </c>
      <c r="Q1051" t="str">
        <f>"000"</f>
        <v>000</v>
      </c>
      <c r="R1051" t="str">
        <f>"כללית"</f>
        <v>כללית</v>
      </c>
      <c r="S1051" t="str">
        <f>"007"</f>
        <v>007</v>
      </c>
      <c r="T1051" t="str">
        <f>"גנם הודיה"</f>
        <v>גנם הודיה</v>
      </c>
      <c r="U1051">
        <v>0</v>
      </c>
      <c r="V1051">
        <v>0</v>
      </c>
      <c r="W1051" s="2">
        <v>2300</v>
      </c>
      <c r="X1051" s="2">
        <v>2300</v>
      </c>
      <c r="Z1051" t="str">
        <f>"Y"</f>
        <v>Y</v>
      </c>
      <c r="AA1051">
        <v>1</v>
      </c>
      <c r="AC1051">
        <v>0</v>
      </c>
      <c r="AE1051">
        <v>0</v>
      </c>
      <c r="AF1051">
        <v>0</v>
      </c>
      <c r="AG1051" s="2">
        <v>7516.4</v>
      </c>
      <c r="AH1051">
        <v>0</v>
      </c>
      <c r="AI1051" s="2">
        <v>7516.4</v>
      </c>
      <c r="AJ1051" s="2">
        <v>2300</v>
      </c>
      <c r="AK1051" s="2">
        <v>2300</v>
      </c>
      <c r="AL1051" t="str">
        <f>"$"</f>
        <v>$</v>
      </c>
    </row>
    <row r="1052" spans="1:38" x14ac:dyDescent="0.3">
      <c r="A1052" t="str">
        <f>"SO21000047"</f>
        <v>SO21000047</v>
      </c>
      <c r="B1052" t="str">
        <f>"E000331114"</f>
        <v>E000331114</v>
      </c>
      <c r="C1052" t="str">
        <f>"בוצעה"</f>
        <v>בוצעה</v>
      </c>
      <c r="E1052" s="3">
        <v>44222</v>
      </c>
      <c r="F1052" s="3">
        <v>44321</v>
      </c>
      <c r="G1052" t="str">
        <f>"700065"</f>
        <v>700065</v>
      </c>
      <c r="H1052" t="str">
        <f>"אלתא מערכות בע""מ"</f>
        <v>אלתא מערכות בע"מ</v>
      </c>
      <c r="I1052" t="str">
        <f>"ערן שלו"</f>
        <v>ערן שלו</v>
      </c>
      <c r="J1052" t="str">
        <f>"OP-KT00111"</f>
        <v>OP-KT00111</v>
      </c>
      <c r="K1052" s="1" t="str">
        <f>"1038U965-001 SPARE PARTS FOR CU PDU"</f>
        <v>1038U965-001 SPARE PARTS FOR CU PDU</v>
      </c>
      <c r="L1052">
        <v>1</v>
      </c>
      <c r="M1052" t="str">
        <f>"PR21000098"</f>
        <v>PR21000098</v>
      </c>
      <c r="N1052" t="str">
        <f>"חלקי חילוף CU PDU וליטא"</f>
        <v>חלקי חילוף CU PDU וליטא</v>
      </c>
      <c r="O1052">
        <v>0</v>
      </c>
      <c r="P1052" t="str">
        <f>"$"</f>
        <v>$</v>
      </c>
      <c r="Q1052" t="str">
        <f>"000"</f>
        <v>000</v>
      </c>
      <c r="R1052" t="str">
        <f>"כללית"</f>
        <v>כללית</v>
      </c>
      <c r="S1052" t="str">
        <f>"034"</f>
        <v>034</v>
      </c>
      <c r="T1052" t="str">
        <f>"גנם הודיה"</f>
        <v>גנם הודיה</v>
      </c>
      <c r="U1052">
        <v>0</v>
      </c>
      <c r="V1052">
        <v>0</v>
      </c>
      <c r="W1052">
        <v>0</v>
      </c>
      <c r="X1052">
        <v>0</v>
      </c>
      <c r="Z1052" t="str">
        <f>"Y"</f>
        <v>Y</v>
      </c>
      <c r="AA1052">
        <v>0</v>
      </c>
      <c r="AC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 t="str">
        <f>"$"</f>
        <v>$</v>
      </c>
    </row>
    <row r="1053" spans="1:38" x14ac:dyDescent="0.3">
      <c r="A1053" t="str">
        <f>"SO21000048"</f>
        <v>SO21000048</v>
      </c>
      <c r="B1053" t="str">
        <f>"E000330610"</f>
        <v>E000330610</v>
      </c>
      <c r="C1053" t="str">
        <f>"בוצעה"</f>
        <v>בוצעה</v>
      </c>
      <c r="E1053" s="3">
        <v>44222</v>
      </c>
      <c r="F1053" s="3">
        <v>44291</v>
      </c>
      <c r="G1053" t="str">
        <f>"700065"</f>
        <v>700065</v>
      </c>
      <c r="H1053" t="str">
        <f>"אלתא מערכות בע""מ"</f>
        <v>אלתא מערכות בע"מ</v>
      </c>
      <c r="I1053" t="str">
        <f>"ערן שלו"</f>
        <v>ערן שלו</v>
      </c>
      <c r="J1053" t="str">
        <f>"OP-AR02254"</f>
        <v>OP-AR02254</v>
      </c>
      <c r="K1053" s="1" t="str">
        <f>"2027F654-001  CABLE ASSY W08 CONTROL"</f>
        <v>2027F654-001  CABLE ASSY W08 CONTROL</v>
      </c>
      <c r="L1053">
        <v>1</v>
      </c>
      <c r="M1053" t="str">
        <f>"PR21000099"</f>
        <v>PR21000099</v>
      </c>
      <c r="N1053" t="str">
        <f>"CABLE ASSY W08 CONTROL"</f>
        <v>CABLE ASSY W08 CONTROL</v>
      </c>
      <c r="O1053" s="2">
        <v>1136.96</v>
      </c>
      <c r="P1053" t="str">
        <f>"$"</f>
        <v>$</v>
      </c>
      <c r="Q1053" t="str">
        <f>"117"</f>
        <v>117</v>
      </c>
      <c r="R1053" t="str">
        <f>"רתמות"</f>
        <v>רתמות</v>
      </c>
      <c r="S1053" t="str">
        <f>"034"</f>
        <v>034</v>
      </c>
      <c r="T1053" t="str">
        <f>"גנם הודיה"</f>
        <v>גנם הודיה</v>
      </c>
      <c r="U1053">
        <v>0</v>
      </c>
      <c r="V1053">
        <v>0</v>
      </c>
      <c r="W1053" s="2">
        <v>1136.96</v>
      </c>
      <c r="X1053" s="2">
        <v>1136.96</v>
      </c>
      <c r="Z1053" t="str">
        <f>"Y"</f>
        <v>Y</v>
      </c>
      <c r="AA1053">
        <v>0</v>
      </c>
      <c r="AC1053">
        <v>0</v>
      </c>
      <c r="AE1053">
        <v>0</v>
      </c>
      <c r="AF1053">
        <v>0</v>
      </c>
      <c r="AG1053" s="2">
        <v>3715.59</v>
      </c>
      <c r="AH1053">
        <v>0</v>
      </c>
      <c r="AI1053" s="2">
        <v>3715.59</v>
      </c>
      <c r="AJ1053" s="2">
        <v>1136.96</v>
      </c>
      <c r="AK1053" s="2">
        <v>1136.96</v>
      </c>
      <c r="AL1053" t="str">
        <f>"$"</f>
        <v>$</v>
      </c>
    </row>
    <row r="1054" spans="1:38" x14ac:dyDescent="0.3">
      <c r="A1054" t="str">
        <f>"SO21000049"</f>
        <v>SO21000049</v>
      </c>
      <c r="B1054" t="str">
        <f>"E000330704"</f>
        <v>E000330704</v>
      </c>
      <c r="C1054" t="str">
        <f>"בוצעה"</f>
        <v>בוצעה</v>
      </c>
      <c r="E1054" s="3">
        <v>44222</v>
      </c>
      <c r="F1054" s="3">
        <v>44341</v>
      </c>
      <c r="G1054" t="str">
        <f>"700065"</f>
        <v>700065</v>
      </c>
      <c r="H1054" t="str">
        <f>"אלתא מערכות בע""מ"</f>
        <v>אלתא מערכות בע"מ</v>
      </c>
      <c r="I1054" t="str">
        <f>"ערן שלו"</f>
        <v>ערן שלו</v>
      </c>
      <c r="J1054" t="str">
        <f>"OP-AR01702"</f>
        <v>OP-AR01702</v>
      </c>
      <c r="K1054" s="1" t="str">
        <f>"1020B584-003 P.C.U HARN/W7/ABS NC/DATA POS"</f>
        <v>1020B584-003 P.C.U HARN/W7/ABS NC/DATA POS</v>
      </c>
      <c r="L1054">
        <v>2</v>
      </c>
      <c r="M1054" t="str">
        <f>"PR21000102"</f>
        <v>PR21000102</v>
      </c>
      <c r="N1054" t="str">
        <f>"P.C.U HARN/W7/ABS ENC/DATA POS"</f>
        <v>P.C.U HARN/W7/ABS ENC/DATA POS</v>
      </c>
      <c r="O1054" s="2">
        <v>1552.6</v>
      </c>
      <c r="P1054" t="str">
        <f>"$"</f>
        <v>$</v>
      </c>
      <c r="Q1054" t="str">
        <f>"117"</f>
        <v>117</v>
      </c>
      <c r="R1054" t="str">
        <f>"רתמות"</f>
        <v>רתמות</v>
      </c>
      <c r="S1054" t="str">
        <f>"034"</f>
        <v>034</v>
      </c>
      <c r="T1054" t="str">
        <f>"גנם הודיה"</f>
        <v>גנם הודיה</v>
      </c>
      <c r="U1054">
        <v>0</v>
      </c>
      <c r="V1054">
        <v>0</v>
      </c>
      <c r="W1054" s="2">
        <v>1552.6</v>
      </c>
      <c r="X1054" s="2">
        <v>3105.2</v>
      </c>
      <c r="Z1054" t="str">
        <f>"Y"</f>
        <v>Y</v>
      </c>
      <c r="AA1054">
        <v>0</v>
      </c>
      <c r="AC1054">
        <v>0</v>
      </c>
      <c r="AE1054">
        <v>0</v>
      </c>
      <c r="AF1054">
        <v>0</v>
      </c>
      <c r="AG1054" s="2">
        <v>5073.8999999999996</v>
      </c>
      <c r="AH1054">
        <v>0</v>
      </c>
      <c r="AI1054" s="2">
        <v>10147.790000000001</v>
      </c>
      <c r="AJ1054" s="2">
        <v>3105.2</v>
      </c>
      <c r="AK1054" s="2">
        <v>3105.2</v>
      </c>
      <c r="AL1054" t="str">
        <f>"$"</f>
        <v>$</v>
      </c>
    </row>
    <row r="1055" spans="1:38" x14ac:dyDescent="0.3">
      <c r="A1055" t="str">
        <f>"SO21000049"</f>
        <v>SO21000049</v>
      </c>
      <c r="B1055" t="str">
        <f>"E000330704"</f>
        <v>E000330704</v>
      </c>
      <c r="C1055" t="str">
        <f>"בוצעה"</f>
        <v>בוצעה</v>
      </c>
      <c r="E1055" s="3">
        <v>44222</v>
      </c>
      <c r="F1055" s="3">
        <v>44341</v>
      </c>
      <c r="G1055" t="str">
        <f>"700065"</f>
        <v>700065</v>
      </c>
      <c r="H1055" t="str">
        <f>"אלתא מערכות בע""מ"</f>
        <v>אלתא מערכות בע"מ</v>
      </c>
      <c r="I1055" t="str">
        <f>"ערן שלו"</f>
        <v>ערן שלו</v>
      </c>
      <c r="J1055" t="str">
        <f>"OP-AR02264"</f>
        <v>OP-AR02264</v>
      </c>
      <c r="K1055" s="1" t="str">
        <f>"1038N504-001   W3:DC POWER REC. TO AZ AND EL"</f>
        <v>1038N504-001   W3:DC POWER REC. TO AZ AND EL</v>
      </c>
      <c r="L1055">
        <v>1</v>
      </c>
      <c r="M1055" t="str">
        <f>"PR21000102"</f>
        <v>PR21000102</v>
      </c>
      <c r="N1055" t="str">
        <f>"P.C.U HARN/W7/ABS ENC/DATA POS"</f>
        <v>P.C.U HARN/W7/ABS ENC/DATA POS</v>
      </c>
      <c r="O1055">
        <v>451.31</v>
      </c>
      <c r="P1055" t="str">
        <f>"$"</f>
        <v>$</v>
      </c>
      <c r="Q1055" t="str">
        <f>"117"</f>
        <v>117</v>
      </c>
      <c r="R1055" t="str">
        <f>"רתמות"</f>
        <v>רתמות</v>
      </c>
      <c r="S1055" t="str">
        <f>"034"</f>
        <v>034</v>
      </c>
      <c r="T1055" t="str">
        <f>"גנם הודיה"</f>
        <v>גנם הודיה</v>
      </c>
      <c r="U1055">
        <v>0</v>
      </c>
      <c r="V1055">
        <v>0</v>
      </c>
      <c r="W1055">
        <v>451.31</v>
      </c>
      <c r="X1055">
        <v>451.31</v>
      </c>
      <c r="Z1055" t="str">
        <f>"Y"</f>
        <v>Y</v>
      </c>
      <c r="AA1055">
        <v>0</v>
      </c>
      <c r="AC1055">
        <v>0</v>
      </c>
      <c r="AE1055">
        <v>0</v>
      </c>
      <c r="AF1055">
        <v>0</v>
      </c>
      <c r="AG1055" s="2">
        <v>1474.88</v>
      </c>
      <c r="AH1055">
        <v>0</v>
      </c>
      <c r="AI1055" s="2">
        <v>1474.88</v>
      </c>
      <c r="AJ1055">
        <v>451.31</v>
      </c>
      <c r="AK1055">
        <v>451.31</v>
      </c>
      <c r="AL1055" t="str">
        <f>"$"</f>
        <v>$</v>
      </c>
    </row>
    <row r="1056" spans="1:38" x14ac:dyDescent="0.3">
      <c r="A1056" t="str">
        <f>"SO21000049"</f>
        <v>SO21000049</v>
      </c>
      <c r="B1056" t="str">
        <f>"E000330704"</f>
        <v>E000330704</v>
      </c>
      <c r="C1056" t="str">
        <f>"בוצעה"</f>
        <v>בוצעה</v>
      </c>
      <c r="E1056" s="3">
        <v>44222</v>
      </c>
      <c r="F1056" s="3">
        <v>44341</v>
      </c>
      <c r="G1056" t="str">
        <f>"700065"</f>
        <v>700065</v>
      </c>
      <c r="H1056" t="str">
        <f>"אלתא מערכות בע""מ"</f>
        <v>אלתא מערכות בע"מ</v>
      </c>
      <c r="I1056" t="str">
        <f>"ערן שלו"</f>
        <v>ערן שלו</v>
      </c>
      <c r="J1056" t="str">
        <f>"OP-AR02264"</f>
        <v>OP-AR02264</v>
      </c>
      <c r="K1056" s="1" t="str">
        <f>"1038N504-001   W3:DC POWER REC. TO AZ AND EL"</f>
        <v>1038N504-001   W3:DC POWER REC. TO AZ AND EL</v>
      </c>
      <c r="L1056">
        <v>1</v>
      </c>
      <c r="M1056" t="str">
        <f>"PR21000102"</f>
        <v>PR21000102</v>
      </c>
      <c r="N1056" t="str">
        <f>"P.C.U HARN/W7/ABS ENC/DATA POS"</f>
        <v>P.C.U HARN/W7/ABS ENC/DATA POS</v>
      </c>
      <c r="O1056">
        <v>451.31</v>
      </c>
      <c r="P1056" t="str">
        <f>"$"</f>
        <v>$</v>
      </c>
      <c r="Q1056" t="str">
        <f>"117"</f>
        <v>117</v>
      </c>
      <c r="R1056" t="str">
        <f>"רתמות"</f>
        <v>רתמות</v>
      </c>
      <c r="S1056" t="str">
        <f>"034"</f>
        <v>034</v>
      </c>
      <c r="T1056" t="str">
        <f>"גנם הודיה"</f>
        <v>גנם הודיה</v>
      </c>
      <c r="U1056">
        <v>0</v>
      </c>
      <c r="V1056">
        <v>0</v>
      </c>
      <c r="W1056">
        <v>451.31</v>
      </c>
      <c r="X1056">
        <v>451.31</v>
      </c>
      <c r="Z1056" t="str">
        <f>"Y"</f>
        <v>Y</v>
      </c>
      <c r="AA1056">
        <v>0</v>
      </c>
      <c r="AC1056">
        <v>0</v>
      </c>
      <c r="AE1056">
        <v>0</v>
      </c>
      <c r="AF1056">
        <v>0</v>
      </c>
      <c r="AG1056" s="2">
        <v>1474.88</v>
      </c>
      <c r="AH1056">
        <v>0</v>
      </c>
      <c r="AI1056" s="2">
        <v>1474.88</v>
      </c>
      <c r="AJ1056">
        <v>451.31</v>
      </c>
      <c r="AK1056">
        <v>451.31</v>
      </c>
      <c r="AL1056" t="str">
        <f>"$"</f>
        <v>$</v>
      </c>
    </row>
    <row r="1057" spans="1:38" x14ac:dyDescent="0.3">
      <c r="A1057" t="str">
        <f>"SO21000049"</f>
        <v>SO21000049</v>
      </c>
      <c r="B1057" t="str">
        <f>"E000330704"</f>
        <v>E000330704</v>
      </c>
      <c r="C1057" t="str">
        <f>"בוצעה"</f>
        <v>בוצעה</v>
      </c>
      <c r="E1057" s="3">
        <v>44222</v>
      </c>
      <c r="F1057" s="3">
        <v>44341</v>
      </c>
      <c r="G1057" t="str">
        <f>"700065"</f>
        <v>700065</v>
      </c>
      <c r="H1057" t="str">
        <f>"אלתא מערכות בע""מ"</f>
        <v>אלתא מערכות בע"מ</v>
      </c>
      <c r="I1057" t="str">
        <f>"ערן שלו"</f>
        <v>ערן שלו</v>
      </c>
      <c r="J1057" t="str">
        <f>"OP-AR02265"</f>
        <v>OP-AR02265</v>
      </c>
      <c r="K1057" s="1" t="str">
        <f>"2019E862-001   CABLE FUNCTION KEY CORD"</f>
        <v>2019E862-001   CABLE FUNCTION KEY CORD</v>
      </c>
      <c r="L1057">
        <v>12</v>
      </c>
      <c r="M1057" t="str">
        <f>"PR21000102"</f>
        <v>PR21000102</v>
      </c>
      <c r="N1057" t="str">
        <f>"P.C.U HARN/W7/ABS ENC/DATA POS"</f>
        <v>P.C.U HARN/W7/ABS ENC/DATA POS</v>
      </c>
      <c r="O1057">
        <v>132.59</v>
      </c>
      <c r="P1057" t="str">
        <f>"$"</f>
        <v>$</v>
      </c>
      <c r="Q1057" t="str">
        <f>"117"</f>
        <v>117</v>
      </c>
      <c r="R1057" t="str">
        <f>"רתמות"</f>
        <v>רתמות</v>
      </c>
      <c r="S1057" t="str">
        <f>"034"</f>
        <v>034</v>
      </c>
      <c r="T1057" t="str">
        <f>"גנם הודיה"</f>
        <v>גנם הודיה</v>
      </c>
      <c r="U1057">
        <v>0</v>
      </c>
      <c r="V1057">
        <v>0</v>
      </c>
      <c r="W1057">
        <v>132.59</v>
      </c>
      <c r="X1057" s="2">
        <v>1591.08</v>
      </c>
      <c r="Z1057" t="str">
        <f>"Y"</f>
        <v>Y</v>
      </c>
      <c r="AA1057">
        <v>0</v>
      </c>
      <c r="AC1057">
        <v>0</v>
      </c>
      <c r="AE1057">
        <v>0</v>
      </c>
      <c r="AF1057">
        <v>0</v>
      </c>
      <c r="AG1057">
        <v>433.3</v>
      </c>
      <c r="AH1057">
        <v>0</v>
      </c>
      <c r="AI1057" s="2">
        <v>5199.6499999999996</v>
      </c>
      <c r="AJ1057" s="2">
        <v>1591.08</v>
      </c>
      <c r="AK1057" s="2">
        <v>1591.08</v>
      </c>
      <c r="AL1057" t="str">
        <f>"$"</f>
        <v>$</v>
      </c>
    </row>
    <row r="1058" spans="1:38" x14ac:dyDescent="0.3">
      <c r="A1058" t="str">
        <f>"SO21000050"</f>
        <v>SO21000050</v>
      </c>
      <c r="B1058" t="str">
        <f>"E000331244"</f>
        <v>E000331244</v>
      </c>
      <c r="C1058" t="str">
        <f>"בוצעה"</f>
        <v>בוצעה</v>
      </c>
      <c r="E1058" s="3">
        <v>44222</v>
      </c>
      <c r="F1058" s="3">
        <v>44277</v>
      </c>
      <c r="G1058" t="str">
        <f>"700065"</f>
        <v>700065</v>
      </c>
      <c r="H1058" t="str">
        <f>"אלתא מערכות בע""מ"</f>
        <v>אלתא מערכות בע"מ</v>
      </c>
      <c r="I1058" t="str">
        <f>"ערן שלו"</f>
        <v>ערן שלו</v>
      </c>
      <c r="J1058" t="str">
        <f>"OP-AR02261"</f>
        <v>OP-AR02261</v>
      </c>
      <c r="K1058" s="1" t="str">
        <f>"1038C461-001   WG461 - PDB2 TO BUSBAR GROU"</f>
        <v>1038C461-001   WG461 - PDB2 TO BUSBAR GROU</v>
      </c>
      <c r="L1058">
        <v>16</v>
      </c>
      <c r="M1058" t="str">
        <f>"PR21000106"</f>
        <v>PR21000106</v>
      </c>
      <c r="N1058" t="str">
        <f>"ABLE WG461 - PDB2 TO BUSBAR GROU"</f>
        <v>ABLE WG461 - PDB2 TO BUSBAR GROU</v>
      </c>
      <c r="O1058">
        <v>278.70999999999998</v>
      </c>
      <c r="P1058" t="str">
        <f>"$"</f>
        <v>$</v>
      </c>
      <c r="Q1058" t="str">
        <f>"117"</f>
        <v>117</v>
      </c>
      <c r="R1058" t="str">
        <f>"רתמות"</f>
        <v>רתמות</v>
      </c>
      <c r="S1058" t="str">
        <f>"034"</f>
        <v>034</v>
      </c>
      <c r="T1058" t="str">
        <f>"גנם הודיה"</f>
        <v>גנם הודיה</v>
      </c>
      <c r="U1058">
        <v>0</v>
      </c>
      <c r="V1058">
        <v>0</v>
      </c>
      <c r="W1058">
        <v>278.70999999999998</v>
      </c>
      <c r="X1058" s="2">
        <v>4459.3599999999997</v>
      </c>
      <c r="Z1058" t="str">
        <f>"Y"</f>
        <v>Y</v>
      </c>
      <c r="AA1058">
        <v>0</v>
      </c>
      <c r="AC1058">
        <v>0</v>
      </c>
      <c r="AE1058">
        <v>0</v>
      </c>
      <c r="AF1058">
        <v>0</v>
      </c>
      <c r="AG1058">
        <v>910.82</v>
      </c>
      <c r="AH1058">
        <v>0</v>
      </c>
      <c r="AI1058" s="2">
        <v>14573.19</v>
      </c>
      <c r="AJ1058" s="2">
        <v>4459.3599999999997</v>
      </c>
      <c r="AK1058" s="2">
        <v>4459.3599999999997</v>
      </c>
      <c r="AL1058" t="str">
        <f>"$"</f>
        <v>$</v>
      </c>
    </row>
    <row r="1059" spans="1:38" x14ac:dyDescent="0.3">
      <c r="A1059" t="str">
        <f>"SO21000050"</f>
        <v>SO21000050</v>
      </c>
      <c r="B1059" t="str">
        <f>"E000331244"</f>
        <v>E000331244</v>
      </c>
      <c r="C1059" t="str">
        <f>"בוצעה"</f>
        <v>בוצעה</v>
      </c>
      <c r="E1059" s="3">
        <v>44222</v>
      </c>
      <c r="F1059" s="3">
        <v>44277</v>
      </c>
      <c r="G1059" t="str">
        <f>"700065"</f>
        <v>700065</v>
      </c>
      <c r="H1059" t="str">
        <f>"אלתא מערכות בע""מ"</f>
        <v>אלתא מערכות בע"מ</v>
      </c>
      <c r="I1059" t="str">
        <f>"ערן שלו"</f>
        <v>ערן שלו</v>
      </c>
      <c r="J1059" t="str">
        <f>"OP-AR02262"</f>
        <v>OP-AR02262</v>
      </c>
      <c r="K1059" s="1" t="str">
        <f>"1038C462-001   WG462 - P.S TO BUSBAR GROUN"</f>
        <v>1038C462-001   WG462 - P.S TO BUSBAR GROUN</v>
      </c>
      <c r="L1059">
        <v>24</v>
      </c>
      <c r="M1059" t="str">
        <f>"PR21000106"</f>
        <v>PR21000106</v>
      </c>
      <c r="N1059" t="str">
        <f>"ABLE WG461 - PDB2 TO BUSBAR GROU"</f>
        <v>ABLE WG461 - PDB2 TO BUSBAR GROU</v>
      </c>
      <c r="O1059">
        <v>100.79</v>
      </c>
      <c r="P1059" t="str">
        <f>"$"</f>
        <v>$</v>
      </c>
      <c r="Q1059" t="str">
        <f>"117"</f>
        <v>117</v>
      </c>
      <c r="R1059" t="str">
        <f>"רתמות"</f>
        <v>רתמות</v>
      </c>
      <c r="S1059" t="str">
        <f>"034"</f>
        <v>034</v>
      </c>
      <c r="T1059" t="str">
        <f>"גנם הודיה"</f>
        <v>גנם הודיה</v>
      </c>
      <c r="U1059">
        <v>0</v>
      </c>
      <c r="V1059">
        <v>0</v>
      </c>
      <c r="W1059">
        <v>100.79</v>
      </c>
      <c r="X1059" s="2">
        <v>2418.96</v>
      </c>
      <c r="Z1059" t="str">
        <f>"Y"</f>
        <v>Y</v>
      </c>
      <c r="AA1059">
        <v>0</v>
      </c>
      <c r="AC1059">
        <v>0</v>
      </c>
      <c r="AE1059">
        <v>0</v>
      </c>
      <c r="AF1059">
        <v>0</v>
      </c>
      <c r="AG1059">
        <v>329.38</v>
      </c>
      <c r="AH1059">
        <v>0</v>
      </c>
      <c r="AI1059" s="2">
        <v>7905.16</v>
      </c>
      <c r="AJ1059" s="2">
        <v>2418.96</v>
      </c>
      <c r="AK1059" s="2">
        <v>2418.96</v>
      </c>
      <c r="AL1059" t="str">
        <f>"$"</f>
        <v>$</v>
      </c>
    </row>
    <row r="1060" spans="1:38" x14ac:dyDescent="0.3">
      <c r="A1060" t="str">
        <f>"SO21000050"</f>
        <v>SO21000050</v>
      </c>
      <c r="B1060" t="str">
        <f>"E000331244"</f>
        <v>E000331244</v>
      </c>
      <c r="C1060" t="str">
        <f>"בוצעה"</f>
        <v>בוצעה</v>
      </c>
      <c r="E1060" s="3">
        <v>44222</v>
      </c>
      <c r="F1060" s="3">
        <v>44277</v>
      </c>
      <c r="G1060" t="str">
        <f>"700065"</f>
        <v>700065</v>
      </c>
      <c r="H1060" t="str">
        <f>"אלתא מערכות בע""מ"</f>
        <v>אלתא מערכות בע"מ</v>
      </c>
      <c r="I1060" t="str">
        <f>"ערן שלו"</f>
        <v>ערן שלו</v>
      </c>
      <c r="J1060" t="str">
        <f>"OP-AR02263"</f>
        <v>OP-AR02263</v>
      </c>
      <c r="K1060" s="1" t="str">
        <f>"1038C463-001   WG463 - P.S TO BUSBAR GROUN"</f>
        <v>1038C463-001   WG463 - P.S TO BUSBAR GROUN</v>
      </c>
      <c r="L1060">
        <v>24</v>
      </c>
      <c r="M1060" t="str">
        <f>"PR21000106"</f>
        <v>PR21000106</v>
      </c>
      <c r="N1060" t="str">
        <f>"ABLE WG461 - PDB2 TO BUSBAR GROU"</f>
        <v>ABLE WG461 - PDB2 TO BUSBAR GROU</v>
      </c>
      <c r="O1060">
        <v>114.61</v>
      </c>
      <c r="P1060" t="str">
        <f>"$"</f>
        <v>$</v>
      </c>
      <c r="Q1060" t="str">
        <f>"117"</f>
        <v>117</v>
      </c>
      <c r="R1060" t="str">
        <f>"רתמות"</f>
        <v>רתמות</v>
      </c>
      <c r="S1060" t="str">
        <f>"034"</f>
        <v>034</v>
      </c>
      <c r="T1060" t="str">
        <f>"גנם הודיה"</f>
        <v>גנם הודיה</v>
      </c>
      <c r="U1060">
        <v>0</v>
      </c>
      <c r="V1060">
        <v>0</v>
      </c>
      <c r="W1060">
        <v>114.61</v>
      </c>
      <c r="X1060" s="2">
        <v>2750.64</v>
      </c>
      <c r="Z1060" t="str">
        <f>"Y"</f>
        <v>Y</v>
      </c>
      <c r="AA1060">
        <v>0</v>
      </c>
      <c r="AC1060">
        <v>0</v>
      </c>
      <c r="AE1060">
        <v>0</v>
      </c>
      <c r="AF1060">
        <v>0</v>
      </c>
      <c r="AG1060">
        <v>374.55</v>
      </c>
      <c r="AH1060">
        <v>0</v>
      </c>
      <c r="AI1060" s="2">
        <v>8989.09</v>
      </c>
      <c r="AJ1060" s="2">
        <v>2750.64</v>
      </c>
      <c r="AK1060" s="2">
        <v>2750.64</v>
      </c>
      <c r="AL1060" t="str">
        <f>"$"</f>
        <v>$</v>
      </c>
    </row>
    <row r="1061" spans="1:38" x14ac:dyDescent="0.3">
      <c r="A1061" t="str">
        <f>"SO21000055"</f>
        <v>SO21000055</v>
      </c>
      <c r="B1061" t="str">
        <f>"E000331489"</f>
        <v>E000331489</v>
      </c>
      <c r="C1061" t="str">
        <f>"בוצעה"</f>
        <v>בוצעה</v>
      </c>
      <c r="E1061" s="3">
        <v>44228</v>
      </c>
      <c r="F1061" s="3">
        <v>44711</v>
      </c>
      <c r="G1061" t="str">
        <f>"700065"</f>
        <v>700065</v>
      </c>
      <c r="H1061" t="str">
        <f>"אלתא מערכות בע""מ"</f>
        <v>אלתא מערכות בע"מ</v>
      </c>
      <c r="I1061" t="str">
        <f>"ערן שלו"</f>
        <v>ערן שלו</v>
      </c>
      <c r="J1061" t="str">
        <f>"000"</f>
        <v>000</v>
      </c>
      <c r="K1061" s="1" t="str">
        <f>"NRE להזמנה E000312785"</f>
        <v>NRE להזמנה E000312785</v>
      </c>
      <c r="L1061">
        <v>1</v>
      </c>
      <c r="M1061" t="str">
        <f>"PR20000358"</f>
        <v>PR20000358</v>
      </c>
      <c r="N1061" t="str">
        <f>"הזמנת קרונות RPU לצ'כיה"</f>
        <v>הזמנת קרונות RPU לצ'כיה</v>
      </c>
      <c r="O1061" s="2">
        <v>15000</v>
      </c>
      <c r="P1061" t="str">
        <f>"$"</f>
        <v>$</v>
      </c>
      <c r="Q1061" t="str">
        <f>"119"</f>
        <v>119</v>
      </c>
      <c r="R1061" t="str">
        <f>"פלטפורמות"</f>
        <v>פלטפורמות</v>
      </c>
      <c r="S1061" t="str">
        <f>"034"</f>
        <v>034</v>
      </c>
      <c r="T1061" t="str">
        <f>"גנם הודיה"</f>
        <v>גנם הודיה</v>
      </c>
      <c r="U1061">
        <v>0</v>
      </c>
      <c r="V1061">
        <v>0</v>
      </c>
      <c r="W1061" s="2">
        <v>15000</v>
      </c>
      <c r="X1061" s="2">
        <v>15000</v>
      </c>
      <c r="Z1061" t="str">
        <f>"Y"</f>
        <v>Y</v>
      </c>
      <c r="AA1061">
        <v>1</v>
      </c>
      <c r="AC1061">
        <v>0</v>
      </c>
      <c r="AE1061">
        <v>0</v>
      </c>
      <c r="AF1061">
        <v>0</v>
      </c>
      <c r="AG1061" s="2">
        <v>49320</v>
      </c>
      <c r="AH1061">
        <v>0</v>
      </c>
      <c r="AI1061" s="2">
        <v>49320</v>
      </c>
      <c r="AJ1061" s="2">
        <v>15000</v>
      </c>
      <c r="AK1061" s="2">
        <v>15000</v>
      </c>
      <c r="AL1061" t="str">
        <f>"$"</f>
        <v>$</v>
      </c>
    </row>
    <row r="1062" spans="1:38" x14ac:dyDescent="0.3">
      <c r="A1062" t="str">
        <f>"SO21000055"</f>
        <v>SO21000055</v>
      </c>
      <c r="B1062" t="str">
        <f>"E000331489"</f>
        <v>E000331489</v>
      </c>
      <c r="C1062" t="str">
        <f>"בוצעה"</f>
        <v>בוצעה</v>
      </c>
      <c r="E1062" s="3">
        <v>44228</v>
      </c>
      <c r="F1062" s="3">
        <v>44711</v>
      </c>
      <c r="G1062" t="str">
        <f>"700065"</f>
        <v>700065</v>
      </c>
      <c r="H1062" t="str">
        <f>"אלתא מערכות בע""מ"</f>
        <v>אלתא מערכות בע"מ</v>
      </c>
      <c r="I1062" t="str">
        <f>"ערן שלו"</f>
        <v>ערן שלו</v>
      </c>
      <c r="J1062" t="str">
        <f>"000"</f>
        <v>000</v>
      </c>
      <c r="K1062" s="1" t="str">
        <f>"תוספות לRPU עבור הזמנה E000312785 בקרה"</f>
        <v>תוספות לRPU עבור הזמנה E000312785 בקרה</v>
      </c>
      <c r="L1062">
        <v>1</v>
      </c>
      <c r="M1062" t="str">
        <f>"PR20000698"</f>
        <v>PR20000698</v>
      </c>
      <c r="N1062" t="str">
        <f>"1038C906-001 RPU1"</f>
        <v>1038C906-001 RPU1</v>
      </c>
      <c r="O1062" s="2">
        <v>32780</v>
      </c>
      <c r="P1062" t="str">
        <f>"$"</f>
        <v>$</v>
      </c>
      <c r="Q1062" t="str">
        <f>"119"</f>
        <v>119</v>
      </c>
      <c r="R1062" t="str">
        <f>"פלטפורמות"</f>
        <v>פלטפורמות</v>
      </c>
      <c r="S1062" t="str">
        <f>"034"</f>
        <v>034</v>
      </c>
      <c r="T1062" t="str">
        <f>"גנם הודיה"</f>
        <v>גנם הודיה</v>
      </c>
      <c r="U1062">
        <v>0</v>
      </c>
      <c r="V1062">
        <v>0</v>
      </c>
      <c r="W1062" s="2">
        <v>32780</v>
      </c>
      <c r="X1062" s="2">
        <v>32780</v>
      </c>
      <c r="Z1062" t="str">
        <f>"Y"</f>
        <v>Y</v>
      </c>
      <c r="AA1062">
        <v>1</v>
      </c>
      <c r="AC1062">
        <v>0</v>
      </c>
      <c r="AE1062">
        <v>0</v>
      </c>
      <c r="AF1062">
        <v>0</v>
      </c>
      <c r="AG1062" s="2">
        <v>107780.64</v>
      </c>
      <c r="AH1062">
        <v>0</v>
      </c>
      <c r="AI1062" s="2">
        <v>107780.64</v>
      </c>
      <c r="AJ1062" s="2">
        <v>32780</v>
      </c>
      <c r="AK1062" s="2">
        <v>32780</v>
      </c>
      <c r="AL1062" t="str">
        <f>"$"</f>
        <v>$</v>
      </c>
    </row>
    <row r="1063" spans="1:38" x14ac:dyDescent="0.3">
      <c r="A1063" t="str">
        <f>"SO21000055"</f>
        <v>SO21000055</v>
      </c>
      <c r="B1063" t="str">
        <f>"E000331489"</f>
        <v>E000331489</v>
      </c>
      <c r="C1063" t="str">
        <f>"בוצעה"</f>
        <v>בוצעה</v>
      </c>
      <c r="E1063" s="3">
        <v>44228</v>
      </c>
      <c r="F1063" s="3">
        <v>44620</v>
      </c>
      <c r="G1063" t="str">
        <f>"700065"</f>
        <v>700065</v>
      </c>
      <c r="H1063" t="str">
        <f>"אלתא מערכות בע""מ"</f>
        <v>אלתא מערכות בע"מ</v>
      </c>
      <c r="I1063" t="str">
        <f>"ערן שלו"</f>
        <v>ערן שלו</v>
      </c>
      <c r="J1063" t="str">
        <f>"000"</f>
        <v>000</v>
      </c>
      <c r="K1063" s="1" t="str">
        <f>"תוספות לRPU עבור הזמנה E000312785 בקרה"</f>
        <v>תוספות לRPU עבור הזמנה E000312785 בקרה</v>
      </c>
      <c r="L1063">
        <v>2</v>
      </c>
      <c r="M1063" t="str">
        <f>"PR20000699"</f>
        <v>PR20000699</v>
      </c>
      <c r="N1063" t="str">
        <f>"1038C906-001 RPU2"</f>
        <v>1038C906-001 RPU2</v>
      </c>
      <c r="O1063" s="2">
        <v>32780</v>
      </c>
      <c r="P1063" t="str">
        <f>"$"</f>
        <v>$</v>
      </c>
      <c r="Q1063" t="str">
        <f>"119"</f>
        <v>119</v>
      </c>
      <c r="R1063" t="str">
        <f>"פלטפורמות"</f>
        <v>פלטפורמות</v>
      </c>
      <c r="S1063" t="str">
        <f>"034"</f>
        <v>034</v>
      </c>
      <c r="T1063" t="str">
        <f>"גנם הודיה"</f>
        <v>גנם הודיה</v>
      </c>
      <c r="U1063">
        <v>0</v>
      </c>
      <c r="V1063">
        <v>0</v>
      </c>
      <c r="W1063" s="2">
        <v>32780</v>
      </c>
      <c r="X1063" s="2">
        <v>65560</v>
      </c>
      <c r="Z1063" t="str">
        <f>"Y"</f>
        <v>Y</v>
      </c>
      <c r="AA1063">
        <v>1</v>
      </c>
      <c r="AC1063">
        <v>0</v>
      </c>
      <c r="AE1063">
        <v>0</v>
      </c>
      <c r="AF1063">
        <v>0</v>
      </c>
      <c r="AG1063" s="2">
        <v>107780.64</v>
      </c>
      <c r="AH1063">
        <v>0</v>
      </c>
      <c r="AI1063" s="2">
        <v>215561.28</v>
      </c>
      <c r="AJ1063" s="2">
        <v>65560</v>
      </c>
      <c r="AK1063" s="2">
        <v>65560</v>
      </c>
      <c r="AL1063" t="str">
        <f>"$"</f>
        <v>$</v>
      </c>
    </row>
    <row r="1064" spans="1:38" x14ac:dyDescent="0.3">
      <c r="A1064" t="str">
        <f>"SO21000055"</f>
        <v>SO21000055</v>
      </c>
      <c r="B1064" t="str">
        <f>"E000331489"</f>
        <v>E000331489</v>
      </c>
      <c r="C1064" t="str">
        <f>"בוצעה"</f>
        <v>בוצעה</v>
      </c>
      <c r="E1064" s="3">
        <v>44228</v>
      </c>
      <c r="F1064" s="3">
        <v>44753</v>
      </c>
      <c r="G1064" t="str">
        <f>"700065"</f>
        <v>700065</v>
      </c>
      <c r="H1064" t="str">
        <f>"אלתא מערכות בע""מ"</f>
        <v>אלתא מערכות בע"מ</v>
      </c>
      <c r="I1064" t="str">
        <f>"ערן שלו"</f>
        <v>ערן שלו</v>
      </c>
      <c r="J1064" t="str">
        <f>"OP-KT00130"</f>
        <v>OP-KT00130</v>
      </c>
      <c r="K1064" s="1" t="str">
        <f>"DESCRIPTION סט מחברים RPU"</f>
        <v>DESCRIPTION סט מחברים RPU</v>
      </c>
      <c r="L1064">
        <v>0</v>
      </c>
      <c r="O1064">
        <v>0</v>
      </c>
      <c r="P1064" t="str">
        <f>"$"</f>
        <v>$</v>
      </c>
      <c r="Q1064" t="str">
        <f>"119"</f>
        <v>119</v>
      </c>
      <c r="R1064" t="str">
        <f>"פלטפורמות"</f>
        <v>פלטפורמות</v>
      </c>
      <c r="S1064" t="str">
        <f>"034"</f>
        <v>034</v>
      </c>
      <c r="T1064" t="str">
        <f>"גנם הודיה"</f>
        <v>גנם הודיה</v>
      </c>
      <c r="U1064">
        <v>0</v>
      </c>
      <c r="V1064">
        <v>0</v>
      </c>
      <c r="W1064">
        <v>0</v>
      </c>
      <c r="X1064">
        <v>0</v>
      </c>
      <c r="Z1064" t="str">
        <f>"Y"</f>
        <v>Y</v>
      </c>
      <c r="AA1064">
        <v>0</v>
      </c>
      <c r="AC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 t="str">
        <f>"$"</f>
        <v>$</v>
      </c>
    </row>
    <row r="1065" spans="1:38" x14ac:dyDescent="0.3">
      <c r="A1065" t="str">
        <f>"SO21000055"</f>
        <v>SO21000055</v>
      </c>
      <c r="B1065" t="str">
        <f>"E000331489"</f>
        <v>E000331489</v>
      </c>
      <c r="C1065" t="str">
        <f>"בוצעה"</f>
        <v>בוצעה</v>
      </c>
      <c r="E1065" s="3">
        <v>44228</v>
      </c>
      <c r="F1065" s="3">
        <v>44742</v>
      </c>
      <c r="G1065" t="str">
        <f>"700065"</f>
        <v>700065</v>
      </c>
      <c r="H1065" t="str">
        <f>"אלתא מערכות בע""מ"</f>
        <v>אלתא מערכות בע"מ</v>
      </c>
      <c r="I1065" t="str">
        <f>"ערן שלו"</f>
        <v>ערן שלו</v>
      </c>
      <c r="J1065" t="str">
        <f>"000"</f>
        <v>000</v>
      </c>
      <c r="K1065" s="1" t="str">
        <f>"תוספות לRPU עבור הזמנה E000312785"</f>
        <v>תוספות לRPU עבור הזמנה E000312785</v>
      </c>
      <c r="L1065">
        <v>0</v>
      </c>
      <c r="M1065" t="str">
        <f>"PR20000700"</f>
        <v>PR20000700</v>
      </c>
      <c r="N1065" t="str">
        <f>"1038C906-001 RPU3"</f>
        <v>1038C906-001 RPU3</v>
      </c>
      <c r="O1065" s="2">
        <v>19180</v>
      </c>
      <c r="P1065" t="str">
        <f>"$"</f>
        <v>$</v>
      </c>
      <c r="Q1065" t="str">
        <f>"119"</f>
        <v>119</v>
      </c>
      <c r="R1065" t="str">
        <f>"פלטפורמות"</f>
        <v>פלטפורמות</v>
      </c>
      <c r="S1065" t="str">
        <f>"034"</f>
        <v>034</v>
      </c>
      <c r="T1065" t="str">
        <f>"גנם הודיה"</f>
        <v>גנם הודיה</v>
      </c>
      <c r="U1065">
        <v>0</v>
      </c>
      <c r="V1065">
        <v>0</v>
      </c>
      <c r="W1065" s="2">
        <v>19180</v>
      </c>
      <c r="X1065">
        <v>0</v>
      </c>
      <c r="Z1065" t="str">
        <f>"Y"</f>
        <v>Y</v>
      </c>
      <c r="AA1065">
        <v>0</v>
      </c>
      <c r="AC1065">
        <v>0</v>
      </c>
      <c r="AE1065">
        <v>0</v>
      </c>
      <c r="AF1065">
        <v>0</v>
      </c>
      <c r="AG1065" s="2">
        <v>63063.839999999997</v>
      </c>
      <c r="AH1065">
        <v>0</v>
      </c>
      <c r="AI1065">
        <v>0</v>
      </c>
      <c r="AJ1065">
        <v>0</v>
      </c>
      <c r="AK1065">
        <v>0</v>
      </c>
      <c r="AL1065" t="str">
        <f>"$"</f>
        <v>$</v>
      </c>
    </row>
    <row r="1066" spans="1:38" x14ac:dyDescent="0.3">
      <c r="A1066" t="str">
        <f>"SO21000055"</f>
        <v>SO21000055</v>
      </c>
      <c r="B1066" t="str">
        <f>"E000331489"</f>
        <v>E000331489</v>
      </c>
      <c r="C1066" t="str">
        <f>"בוצעה"</f>
        <v>בוצעה</v>
      </c>
      <c r="E1066" s="3">
        <v>44228</v>
      </c>
      <c r="F1066" s="3">
        <v>44772</v>
      </c>
      <c r="G1066" t="str">
        <f>"700065"</f>
        <v>700065</v>
      </c>
      <c r="H1066" t="str">
        <f>"אלתא מערכות בע""מ"</f>
        <v>אלתא מערכות בע"מ</v>
      </c>
      <c r="I1066" t="str">
        <f>"ערן שלו"</f>
        <v>ערן שלו</v>
      </c>
      <c r="J1066" t="str">
        <f>"000"</f>
        <v>000</v>
      </c>
      <c r="K1066" s="1" t="str">
        <f>"תוספות לRPU עבור הזמנה E000312785 בקרה"</f>
        <v>תוספות לRPU עבור הזמנה E000312785 בקרה</v>
      </c>
      <c r="L1066">
        <v>1</v>
      </c>
      <c r="M1066" t="str">
        <f>"PR20000701"</f>
        <v>PR20000701</v>
      </c>
      <c r="N1066" t="str">
        <f>"108C906-001 RPU4"</f>
        <v>108C906-001 RPU4</v>
      </c>
      <c r="O1066" s="2">
        <v>32780</v>
      </c>
      <c r="P1066" t="str">
        <f>"$"</f>
        <v>$</v>
      </c>
      <c r="Q1066" t="str">
        <f>"119"</f>
        <v>119</v>
      </c>
      <c r="R1066" t="str">
        <f>"פלטפורמות"</f>
        <v>פלטפורמות</v>
      </c>
      <c r="S1066" t="str">
        <f>"034"</f>
        <v>034</v>
      </c>
      <c r="T1066" t="str">
        <f>"גנם הודיה"</f>
        <v>גנם הודיה</v>
      </c>
      <c r="U1066">
        <v>0</v>
      </c>
      <c r="V1066">
        <v>0</v>
      </c>
      <c r="W1066" s="2">
        <v>32780</v>
      </c>
      <c r="X1066" s="2">
        <v>32780</v>
      </c>
      <c r="Z1066" t="str">
        <f>"Y"</f>
        <v>Y</v>
      </c>
      <c r="AA1066">
        <v>1</v>
      </c>
      <c r="AC1066">
        <v>0</v>
      </c>
      <c r="AE1066">
        <v>0</v>
      </c>
      <c r="AF1066">
        <v>0</v>
      </c>
      <c r="AG1066" s="2">
        <v>107780.64</v>
      </c>
      <c r="AH1066">
        <v>0</v>
      </c>
      <c r="AI1066" s="2">
        <v>107780.64</v>
      </c>
      <c r="AJ1066" s="2">
        <v>32780</v>
      </c>
      <c r="AK1066" s="2">
        <v>32780</v>
      </c>
      <c r="AL1066" t="str">
        <f>"$"</f>
        <v>$</v>
      </c>
    </row>
    <row r="1067" spans="1:38" x14ac:dyDescent="0.3">
      <c r="A1067" t="str">
        <f>"SO21000055"</f>
        <v>SO21000055</v>
      </c>
      <c r="B1067" t="str">
        <f>"E000331489"</f>
        <v>E000331489</v>
      </c>
      <c r="C1067" t="str">
        <f>"בוצעה"</f>
        <v>בוצעה</v>
      </c>
      <c r="E1067" s="3">
        <v>44228</v>
      </c>
      <c r="F1067" s="3">
        <v>44803</v>
      </c>
      <c r="G1067" t="str">
        <f>"700065"</f>
        <v>700065</v>
      </c>
      <c r="H1067" t="str">
        <f>"אלתא מערכות בע""מ"</f>
        <v>אלתא מערכות בע"מ</v>
      </c>
      <c r="I1067" t="str">
        <f>"ערן שלו"</f>
        <v>ערן שלו</v>
      </c>
      <c r="J1067" t="str">
        <f>"000"</f>
        <v>000</v>
      </c>
      <c r="K1067" s="1" t="str">
        <f>"תוספות לRPU עבור הזמנה E000312785 בקרה"</f>
        <v>תוספות לRPU עבור הזמנה E000312785 בקרה</v>
      </c>
      <c r="L1067">
        <v>1</v>
      </c>
      <c r="M1067" t="str">
        <f>"PR20000702"</f>
        <v>PR20000702</v>
      </c>
      <c r="N1067" t="str">
        <f>"108C906-001 RPU5"</f>
        <v>108C906-001 RPU5</v>
      </c>
      <c r="O1067" s="2">
        <v>32780</v>
      </c>
      <c r="P1067" t="str">
        <f>"$"</f>
        <v>$</v>
      </c>
      <c r="Q1067" t="str">
        <f>"119"</f>
        <v>119</v>
      </c>
      <c r="R1067" t="str">
        <f>"פלטפורמות"</f>
        <v>פלטפורמות</v>
      </c>
      <c r="S1067" t="str">
        <f>"034"</f>
        <v>034</v>
      </c>
      <c r="T1067" t="str">
        <f>"גנם הודיה"</f>
        <v>גנם הודיה</v>
      </c>
      <c r="U1067">
        <v>0</v>
      </c>
      <c r="V1067">
        <v>0</v>
      </c>
      <c r="W1067" s="2">
        <v>32780</v>
      </c>
      <c r="X1067" s="2">
        <v>32780</v>
      </c>
      <c r="Z1067" t="str">
        <f>"Y"</f>
        <v>Y</v>
      </c>
      <c r="AA1067">
        <v>1</v>
      </c>
      <c r="AC1067">
        <v>0</v>
      </c>
      <c r="AE1067">
        <v>0</v>
      </c>
      <c r="AF1067">
        <v>0</v>
      </c>
      <c r="AG1067" s="2">
        <v>107780.64</v>
      </c>
      <c r="AH1067">
        <v>0</v>
      </c>
      <c r="AI1067" s="2">
        <v>107780.64</v>
      </c>
      <c r="AJ1067" s="2">
        <v>32780</v>
      </c>
      <c r="AK1067" s="2">
        <v>32780</v>
      </c>
      <c r="AL1067" t="str">
        <f>"$"</f>
        <v>$</v>
      </c>
    </row>
    <row r="1068" spans="1:38" x14ac:dyDescent="0.3">
      <c r="A1068" t="str">
        <f>"SO21000055"</f>
        <v>SO21000055</v>
      </c>
      <c r="B1068" t="str">
        <f>"E000331489"</f>
        <v>E000331489</v>
      </c>
      <c r="C1068" t="str">
        <f>"בוצעה"</f>
        <v>בוצעה</v>
      </c>
      <c r="E1068" s="3">
        <v>44228</v>
      </c>
      <c r="F1068" s="3">
        <v>44834</v>
      </c>
      <c r="G1068" t="str">
        <f>"700065"</f>
        <v>700065</v>
      </c>
      <c r="H1068" t="str">
        <f>"אלתא מערכות בע""מ"</f>
        <v>אלתא מערכות בע"מ</v>
      </c>
      <c r="I1068" t="str">
        <f>"ערן שלו"</f>
        <v>ערן שלו</v>
      </c>
      <c r="J1068" t="str">
        <f>"000"</f>
        <v>000</v>
      </c>
      <c r="K1068" s="1" t="str">
        <f>"תוספות לRPU עבור הזמנה E000312785 בקרה"</f>
        <v>תוספות לRPU עבור הזמנה E000312785 בקרה</v>
      </c>
      <c r="L1068">
        <v>1</v>
      </c>
      <c r="M1068" t="str">
        <f>"PR20000703"</f>
        <v>PR20000703</v>
      </c>
      <c r="N1068" t="str">
        <f>"108C906-001 RPU6"</f>
        <v>108C906-001 RPU6</v>
      </c>
      <c r="O1068" s="2">
        <v>32780</v>
      </c>
      <c r="P1068" t="str">
        <f>"$"</f>
        <v>$</v>
      </c>
      <c r="Q1068" t="str">
        <f>"119"</f>
        <v>119</v>
      </c>
      <c r="R1068" t="str">
        <f>"פלטפורמות"</f>
        <v>פלטפורמות</v>
      </c>
      <c r="S1068" t="str">
        <f>"034"</f>
        <v>034</v>
      </c>
      <c r="T1068" t="str">
        <f>"גנם הודיה"</f>
        <v>גנם הודיה</v>
      </c>
      <c r="U1068">
        <v>0</v>
      </c>
      <c r="V1068">
        <v>0</v>
      </c>
      <c r="W1068" s="2">
        <v>32780</v>
      </c>
      <c r="X1068" s="2">
        <v>32780</v>
      </c>
      <c r="Z1068" t="str">
        <f>"Y"</f>
        <v>Y</v>
      </c>
      <c r="AA1068">
        <v>1</v>
      </c>
      <c r="AC1068">
        <v>0</v>
      </c>
      <c r="AE1068">
        <v>0</v>
      </c>
      <c r="AF1068">
        <v>0</v>
      </c>
      <c r="AG1068" s="2">
        <v>107780.64</v>
      </c>
      <c r="AH1068">
        <v>0</v>
      </c>
      <c r="AI1068" s="2">
        <v>107780.64</v>
      </c>
      <c r="AJ1068" s="2">
        <v>32780</v>
      </c>
      <c r="AK1068" s="2">
        <v>32780</v>
      </c>
      <c r="AL1068" t="str">
        <f>"$"</f>
        <v>$</v>
      </c>
    </row>
    <row r="1069" spans="1:38" x14ac:dyDescent="0.3">
      <c r="A1069" t="str">
        <f>"SO21000055"</f>
        <v>SO21000055</v>
      </c>
      <c r="B1069" t="str">
        <f>"E000331489"</f>
        <v>E000331489</v>
      </c>
      <c r="C1069" t="str">
        <f>"בוצעה"</f>
        <v>בוצעה</v>
      </c>
      <c r="E1069" s="3">
        <v>44228</v>
      </c>
      <c r="F1069" s="3">
        <v>44864</v>
      </c>
      <c r="G1069" t="str">
        <f>"700065"</f>
        <v>700065</v>
      </c>
      <c r="H1069" t="str">
        <f>"אלתא מערכות בע""מ"</f>
        <v>אלתא מערכות בע"מ</v>
      </c>
      <c r="I1069" t="str">
        <f>"ערן שלו"</f>
        <v>ערן שלו</v>
      </c>
      <c r="J1069" t="str">
        <f>"000"</f>
        <v>000</v>
      </c>
      <c r="K1069" s="1" t="str">
        <f>"תוספות לRPU עבור הזמנה E000312785 בקרה"</f>
        <v>תוספות לRPU עבור הזמנה E000312785 בקרה</v>
      </c>
      <c r="L1069">
        <v>1</v>
      </c>
      <c r="M1069" t="str">
        <f>"PR20000704"</f>
        <v>PR20000704</v>
      </c>
      <c r="N1069" t="str">
        <f>"108C906-001 RPU7"</f>
        <v>108C906-001 RPU7</v>
      </c>
      <c r="O1069" s="2">
        <v>32780</v>
      </c>
      <c r="P1069" t="str">
        <f>"$"</f>
        <v>$</v>
      </c>
      <c r="Q1069" t="str">
        <f>"119"</f>
        <v>119</v>
      </c>
      <c r="R1069" t="str">
        <f>"פלטפורמות"</f>
        <v>פלטפורמות</v>
      </c>
      <c r="S1069" t="str">
        <f>"034"</f>
        <v>034</v>
      </c>
      <c r="T1069" t="str">
        <f>"גנם הודיה"</f>
        <v>גנם הודיה</v>
      </c>
      <c r="U1069">
        <v>0</v>
      </c>
      <c r="V1069">
        <v>0</v>
      </c>
      <c r="W1069" s="2">
        <v>32780</v>
      </c>
      <c r="X1069" s="2">
        <v>32780</v>
      </c>
      <c r="Z1069" t="str">
        <f>"Y"</f>
        <v>Y</v>
      </c>
      <c r="AA1069">
        <v>1</v>
      </c>
      <c r="AC1069">
        <v>0</v>
      </c>
      <c r="AE1069">
        <v>0</v>
      </c>
      <c r="AF1069">
        <v>0</v>
      </c>
      <c r="AG1069" s="2">
        <v>107780.64</v>
      </c>
      <c r="AH1069">
        <v>0</v>
      </c>
      <c r="AI1069" s="2">
        <v>107780.64</v>
      </c>
      <c r="AJ1069" s="2">
        <v>32780</v>
      </c>
      <c r="AK1069" s="2">
        <v>32780</v>
      </c>
      <c r="AL1069" t="str">
        <f>"$"</f>
        <v>$</v>
      </c>
    </row>
    <row r="1070" spans="1:38" x14ac:dyDescent="0.3">
      <c r="A1070" t="str">
        <f>"SO21000055"</f>
        <v>SO21000055</v>
      </c>
      <c r="B1070" t="str">
        <f>"E000331489"</f>
        <v>E000331489</v>
      </c>
      <c r="C1070" t="str">
        <f>"בוצעה"</f>
        <v>בוצעה</v>
      </c>
      <c r="E1070" s="3">
        <v>44228</v>
      </c>
      <c r="F1070" s="3">
        <v>44895</v>
      </c>
      <c r="G1070" t="str">
        <f>"700065"</f>
        <v>700065</v>
      </c>
      <c r="H1070" t="str">
        <f>"אלתא מערכות בע""מ"</f>
        <v>אלתא מערכות בע"מ</v>
      </c>
      <c r="I1070" t="str">
        <f>"ערן שלו"</f>
        <v>ערן שלו</v>
      </c>
      <c r="J1070" t="str">
        <f>"000"</f>
        <v>000</v>
      </c>
      <c r="K1070" s="1" t="str">
        <f>"תוספות לRPU עבור הזמנה E000312785 בקרה"</f>
        <v>תוספות לRPU עבור הזמנה E000312785 בקרה</v>
      </c>
      <c r="L1070">
        <v>1</v>
      </c>
      <c r="M1070" t="str">
        <f>"PR20000705"</f>
        <v>PR20000705</v>
      </c>
      <c r="N1070" t="str">
        <f>"108C906-001 RPU8"</f>
        <v>108C906-001 RPU8</v>
      </c>
      <c r="O1070" s="2">
        <v>32780</v>
      </c>
      <c r="P1070" t="str">
        <f>"$"</f>
        <v>$</v>
      </c>
      <c r="Q1070" t="str">
        <f>"119"</f>
        <v>119</v>
      </c>
      <c r="R1070" t="str">
        <f>"פלטפורמות"</f>
        <v>פלטפורמות</v>
      </c>
      <c r="S1070" t="str">
        <f>"034"</f>
        <v>034</v>
      </c>
      <c r="T1070" t="str">
        <f>"גנם הודיה"</f>
        <v>גנם הודיה</v>
      </c>
      <c r="U1070">
        <v>0</v>
      </c>
      <c r="V1070">
        <v>0</v>
      </c>
      <c r="W1070" s="2">
        <v>32780</v>
      </c>
      <c r="X1070" s="2">
        <v>32780</v>
      </c>
      <c r="Z1070" t="str">
        <f>"Y"</f>
        <v>Y</v>
      </c>
      <c r="AA1070">
        <v>1</v>
      </c>
      <c r="AC1070">
        <v>0</v>
      </c>
      <c r="AE1070">
        <v>0</v>
      </c>
      <c r="AF1070">
        <v>0</v>
      </c>
      <c r="AG1070" s="2">
        <v>107780.64</v>
      </c>
      <c r="AH1070">
        <v>0</v>
      </c>
      <c r="AI1070" s="2">
        <v>107780.64</v>
      </c>
      <c r="AJ1070" s="2">
        <v>32780</v>
      </c>
      <c r="AK1070" s="2">
        <v>32780</v>
      </c>
      <c r="AL1070" t="str">
        <f>"$"</f>
        <v>$</v>
      </c>
    </row>
    <row r="1071" spans="1:38" x14ac:dyDescent="0.3">
      <c r="A1071" t="str">
        <f>"SO21000055"</f>
        <v>SO21000055</v>
      </c>
      <c r="B1071" t="str">
        <f>"E000331489"</f>
        <v>E000331489</v>
      </c>
      <c r="C1071" t="str">
        <f>"בוצעה"</f>
        <v>בוצעה</v>
      </c>
      <c r="E1071" s="3">
        <v>44228</v>
      </c>
      <c r="F1071" s="3">
        <v>44711</v>
      </c>
      <c r="G1071" t="str">
        <f>"700065"</f>
        <v>700065</v>
      </c>
      <c r="H1071" t="str">
        <f>"אלתא מערכות בע""מ"</f>
        <v>אלתא מערכות בע"מ</v>
      </c>
      <c r="I1071" t="str">
        <f>"ערן שלו"</f>
        <v>ערן שלו</v>
      </c>
      <c r="J1071" t="str">
        <f>"000"</f>
        <v>000</v>
      </c>
      <c r="K1071" s="1" t="str">
        <f>"תוספות לRPU עבור הזמנה E000312785 משאבה"</f>
        <v>תוספות לRPU עבור הזמנה E000312785 משאבה</v>
      </c>
      <c r="L1071">
        <v>1</v>
      </c>
      <c r="M1071" t="str">
        <f>"PR20000698"</f>
        <v>PR20000698</v>
      </c>
      <c r="N1071" t="str">
        <f>"1038C906-001 RPU1"</f>
        <v>1038C906-001 RPU1</v>
      </c>
      <c r="O1071" s="2">
        <v>2530</v>
      </c>
      <c r="P1071" t="str">
        <f>"$"</f>
        <v>$</v>
      </c>
      <c r="Q1071" t="str">
        <f>"119"</f>
        <v>119</v>
      </c>
      <c r="R1071" t="str">
        <f>"פלטפורמות"</f>
        <v>פלטפורמות</v>
      </c>
      <c r="S1071" t="str">
        <f>"034"</f>
        <v>034</v>
      </c>
      <c r="T1071" t="str">
        <f>"גנם הודיה"</f>
        <v>גנם הודיה</v>
      </c>
      <c r="U1071">
        <v>0</v>
      </c>
      <c r="V1071">
        <v>0</v>
      </c>
      <c r="W1071" s="2">
        <v>2530</v>
      </c>
      <c r="X1071" s="2">
        <v>2530</v>
      </c>
      <c r="Z1071" t="str">
        <f>"Y"</f>
        <v>Y</v>
      </c>
      <c r="AA1071">
        <v>1</v>
      </c>
      <c r="AC1071">
        <v>0</v>
      </c>
      <c r="AE1071">
        <v>0</v>
      </c>
      <c r="AF1071">
        <v>0</v>
      </c>
      <c r="AG1071" s="2">
        <v>8318.64</v>
      </c>
      <c r="AH1071">
        <v>0</v>
      </c>
      <c r="AI1071" s="2">
        <v>8318.64</v>
      </c>
      <c r="AJ1071" s="2">
        <v>2530</v>
      </c>
      <c r="AK1071" s="2">
        <v>2530</v>
      </c>
      <c r="AL1071" t="str">
        <f>"$"</f>
        <v>$</v>
      </c>
    </row>
    <row r="1072" spans="1:38" x14ac:dyDescent="0.3">
      <c r="A1072" t="str">
        <f>"SO21000055"</f>
        <v>SO21000055</v>
      </c>
      <c r="B1072" t="str">
        <f>"E000331489"</f>
        <v>E000331489</v>
      </c>
      <c r="C1072" t="str">
        <f>"בוצעה"</f>
        <v>בוצעה</v>
      </c>
      <c r="E1072" s="3">
        <v>44228</v>
      </c>
      <c r="F1072" s="3">
        <v>44620</v>
      </c>
      <c r="G1072" t="str">
        <f>"700065"</f>
        <v>700065</v>
      </c>
      <c r="H1072" t="str">
        <f>"אלתא מערכות בע""מ"</f>
        <v>אלתא מערכות בע"מ</v>
      </c>
      <c r="I1072" t="str">
        <f>"ערן שלו"</f>
        <v>ערן שלו</v>
      </c>
      <c r="J1072" t="str">
        <f>"000"</f>
        <v>000</v>
      </c>
      <c r="K1072" s="1" t="str">
        <f>"תוספות לRPU עבור הזמנה E000312785 משאבה"</f>
        <v>תוספות לRPU עבור הזמנה E000312785 משאבה</v>
      </c>
      <c r="L1072">
        <v>2</v>
      </c>
      <c r="M1072" t="str">
        <f>"PR20000699"</f>
        <v>PR20000699</v>
      </c>
      <c r="N1072" t="str">
        <f>"1038C906-001 RPU2"</f>
        <v>1038C906-001 RPU2</v>
      </c>
      <c r="O1072" s="2">
        <v>2530</v>
      </c>
      <c r="P1072" t="str">
        <f>"$"</f>
        <v>$</v>
      </c>
      <c r="Q1072" t="str">
        <f>"119"</f>
        <v>119</v>
      </c>
      <c r="R1072" t="str">
        <f>"פלטפורמות"</f>
        <v>פלטפורמות</v>
      </c>
      <c r="S1072" t="str">
        <f>"034"</f>
        <v>034</v>
      </c>
      <c r="T1072" t="str">
        <f>"גנם הודיה"</f>
        <v>גנם הודיה</v>
      </c>
      <c r="U1072">
        <v>0</v>
      </c>
      <c r="V1072">
        <v>0</v>
      </c>
      <c r="W1072" s="2">
        <v>2530</v>
      </c>
      <c r="X1072" s="2">
        <v>5060</v>
      </c>
      <c r="Z1072" t="str">
        <f>"Y"</f>
        <v>Y</v>
      </c>
      <c r="AA1072">
        <v>1</v>
      </c>
      <c r="AC1072">
        <v>0</v>
      </c>
      <c r="AE1072">
        <v>0</v>
      </c>
      <c r="AF1072">
        <v>0</v>
      </c>
      <c r="AG1072" s="2">
        <v>8318.64</v>
      </c>
      <c r="AH1072">
        <v>0</v>
      </c>
      <c r="AI1072" s="2">
        <v>16637.28</v>
      </c>
      <c r="AJ1072" s="2">
        <v>5060</v>
      </c>
      <c r="AK1072" s="2">
        <v>5060</v>
      </c>
      <c r="AL1072" t="str">
        <f>"$"</f>
        <v>$</v>
      </c>
    </row>
    <row r="1073" spans="1:38" x14ac:dyDescent="0.3">
      <c r="A1073" t="str">
        <f>"SO21000055"</f>
        <v>SO21000055</v>
      </c>
      <c r="B1073" t="str">
        <f>"E000331489"</f>
        <v>E000331489</v>
      </c>
      <c r="C1073" t="str">
        <f>"בוצעה"</f>
        <v>בוצעה</v>
      </c>
      <c r="E1073" s="3">
        <v>44228</v>
      </c>
      <c r="F1073" s="3">
        <v>44742</v>
      </c>
      <c r="G1073" t="str">
        <f>"700065"</f>
        <v>700065</v>
      </c>
      <c r="H1073" t="str">
        <f>"אלתא מערכות בע""מ"</f>
        <v>אלתא מערכות בע"מ</v>
      </c>
      <c r="I1073" t="str">
        <f>"ערן שלו"</f>
        <v>ערן שלו</v>
      </c>
      <c r="J1073" t="str">
        <f>"000"</f>
        <v>000</v>
      </c>
      <c r="K1073" s="1" t="str">
        <f>"תוספות לRPU עבור הזמנה E000312785 משאבה"</f>
        <v>תוספות לRPU עבור הזמנה E000312785 משאבה</v>
      </c>
      <c r="L1073">
        <v>1</v>
      </c>
      <c r="M1073" t="str">
        <f>"PR20000700"</f>
        <v>PR20000700</v>
      </c>
      <c r="N1073" t="str">
        <f>"1038C906-001 RPU3"</f>
        <v>1038C906-001 RPU3</v>
      </c>
      <c r="O1073" s="2">
        <v>2530</v>
      </c>
      <c r="P1073" t="str">
        <f>"$"</f>
        <v>$</v>
      </c>
      <c r="Q1073" t="str">
        <f>"119"</f>
        <v>119</v>
      </c>
      <c r="R1073" t="str">
        <f>"פלטפורמות"</f>
        <v>פלטפורמות</v>
      </c>
      <c r="S1073" t="str">
        <f>"034"</f>
        <v>034</v>
      </c>
      <c r="T1073" t="str">
        <f>"גנם הודיה"</f>
        <v>גנם הודיה</v>
      </c>
      <c r="U1073">
        <v>0</v>
      </c>
      <c r="V1073">
        <v>0</v>
      </c>
      <c r="W1073" s="2">
        <v>2530</v>
      </c>
      <c r="X1073" s="2">
        <v>2530</v>
      </c>
      <c r="Z1073" t="str">
        <f>"Y"</f>
        <v>Y</v>
      </c>
      <c r="AA1073">
        <v>1</v>
      </c>
      <c r="AC1073">
        <v>0</v>
      </c>
      <c r="AE1073">
        <v>0</v>
      </c>
      <c r="AF1073">
        <v>0</v>
      </c>
      <c r="AG1073" s="2">
        <v>8318.64</v>
      </c>
      <c r="AH1073">
        <v>0</v>
      </c>
      <c r="AI1073" s="2">
        <v>8318.64</v>
      </c>
      <c r="AJ1073" s="2">
        <v>2530</v>
      </c>
      <c r="AK1073" s="2">
        <v>2530</v>
      </c>
      <c r="AL1073" t="str">
        <f>"$"</f>
        <v>$</v>
      </c>
    </row>
    <row r="1074" spans="1:38" x14ac:dyDescent="0.3">
      <c r="A1074" t="str">
        <f>"SO21000055"</f>
        <v>SO21000055</v>
      </c>
      <c r="B1074" t="str">
        <f>"E000331489"</f>
        <v>E000331489</v>
      </c>
      <c r="C1074" t="str">
        <f>"בוצעה"</f>
        <v>בוצעה</v>
      </c>
      <c r="E1074" s="3">
        <v>44228</v>
      </c>
      <c r="F1074" s="3">
        <v>44772</v>
      </c>
      <c r="G1074" t="str">
        <f>"700065"</f>
        <v>700065</v>
      </c>
      <c r="H1074" t="str">
        <f>"אלתא מערכות בע""מ"</f>
        <v>אלתא מערכות בע"מ</v>
      </c>
      <c r="I1074" t="str">
        <f>"ערן שלו"</f>
        <v>ערן שלו</v>
      </c>
      <c r="J1074" t="str">
        <f>"000"</f>
        <v>000</v>
      </c>
      <c r="K1074" s="1" t="str">
        <f>"תוספות לRPU עבור הזמנה E000312785 משאבה 05"</f>
        <v>תוספות לRPU עבור הזמנה E000312785 משאבה 05</v>
      </c>
      <c r="L1074">
        <v>1</v>
      </c>
      <c r="M1074" t="str">
        <f>"PR20000701"</f>
        <v>PR20000701</v>
      </c>
      <c r="N1074" t="str">
        <f>"108C906-001 RPU4"</f>
        <v>108C906-001 RPU4</v>
      </c>
      <c r="O1074" s="2">
        <v>2530</v>
      </c>
      <c r="P1074" t="str">
        <f>"$"</f>
        <v>$</v>
      </c>
      <c r="Q1074" t="str">
        <f>"119"</f>
        <v>119</v>
      </c>
      <c r="R1074" t="str">
        <f>"פלטפורמות"</f>
        <v>פלטפורמות</v>
      </c>
      <c r="S1074" t="str">
        <f>"034"</f>
        <v>034</v>
      </c>
      <c r="T1074" t="str">
        <f>"גנם הודיה"</f>
        <v>גנם הודיה</v>
      </c>
      <c r="U1074">
        <v>0</v>
      </c>
      <c r="V1074">
        <v>0</v>
      </c>
      <c r="W1074" s="2">
        <v>2530</v>
      </c>
      <c r="X1074" s="2">
        <v>2530</v>
      </c>
      <c r="Z1074" t="str">
        <f>"Y"</f>
        <v>Y</v>
      </c>
      <c r="AA1074">
        <v>1</v>
      </c>
      <c r="AC1074">
        <v>0</v>
      </c>
      <c r="AE1074">
        <v>0</v>
      </c>
      <c r="AF1074">
        <v>0</v>
      </c>
      <c r="AG1074" s="2">
        <v>8318.64</v>
      </c>
      <c r="AH1074">
        <v>0</v>
      </c>
      <c r="AI1074" s="2">
        <v>8318.64</v>
      </c>
      <c r="AJ1074" s="2">
        <v>2530</v>
      </c>
      <c r="AK1074" s="2">
        <v>2530</v>
      </c>
      <c r="AL1074" t="str">
        <f>"$"</f>
        <v>$</v>
      </c>
    </row>
    <row r="1075" spans="1:38" x14ac:dyDescent="0.3">
      <c r="A1075" t="str">
        <f>"SO21000055"</f>
        <v>SO21000055</v>
      </c>
      <c r="B1075" t="str">
        <f>"E000331489"</f>
        <v>E000331489</v>
      </c>
      <c r="C1075" t="str">
        <f>"בוצעה"</f>
        <v>בוצעה</v>
      </c>
      <c r="E1075" s="3">
        <v>44228</v>
      </c>
      <c r="F1075" s="3">
        <v>44803</v>
      </c>
      <c r="G1075" t="str">
        <f>"700065"</f>
        <v>700065</v>
      </c>
      <c r="H1075" t="str">
        <f>"אלתא מערכות בע""מ"</f>
        <v>אלתא מערכות בע"מ</v>
      </c>
      <c r="I1075" t="str">
        <f>"ערן שלו"</f>
        <v>ערן שלו</v>
      </c>
      <c r="J1075" t="str">
        <f>"000"</f>
        <v>000</v>
      </c>
      <c r="K1075" s="1" t="str">
        <f>"תוספות לRPU עבור הזמנה E000312785 משאבה"</f>
        <v>תוספות לRPU עבור הזמנה E000312785 משאבה</v>
      </c>
      <c r="L1075">
        <v>1</v>
      </c>
      <c r="M1075" t="str">
        <f>"PR20000702"</f>
        <v>PR20000702</v>
      </c>
      <c r="N1075" t="str">
        <f>"108C906-001 RPU5"</f>
        <v>108C906-001 RPU5</v>
      </c>
      <c r="O1075" s="2">
        <v>2530</v>
      </c>
      <c r="P1075" t="str">
        <f>"$"</f>
        <v>$</v>
      </c>
      <c r="Q1075" t="str">
        <f>"119"</f>
        <v>119</v>
      </c>
      <c r="R1075" t="str">
        <f>"פלטפורמות"</f>
        <v>פלטפורמות</v>
      </c>
      <c r="S1075" t="str">
        <f>"034"</f>
        <v>034</v>
      </c>
      <c r="T1075" t="str">
        <f>"גנם הודיה"</f>
        <v>גנם הודיה</v>
      </c>
      <c r="U1075">
        <v>0</v>
      </c>
      <c r="V1075">
        <v>0</v>
      </c>
      <c r="W1075" s="2">
        <v>2530</v>
      </c>
      <c r="X1075" s="2">
        <v>2530</v>
      </c>
      <c r="Z1075" t="str">
        <f>"Y"</f>
        <v>Y</v>
      </c>
      <c r="AA1075">
        <v>1</v>
      </c>
      <c r="AC1075">
        <v>0</v>
      </c>
      <c r="AE1075">
        <v>0</v>
      </c>
      <c r="AF1075">
        <v>0</v>
      </c>
      <c r="AG1075" s="2">
        <v>8318.64</v>
      </c>
      <c r="AH1075">
        <v>0</v>
      </c>
      <c r="AI1075" s="2">
        <v>8318.64</v>
      </c>
      <c r="AJ1075" s="2">
        <v>2530</v>
      </c>
      <c r="AK1075" s="2">
        <v>2530</v>
      </c>
      <c r="AL1075" t="str">
        <f>"$"</f>
        <v>$</v>
      </c>
    </row>
    <row r="1076" spans="1:38" x14ac:dyDescent="0.3">
      <c r="A1076" t="str">
        <f>"SO21000055"</f>
        <v>SO21000055</v>
      </c>
      <c r="B1076" t="str">
        <f>"E000331489"</f>
        <v>E000331489</v>
      </c>
      <c r="C1076" t="str">
        <f>"בוצעה"</f>
        <v>בוצעה</v>
      </c>
      <c r="E1076" s="3">
        <v>44228</v>
      </c>
      <c r="F1076" s="3">
        <v>44834</v>
      </c>
      <c r="G1076" t="str">
        <f>"700065"</f>
        <v>700065</v>
      </c>
      <c r="H1076" t="str">
        <f>"אלתא מערכות בע""מ"</f>
        <v>אלתא מערכות בע"מ</v>
      </c>
      <c r="I1076" t="str">
        <f>"ערן שלו"</f>
        <v>ערן שלו</v>
      </c>
      <c r="J1076" t="str">
        <f>"000"</f>
        <v>000</v>
      </c>
      <c r="K1076" s="1" t="str">
        <f>"תוספות לRPU עבור הזמנה E000312785 משאבה"</f>
        <v>תוספות לRPU עבור הזמנה E000312785 משאבה</v>
      </c>
      <c r="L1076">
        <v>1</v>
      </c>
      <c r="M1076" t="str">
        <f>"PR20000703"</f>
        <v>PR20000703</v>
      </c>
      <c r="N1076" t="str">
        <f>"108C906-001 RPU6"</f>
        <v>108C906-001 RPU6</v>
      </c>
      <c r="O1076" s="2">
        <v>2530</v>
      </c>
      <c r="P1076" t="str">
        <f>"$"</f>
        <v>$</v>
      </c>
      <c r="Q1076" t="str">
        <f>"119"</f>
        <v>119</v>
      </c>
      <c r="R1076" t="str">
        <f>"פלטפורמות"</f>
        <v>פלטפורמות</v>
      </c>
      <c r="S1076" t="str">
        <f>"034"</f>
        <v>034</v>
      </c>
      <c r="T1076" t="str">
        <f>"גנם הודיה"</f>
        <v>גנם הודיה</v>
      </c>
      <c r="U1076">
        <v>0</v>
      </c>
      <c r="V1076">
        <v>0</v>
      </c>
      <c r="W1076" s="2">
        <v>2530</v>
      </c>
      <c r="X1076" s="2">
        <v>2530</v>
      </c>
      <c r="Z1076" t="str">
        <f>"Y"</f>
        <v>Y</v>
      </c>
      <c r="AA1076">
        <v>1</v>
      </c>
      <c r="AC1076">
        <v>0</v>
      </c>
      <c r="AE1076">
        <v>0</v>
      </c>
      <c r="AF1076">
        <v>0</v>
      </c>
      <c r="AG1076" s="2">
        <v>8318.64</v>
      </c>
      <c r="AH1076">
        <v>0</v>
      </c>
      <c r="AI1076" s="2">
        <v>8318.64</v>
      </c>
      <c r="AJ1076" s="2">
        <v>2530</v>
      </c>
      <c r="AK1076" s="2">
        <v>2530</v>
      </c>
      <c r="AL1076" t="str">
        <f>"$"</f>
        <v>$</v>
      </c>
    </row>
    <row r="1077" spans="1:38" x14ac:dyDescent="0.3">
      <c r="A1077" t="str">
        <f>"SO21000055"</f>
        <v>SO21000055</v>
      </c>
      <c r="B1077" t="str">
        <f>"E000331489"</f>
        <v>E000331489</v>
      </c>
      <c r="C1077" t="str">
        <f>"בוצעה"</f>
        <v>בוצעה</v>
      </c>
      <c r="E1077" s="3">
        <v>44228</v>
      </c>
      <c r="F1077" s="3">
        <v>44864</v>
      </c>
      <c r="G1077" t="str">
        <f>"700065"</f>
        <v>700065</v>
      </c>
      <c r="H1077" t="str">
        <f>"אלתא מערכות בע""מ"</f>
        <v>אלתא מערכות בע"מ</v>
      </c>
      <c r="I1077" t="str">
        <f>"ערן שלו"</f>
        <v>ערן שלו</v>
      </c>
      <c r="J1077" t="str">
        <f>"000"</f>
        <v>000</v>
      </c>
      <c r="K1077" s="1" t="str">
        <f>"תוספות לRPU עבור הזמנה E000312785 משאבה"</f>
        <v>תוספות לRPU עבור הזמנה E000312785 משאבה</v>
      </c>
      <c r="L1077">
        <v>1</v>
      </c>
      <c r="M1077" t="str">
        <f>"PR20000704"</f>
        <v>PR20000704</v>
      </c>
      <c r="N1077" t="str">
        <f>"108C906-001 RPU7"</f>
        <v>108C906-001 RPU7</v>
      </c>
      <c r="O1077" s="2">
        <v>2530</v>
      </c>
      <c r="P1077" t="str">
        <f>"$"</f>
        <v>$</v>
      </c>
      <c r="Q1077" t="str">
        <f>"119"</f>
        <v>119</v>
      </c>
      <c r="R1077" t="str">
        <f>"פלטפורמות"</f>
        <v>פלטפורמות</v>
      </c>
      <c r="S1077" t="str">
        <f>"034"</f>
        <v>034</v>
      </c>
      <c r="T1077" t="str">
        <f>"גנם הודיה"</f>
        <v>גנם הודיה</v>
      </c>
      <c r="U1077">
        <v>0</v>
      </c>
      <c r="V1077">
        <v>0</v>
      </c>
      <c r="W1077" s="2">
        <v>2530</v>
      </c>
      <c r="X1077" s="2">
        <v>2530</v>
      </c>
      <c r="Z1077" t="str">
        <f>"Y"</f>
        <v>Y</v>
      </c>
      <c r="AA1077">
        <v>1</v>
      </c>
      <c r="AC1077">
        <v>0</v>
      </c>
      <c r="AE1077">
        <v>0</v>
      </c>
      <c r="AF1077">
        <v>0</v>
      </c>
      <c r="AG1077" s="2">
        <v>8318.64</v>
      </c>
      <c r="AH1077">
        <v>0</v>
      </c>
      <c r="AI1077" s="2">
        <v>8318.64</v>
      </c>
      <c r="AJ1077" s="2">
        <v>2530</v>
      </c>
      <c r="AK1077" s="2">
        <v>2530</v>
      </c>
      <c r="AL1077" t="str">
        <f>"$"</f>
        <v>$</v>
      </c>
    </row>
    <row r="1078" spans="1:38" x14ac:dyDescent="0.3">
      <c r="A1078" t="str">
        <f>"SO21000055"</f>
        <v>SO21000055</v>
      </c>
      <c r="B1078" t="str">
        <f>"E000331489"</f>
        <v>E000331489</v>
      </c>
      <c r="C1078" t="str">
        <f>"בוצעה"</f>
        <v>בוצעה</v>
      </c>
      <c r="E1078" s="3">
        <v>44228</v>
      </c>
      <c r="F1078" s="3">
        <v>44591</v>
      </c>
      <c r="G1078" t="str">
        <f>"700065"</f>
        <v>700065</v>
      </c>
      <c r="H1078" t="str">
        <f>"אלתא מערכות בע""מ"</f>
        <v>אלתא מערכות בע"מ</v>
      </c>
      <c r="I1078" t="str">
        <f>"ערן שלו"</f>
        <v>ערן שלו</v>
      </c>
      <c r="J1078" t="str">
        <f>"000"</f>
        <v>000</v>
      </c>
      <c r="K1078" s="1" t="str">
        <f>"תוספות לRPU עבור הזמנה E000312785 משתיק"</f>
        <v>תוספות לRPU עבור הזמנה E000312785 משתיק</v>
      </c>
      <c r="L1078">
        <v>1</v>
      </c>
      <c r="M1078" t="str">
        <f>"PR20000701"</f>
        <v>PR20000701</v>
      </c>
      <c r="N1078" t="str">
        <f>"108C906-001 RPU4"</f>
        <v>108C906-001 RPU4</v>
      </c>
      <c r="O1078" s="2">
        <v>9800</v>
      </c>
      <c r="P1078" t="str">
        <f>"$"</f>
        <v>$</v>
      </c>
      <c r="Q1078" t="str">
        <f>"119"</f>
        <v>119</v>
      </c>
      <c r="R1078" t="str">
        <f>"פלטפורמות"</f>
        <v>פלטפורמות</v>
      </c>
      <c r="S1078" t="str">
        <f>"034"</f>
        <v>034</v>
      </c>
      <c r="T1078" t="str">
        <f>"גנם הודיה"</f>
        <v>גנם הודיה</v>
      </c>
      <c r="U1078">
        <v>0</v>
      </c>
      <c r="V1078">
        <v>0</v>
      </c>
      <c r="W1078" s="2">
        <v>9800</v>
      </c>
      <c r="X1078" s="2">
        <v>9800</v>
      </c>
      <c r="Z1078" t="str">
        <f>"Y"</f>
        <v>Y</v>
      </c>
      <c r="AA1078">
        <v>1</v>
      </c>
      <c r="AC1078">
        <v>0</v>
      </c>
      <c r="AE1078">
        <v>0</v>
      </c>
      <c r="AF1078">
        <v>0</v>
      </c>
      <c r="AG1078" s="2">
        <v>32222.400000000001</v>
      </c>
      <c r="AH1078">
        <v>0</v>
      </c>
      <c r="AI1078" s="2">
        <v>32222.400000000001</v>
      </c>
      <c r="AJ1078" s="2">
        <v>9800</v>
      </c>
      <c r="AK1078" s="2">
        <v>9800</v>
      </c>
      <c r="AL1078" t="str">
        <f>"$"</f>
        <v>$</v>
      </c>
    </row>
    <row r="1079" spans="1:38" x14ac:dyDescent="0.3">
      <c r="A1079" t="str">
        <f>"SO21000055"</f>
        <v>SO21000055</v>
      </c>
      <c r="B1079" t="str">
        <f>"E000331489"</f>
        <v>E000331489</v>
      </c>
      <c r="C1079" t="str">
        <f>"בוצעה"</f>
        <v>בוצעה</v>
      </c>
      <c r="E1079" s="3">
        <v>44228</v>
      </c>
      <c r="F1079" s="3">
        <v>44591</v>
      </c>
      <c r="G1079" t="str">
        <f>"700065"</f>
        <v>700065</v>
      </c>
      <c r="H1079" t="str">
        <f>"אלתא מערכות בע""מ"</f>
        <v>אלתא מערכות בע"מ</v>
      </c>
      <c r="I1079" t="str">
        <f>"ערן שלו"</f>
        <v>ערן שלו</v>
      </c>
      <c r="J1079" t="str">
        <f>"000"</f>
        <v>000</v>
      </c>
      <c r="K1079" s="1" t="str">
        <f>"תוספות לRPU עבור הזמנה E000312785 משתיק"</f>
        <v>תוספות לRPU עבור הזמנה E000312785 משתיק</v>
      </c>
      <c r="L1079">
        <v>1</v>
      </c>
      <c r="M1079" t="str">
        <f>"PR20000702"</f>
        <v>PR20000702</v>
      </c>
      <c r="N1079" t="str">
        <f>"108C906-001 RPU5"</f>
        <v>108C906-001 RPU5</v>
      </c>
      <c r="O1079" s="2">
        <v>9800</v>
      </c>
      <c r="P1079" t="str">
        <f>"$"</f>
        <v>$</v>
      </c>
      <c r="Q1079" t="str">
        <f>"119"</f>
        <v>119</v>
      </c>
      <c r="R1079" t="str">
        <f>"פלטפורמות"</f>
        <v>פלטפורמות</v>
      </c>
      <c r="S1079" t="str">
        <f>"034"</f>
        <v>034</v>
      </c>
      <c r="T1079" t="str">
        <f>"גנם הודיה"</f>
        <v>גנם הודיה</v>
      </c>
      <c r="U1079">
        <v>0</v>
      </c>
      <c r="V1079">
        <v>0</v>
      </c>
      <c r="W1079" s="2">
        <v>9800</v>
      </c>
      <c r="X1079" s="2">
        <v>9800</v>
      </c>
      <c r="Z1079" t="str">
        <f>"Y"</f>
        <v>Y</v>
      </c>
      <c r="AA1079">
        <v>1</v>
      </c>
      <c r="AC1079">
        <v>0</v>
      </c>
      <c r="AE1079">
        <v>0</v>
      </c>
      <c r="AF1079">
        <v>0</v>
      </c>
      <c r="AG1079" s="2">
        <v>32222.400000000001</v>
      </c>
      <c r="AH1079">
        <v>0</v>
      </c>
      <c r="AI1079" s="2">
        <v>32222.400000000001</v>
      </c>
      <c r="AJ1079" s="2">
        <v>9800</v>
      </c>
      <c r="AK1079" s="2">
        <v>9800</v>
      </c>
      <c r="AL1079" t="str">
        <f>"$"</f>
        <v>$</v>
      </c>
    </row>
    <row r="1080" spans="1:38" x14ac:dyDescent="0.3">
      <c r="A1080" t="str">
        <f>"SO21000055"</f>
        <v>SO21000055</v>
      </c>
      <c r="B1080" t="str">
        <f>"E000331489"</f>
        <v>E000331489</v>
      </c>
      <c r="C1080" t="str">
        <f>"בוצעה"</f>
        <v>בוצעה</v>
      </c>
      <c r="E1080" s="3">
        <v>44228</v>
      </c>
      <c r="F1080" s="3">
        <v>44591</v>
      </c>
      <c r="G1080" t="str">
        <f>"700065"</f>
        <v>700065</v>
      </c>
      <c r="H1080" t="str">
        <f>"אלתא מערכות בע""מ"</f>
        <v>אלתא מערכות בע"מ</v>
      </c>
      <c r="I1080" t="str">
        <f>"ערן שלו"</f>
        <v>ערן שלו</v>
      </c>
      <c r="J1080" t="str">
        <f>"000"</f>
        <v>000</v>
      </c>
      <c r="K1080" s="1" t="str">
        <f>"תוספות לRPU עבור הזמנה E000312785 משתיק"</f>
        <v>תוספות לRPU עבור הזמנה E000312785 משתיק</v>
      </c>
      <c r="L1080">
        <v>1</v>
      </c>
      <c r="M1080" t="str">
        <f>"PR20000703"</f>
        <v>PR20000703</v>
      </c>
      <c r="N1080" t="str">
        <f>"108C906-001 RPU6"</f>
        <v>108C906-001 RPU6</v>
      </c>
      <c r="O1080" s="2">
        <v>9800</v>
      </c>
      <c r="P1080" t="str">
        <f>"$"</f>
        <v>$</v>
      </c>
      <c r="Q1080" t="str">
        <f>"119"</f>
        <v>119</v>
      </c>
      <c r="R1080" t="str">
        <f>"פלטפורמות"</f>
        <v>פלטפורמות</v>
      </c>
      <c r="S1080" t="str">
        <f>"034"</f>
        <v>034</v>
      </c>
      <c r="T1080" t="str">
        <f>"גנם הודיה"</f>
        <v>גנם הודיה</v>
      </c>
      <c r="U1080">
        <v>0</v>
      </c>
      <c r="V1080">
        <v>0</v>
      </c>
      <c r="W1080" s="2">
        <v>9800</v>
      </c>
      <c r="X1080" s="2">
        <v>9800</v>
      </c>
      <c r="Z1080" t="str">
        <f>"Y"</f>
        <v>Y</v>
      </c>
      <c r="AA1080">
        <v>1</v>
      </c>
      <c r="AC1080">
        <v>0</v>
      </c>
      <c r="AE1080">
        <v>0</v>
      </c>
      <c r="AF1080">
        <v>0</v>
      </c>
      <c r="AG1080" s="2">
        <v>32222.400000000001</v>
      </c>
      <c r="AH1080">
        <v>0</v>
      </c>
      <c r="AI1080" s="2">
        <v>32222.400000000001</v>
      </c>
      <c r="AJ1080" s="2">
        <v>9800</v>
      </c>
      <c r="AK1080" s="2">
        <v>9800</v>
      </c>
      <c r="AL1080" t="str">
        <f>"$"</f>
        <v>$</v>
      </c>
    </row>
    <row r="1081" spans="1:38" x14ac:dyDescent="0.3">
      <c r="A1081" t="str">
        <f>"SO21000055"</f>
        <v>SO21000055</v>
      </c>
      <c r="B1081" t="str">
        <f>"E000331489"</f>
        <v>E000331489</v>
      </c>
      <c r="C1081" t="str">
        <f>"בוצעה"</f>
        <v>בוצעה</v>
      </c>
      <c r="E1081" s="3">
        <v>44228</v>
      </c>
      <c r="F1081" s="3">
        <v>44591</v>
      </c>
      <c r="G1081" t="str">
        <f>"700065"</f>
        <v>700065</v>
      </c>
      <c r="H1081" t="str">
        <f>"אלתא מערכות בע""מ"</f>
        <v>אלתא מערכות בע"מ</v>
      </c>
      <c r="I1081" t="str">
        <f>"ערן שלו"</f>
        <v>ערן שלו</v>
      </c>
      <c r="J1081" t="str">
        <f>"000"</f>
        <v>000</v>
      </c>
      <c r="K1081" s="1" t="str">
        <f>"תוספות לRPU עבור הזמנה E000312785 משתיק"</f>
        <v>תוספות לRPU עבור הזמנה E000312785 משתיק</v>
      </c>
      <c r="L1081">
        <v>1</v>
      </c>
      <c r="M1081" t="str">
        <f>"PR20000704"</f>
        <v>PR20000704</v>
      </c>
      <c r="N1081" t="str">
        <f>"108C906-001 RPU7"</f>
        <v>108C906-001 RPU7</v>
      </c>
      <c r="O1081" s="2">
        <v>9800</v>
      </c>
      <c r="P1081" t="str">
        <f>"$"</f>
        <v>$</v>
      </c>
      <c r="Q1081" t="str">
        <f>"119"</f>
        <v>119</v>
      </c>
      <c r="R1081" t="str">
        <f>"פלטפורמות"</f>
        <v>פלטפורמות</v>
      </c>
      <c r="S1081" t="str">
        <f>"034"</f>
        <v>034</v>
      </c>
      <c r="T1081" t="str">
        <f>"גנם הודיה"</f>
        <v>גנם הודיה</v>
      </c>
      <c r="U1081">
        <v>0</v>
      </c>
      <c r="V1081">
        <v>0</v>
      </c>
      <c r="W1081" s="2">
        <v>9800</v>
      </c>
      <c r="X1081" s="2">
        <v>9800</v>
      </c>
      <c r="Z1081" t="str">
        <f>"Y"</f>
        <v>Y</v>
      </c>
      <c r="AA1081">
        <v>1</v>
      </c>
      <c r="AC1081">
        <v>0</v>
      </c>
      <c r="AE1081">
        <v>0</v>
      </c>
      <c r="AF1081">
        <v>0</v>
      </c>
      <c r="AG1081" s="2">
        <v>32222.400000000001</v>
      </c>
      <c r="AH1081">
        <v>0</v>
      </c>
      <c r="AI1081" s="2">
        <v>32222.400000000001</v>
      </c>
      <c r="AJ1081" s="2">
        <v>9800</v>
      </c>
      <c r="AK1081" s="2">
        <v>9800</v>
      </c>
      <c r="AL1081" t="str">
        <f>"$"</f>
        <v>$</v>
      </c>
    </row>
    <row r="1082" spans="1:38" x14ac:dyDescent="0.3">
      <c r="A1082" t="str">
        <f>"SO21000055"</f>
        <v>SO21000055</v>
      </c>
      <c r="B1082" t="str">
        <f>"E000331489"</f>
        <v>E000331489</v>
      </c>
      <c r="C1082" t="str">
        <f>"בוצעה"</f>
        <v>בוצעה</v>
      </c>
      <c r="E1082" s="3">
        <v>44228</v>
      </c>
      <c r="F1082" s="3">
        <v>44591</v>
      </c>
      <c r="G1082" t="str">
        <f>"700065"</f>
        <v>700065</v>
      </c>
      <c r="H1082" t="str">
        <f>"אלתא מערכות בע""מ"</f>
        <v>אלתא מערכות בע"מ</v>
      </c>
      <c r="I1082" t="str">
        <f>"ערן שלו"</f>
        <v>ערן שלו</v>
      </c>
      <c r="J1082" t="str">
        <f>"000"</f>
        <v>000</v>
      </c>
      <c r="K1082" s="1" t="str">
        <f>"תוספות לRPU עבור הזמנה E000312785 משתיק"</f>
        <v>תוספות לRPU עבור הזמנה E000312785 משתיק</v>
      </c>
      <c r="L1082">
        <v>1</v>
      </c>
      <c r="M1082" t="str">
        <f>"PR20000705"</f>
        <v>PR20000705</v>
      </c>
      <c r="N1082" t="str">
        <f>"108C906-001 RPU8"</f>
        <v>108C906-001 RPU8</v>
      </c>
      <c r="O1082" s="2">
        <v>9800</v>
      </c>
      <c r="P1082" t="str">
        <f>"$"</f>
        <v>$</v>
      </c>
      <c r="Q1082" t="str">
        <f>"119"</f>
        <v>119</v>
      </c>
      <c r="R1082" t="str">
        <f>"פלטפורמות"</f>
        <v>פלטפורמות</v>
      </c>
      <c r="S1082" t="str">
        <f>"034"</f>
        <v>034</v>
      </c>
      <c r="T1082" t="str">
        <f>"גנם הודיה"</f>
        <v>גנם הודיה</v>
      </c>
      <c r="U1082">
        <v>0</v>
      </c>
      <c r="V1082">
        <v>0</v>
      </c>
      <c r="W1082" s="2">
        <v>9800</v>
      </c>
      <c r="X1082" s="2">
        <v>9800</v>
      </c>
      <c r="Z1082" t="str">
        <f>"Y"</f>
        <v>Y</v>
      </c>
      <c r="AA1082">
        <v>1</v>
      </c>
      <c r="AC1082">
        <v>0</v>
      </c>
      <c r="AE1082">
        <v>0</v>
      </c>
      <c r="AF1082">
        <v>0</v>
      </c>
      <c r="AG1082" s="2">
        <v>32222.400000000001</v>
      </c>
      <c r="AH1082">
        <v>0</v>
      </c>
      <c r="AI1082" s="2">
        <v>32222.400000000001</v>
      </c>
      <c r="AJ1082" s="2">
        <v>9800</v>
      </c>
      <c r="AK1082" s="2">
        <v>9800</v>
      </c>
      <c r="AL1082" t="str">
        <f>"$"</f>
        <v>$</v>
      </c>
    </row>
    <row r="1083" spans="1:38" x14ac:dyDescent="0.3">
      <c r="A1083" t="str">
        <f>"SO21000055"</f>
        <v>SO21000055</v>
      </c>
      <c r="B1083" t="str">
        <f>"E000331489"</f>
        <v>E000331489</v>
      </c>
      <c r="C1083" t="str">
        <f>"בוצעה"</f>
        <v>בוצעה</v>
      </c>
      <c r="E1083" s="3">
        <v>44228</v>
      </c>
      <c r="F1083" s="3">
        <v>44742</v>
      </c>
      <c r="G1083" t="str">
        <f>"700065"</f>
        <v>700065</v>
      </c>
      <c r="H1083" t="str">
        <f>"אלתא מערכות בע""מ"</f>
        <v>אלתא מערכות בע"מ</v>
      </c>
      <c r="I1083" t="str">
        <f>"ערן שלו"</f>
        <v>ערן שלו</v>
      </c>
      <c r="J1083" t="str">
        <f>"000"</f>
        <v>000</v>
      </c>
      <c r="K1083" s="1" t="str">
        <f>"תוספות לRPU עבור הזמנה E000312785"</f>
        <v>תוספות לRPU עבור הזמנה E000312785</v>
      </c>
      <c r="L1083">
        <v>1</v>
      </c>
      <c r="M1083" t="str">
        <f>"PR20000358"</f>
        <v>PR20000358</v>
      </c>
      <c r="N1083" t="str">
        <f>"הזמנת קרונות RPU לצ'כיה"</f>
        <v>הזמנת קרונות RPU לצ'כיה</v>
      </c>
      <c r="O1083" s="2">
        <v>13600</v>
      </c>
      <c r="P1083" t="str">
        <f>"$"</f>
        <v>$</v>
      </c>
      <c r="Q1083" t="str">
        <f>"119"</f>
        <v>119</v>
      </c>
      <c r="R1083" t="str">
        <f>"פלטפורמות"</f>
        <v>פלטפורמות</v>
      </c>
      <c r="S1083" t="str">
        <f>"034"</f>
        <v>034</v>
      </c>
      <c r="T1083" t="str">
        <f>"גנם הודיה"</f>
        <v>גנם הודיה</v>
      </c>
      <c r="U1083">
        <v>0</v>
      </c>
      <c r="V1083">
        <v>0</v>
      </c>
      <c r="W1083" s="2">
        <v>13600</v>
      </c>
      <c r="X1083" s="2">
        <v>13600</v>
      </c>
      <c r="Z1083" t="str">
        <f>"Y"</f>
        <v>Y</v>
      </c>
      <c r="AA1083">
        <v>0</v>
      </c>
      <c r="AC1083">
        <v>0</v>
      </c>
      <c r="AE1083">
        <v>0</v>
      </c>
      <c r="AF1083">
        <v>0</v>
      </c>
      <c r="AG1083" s="2">
        <v>44716.800000000003</v>
      </c>
      <c r="AH1083">
        <v>0</v>
      </c>
      <c r="AI1083" s="2">
        <v>44716.800000000003</v>
      </c>
      <c r="AJ1083" s="2">
        <v>13600</v>
      </c>
      <c r="AK1083" s="2">
        <v>13600</v>
      </c>
      <c r="AL1083" t="str">
        <f>"$"</f>
        <v>$</v>
      </c>
    </row>
    <row r="1084" spans="1:38" x14ac:dyDescent="0.3">
      <c r="A1084" t="str">
        <f>"SO21000055"</f>
        <v>SO21000055</v>
      </c>
      <c r="B1084" t="str">
        <f>"E000331489"</f>
        <v>E000331489</v>
      </c>
      <c r="C1084" t="str">
        <f>"בוצעה"</f>
        <v>בוצעה</v>
      </c>
      <c r="E1084" s="3">
        <v>44228</v>
      </c>
      <c r="F1084" s="3">
        <v>44557</v>
      </c>
      <c r="G1084" t="str">
        <f>"700065"</f>
        <v>700065</v>
      </c>
      <c r="H1084" t="str">
        <f>"אלתא מערכות בע""מ"</f>
        <v>אלתא מערכות בע"מ</v>
      </c>
      <c r="I1084" t="str">
        <f>"ערן שלו"</f>
        <v>ערן שלו</v>
      </c>
      <c r="J1084" t="str">
        <f>"ZV0200125"</f>
        <v>ZV0200125</v>
      </c>
      <c r="K1084" s="1" t="str">
        <f>"מארז כוח מיישרים 320VDC"</f>
        <v>מארז כוח מיישרים 320VDC</v>
      </c>
      <c r="L1084">
        <v>1</v>
      </c>
      <c r="M1084" t="str">
        <f>"PR20000358"</f>
        <v>PR20000358</v>
      </c>
      <c r="N1084" t="str">
        <f>"הזמנת קרונות RPU לצ'כיה"</f>
        <v>הזמנת קרונות RPU לצ'כיה</v>
      </c>
      <c r="O1084">
        <v>0</v>
      </c>
      <c r="P1084" t="str">
        <f>"$"</f>
        <v>$</v>
      </c>
      <c r="Q1084" t="str">
        <f>"119"</f>
        <v>119</v>
      </c>
      <c r="R1084" t="str">
        <f>"פלטפורמות"</f>
        <v>פלטפורמות</v>
      </c>
      <c r="S1084" t="str">
        <f>"034"</f>
        <v>034</v>
      </c>
      <c r="T1084" t="str">
        <f>"גנם הודיה"</f>
        <v>גנם הודיה</v>
      </c>
      <c r="U1084">
        <v>0</v>
      </c>
      <c r="V1084">
        <v>0</v>
      </c>
      <c r="W1084">
        <v>0</v>
      </c>
      <c r="X1084">
        <v>0</v>
      </c>
      <c r="Z1084" t="str">
        <f>"Y"</f>
        <v>Y</v>
      </c>
      <c r="AA1084">
        <v>0</v>
      </c>
      <c r="AC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 t="str">
        <f>"$"</f>
        <v>$</v>
      </c>
    </row>
    <row r="1085" spans="1:38" x14ac:dyDescent="0.3">
      <c r="A1085" t="str">
        <f>"SO21000055"</f>
        <v>SO21000055</v>
      </c>
      <c r="B1085" t="str">
        <f>"E000331489"</f>
        <v>E000331489</v>
      </c>
      <c r="C1085" t="str">
        <f>"בוצעה"</f>
        <v>בוצעה</v>
      </c>
      <c r="E1085" s="3">
        <v>44228</v>
      </c>
      <c r="F1085" s="3">
        <v>44557</v>
      </c>
      <c r="G1085" t="str">
        <f>"700065"</f>
        <v>700065</v>
      </c>
      <c r="H1085" t="str">
        <f>"אלתא מערכות בע""מ"</f>
        <v>אלתא מערכות בע"מ</v>
      </c>
      <c r="I1085" t="str">
        <f>"ערן שלו"</f>
        <v>ערן שלו</v>
      </c>
      <c r="J1085" t="str">
        <f>"ZV0200130"</f>
        <v>ZV0200130</v>
      </c>
      <c r="K1085" s="1" t="str">
        <f>"מארז מחשוב מוקשח ""14U 19"</f>
        <v>מארז מחשוב מוקשח "14U 19</v>
      </c>
      <c r="L1085">
        <v>1</v>
      </c>
      <c r="M1085" t="str">
        <f>"PR20000358"</f>
        <v>PR20000358</v>
      </c>
      <c r="N1085" t="str">
        <f>"הזמנת קרונות RPU לצ'כיה"</f>
        <v>הזמנת קרונות RPU לצ'כיה</v>
      </c>
      <c r="O1085">
        <v>0</v>
      </c>
      <c r="P1085" t="str">
        <f>"$"</f>
        <v>$</v>
      </c>
      <c r="Q1085" t="str">
        <f>"119"</f>
        <v>119</v>
      </c>
      <c r="R1085" t="str">
        <f>"פלטפורמות"</f>
        <v>פלטפורמות</v>
      </c>
      <c r="S1085" t="str">
        <f>"034"</f>
        <v>034</v>
      </c>
      <c r="T1085" t="str">
        <f>"גנם הודיה"</f>
        <v>גנם הודיה</v>
      </c>
      <c r="U1085">
        <v>0</v>
      </c>
      <c r="V1085">
        <v>0</v>
      </c>
      <c r="W1085">
        <v>0</v>
      </c>
      <c r="X1085">
        <v>0</v>
      </c>
      <c r="Z1085" t="str">
        <f>"Y"</f>
        <v>Y</v>
      </c>
      <c r="AA1085">
        <v>0</v>
      </c>
      <c r="AC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 t="str">
        <f>"$"</f>
        <v>$</v>
      </c>
    </row>
    <row r="1086" spans="1:38" x14ac:dyDescent="0.3">
      <c r="A1086" t="str">
        <f>"SO21000055"</f>
        <v>SO21000055</v>
      </c>
      <c r="B1086" t="str">
        <f>"E000331489"</f>
        <v>E000331489</v>
      </c>
      <c r="C1086" t="str">
        <f>"בוצעה"</f>
        <v>בוצעה</v>
      </c>
      <c r="E1086" s="3">
        <v>44228</v>
      </c>
      <c r="F1086" s="3">
        <v>44753</v>
      </c>
      <c r="G1086" t="str">
        <f>"700065"</f>
        <v>700065</v>
      </c>
      <c r="H1086" t="str">
        <f>"אלתא מערכות בע""מ"</f>
        <v>אלתא מערכות בע"מ</v>
      </c>
      <c r="I1086" t="str">
        <f>"ערן שלו"</f>
        <v>ערן שלו</v>
      </c>
      <c r="J1086" t="str">
        <f>"PA1001579"</f>
        <v>PA1001579</v>
      </c>
      <c r="K1086" s="1" t="str">
        <f>"CONN ELEC PLUG  GTC06LC40-5S(A57)"</f>
        <v>CONN ELEC PLUG  GTC06LC40-5S(A57)</v>
      </c>
      <c r="L1086">
        <v>8</v>
      </c>
      <c r="O1086">
        <v>0</v>
      </c>
      <c r="P1086" t="str">
        <f>"$"</f>
        <v>$</v>
      </c>
      <c r="Q1086" t="str">
        <f>"119"</f>
        <v>119</v>
      </c>
      <c r="R1086" t="str">
        <f>"פלטפורמות"</f>
        <v>פלטפורמות</v>
      </c>
      <c r="S1086" t="str">
        <f>"034"</f>
        <v>034</v>
      </c>
      <c r="T1086" t="str">
        <f>"גנם הודיה"</f>
        <v>גנם הודיה</v>
      </c>
      <c r="U1086">
        <v>0</v>
      </c>
      <c r="V1086">
        <v>0</v>
      </c>
      <c r="W1086">
        <v>0</v>
      </c>
      <c r="X1086">
        <v>0</v>
      </c>
      <c r="Z1086" t="str">
        <f>"Y"</f>
        <v>Y</v>
      </c>
      <c r="AA1086">
        <v>0</v>
      </c>
      <c r="AC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 t="str">
        <f>"$"</f>
        <v>$</v>
      </c>
    </row>
    <row r="1087" spans="1:38" x14ac:dyDescent="0.3">
      <c r="A1087" t="str">
        <f>"SO21000055"</f>
        <v>SO21000055</v>
      </c>
      <c r="B1087" t="str">
        <f>"E000331489"</f>
        <v>E000331489</v>
      </c>
      <c r="C1087" t="str">
        <f>"בוצעה"</f>
        <v>בוצעה</v>
      </c>
      <c r="E1087" s="3">
        <v>44228</v>
      </c>
      <c r="F1087" s="3">
        <v>44753</v>
      </c>
      <c r="G1087" t="str">
        <f>"700065"</f>
        <v>700065</v>
      </c>
      <c r="H1087" t="str">
        <f>"אלתא מערכות בע""מ"</f>
        <v>אלתא מערכות בע"מ</v>
      </c>
      <c r="I1087" t="str">
        <f>"ערן שלו"</f>
        <v>ערן שלו</v>
      </c>
      <c r="J1087" t="str">
        <f>"PA1001922"</f>
        <v>PA1001922</v>
      </c>
      <c r="K1087" s="1" t="str">
        <f>"פלג תעופתי GTC030R40-5P"</f>
        <v>פלג תעופתי GTC030R40-5P</v>
      </c>
      <c r="L1087">
        <v>8</v>
      </c>
      <c r="O1087">
        <v>0</v>
      </c>
      <c r="P1087" t="str">
        <f>"$"</f>
        <v>$</v>
      </c>
      <c r="Q1087" t="str">
        <f>"119"</f>
        <v>119</v>
      </c>
      <c r="R1087" t="str">
        <f>"פלטפורמות"</f>
        <v>פלטפורמות</v>
      </c>
      <c r="S1087" t="str">
        <f>"034"</f>
        <v>034</v>
      </c>
      <c r="T1087" t="str">
        <f>"גנם הודיה"</f>
        <v>גנם הודיה</v>
      </c>
      <c r="U1087">
        <v>0</v>
      </c>
      <c r="V1087">
        <v>0</v>
      </c>
      <c r="W1087">
        <v>0</v>
      </c>
      <c r="X1087">
        <v>0</v>
      </c>
      <c r="Z1087" t="str">
        <f>"Y"</f>
        <v>Y</v>
      </c>
      <c r="AA1087">
        <v>0</v>
      </c>
      <c r="AC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 t="str">
        <f>"$"</f>
        <v>$</v>
      </c>
    </row>
    <row r="1088" spans="1:38" x14ac:dyDescent="0.3">
      <c r="A1088" t="str">
        <f>"SO21000055"</f>
        <v>SO21000055</v>
      </c>
      <c r="B1088" t="str">
        <f>"E000331489"</f>
        <v>E000331489</v>
      </c>
      <c r="C1088" t="str">
        <f>"בוצעה"</f>
        <v>בוצעה</v>
      </c>
      <c r="E1088" s="3">
        <v>44228</v>
      </c>
      <c r="F1088" s="3">
        <v>45120</v>
      </c>
      <c r="G1088" t="str">
        <f>"700065"</f>
        <v>700065</v>
      </c>
      <c r="H1088" t="str">
        <f>"אלתא מערכות בע""מ"</f>
        <v>אלתא מערכות בע"מ</v>
      </c>
      <c r="I1088" t="str">
        <f>"ערן שלו"</f>
        <v>ערן שלו</v>
      </c>
      <c r="J1088" t="str">
        <f>"BT0100057"</f>
        <v>BT0100057</v>
      </c>
      <c r="K1088" s="1" t="str">
        <f>"מצבר 12V 8AH דגם SBS-8"</f>
        <v>מצבר 12V 8AH דגם SBS-8</v>
      </c>
      <c r="L1088">
        <v>2</v>
      </c>
      <c r="M1088" t="str">
        <f>"PR20000705"</f>
        <v>PR20000705</v>
      </c>
      <c r="N1088" t="str">
        <f>"108C906-001 RPU8"</f>
        <v>108C906-001 RPU8</v>
      </c>
      <c r="O1088">
        <v>0</v>
      </c>
      <c r="P1088" t="str">
        <f>"$"</f>
        <v>$</v>
      </c>
      <c r="Q1088" t="str">
        <f>"119"</f>
        <v>119</v>
      </c>
      <c r="R1088" t="str">
        <f>"פלטפורמות"</f>
        <v>פלטפורמות</v>
      </c>
      <c r="S1088" t="str">
        <f>"034"</f>
        <v>034</v>
      </c>
      <c r="T1088" t="str">
        <f>"גנם הודיה"</f>
        <v>גנם הודיה</v>
      </c>
      <c r="U1088">
        <v>0</v>
      </c>
      <c r="V1088">
        <v>0</v>
      </c>
      <c r="W1088">
        <v>0</v>
      </c>
      <c r="X1088">
        <v>0</v>
      </c>
      <c r="Z1088" t="str">
        <f>"Y"</f>
        <v>Y</v>
      </c>
      <c r="AA1088">
        <v>0</v>
      </c>
      <c r="AC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 t="str">
        <f>"$"</f>
        <v>$</v>
      </c>
    </row>
    <row r="1089" spans="1:38" x14ac:dyDescent="0.3">
      <c r="A1089" t="str">
        <f>"SO21000057"</f>
        <v>SO21000057</v>
      </c>
      <c r="B1089" t="str">
        <f>"E000332157"</f>
        <v>E000332157</v>
      </c>
      <c r="C1089" t="str">
        <f>"בוצעה"</f>
        <v>בוצעה</v>
      </c>
      <c r="E1089" s="3">
        <v>44228</v>
      </c>
      <c r="F1089" s="3">
        <v>44290</v>
      </c>
      <c r="G1089" t="str">
        <f>"700065"</f>
        <v>700065</v>
      </c>
      <c r="H1089" t="str">
        <f>"אלתא מערכות בע""מ"</f>
        <v>אלתא מערכות בע"מ</v>
      </c>
      <c r="I1089" t="str">
        <f>"ערן שלו"</f>
        <v>ערן שלו</v>
      </c>
      <c r="J1089" t="str">
        <f>"000"</f>
        <v>000</v>
      </c>
      <c r="K1089" s="1" t="str">
        <f>"ניסוי חשמל"</f>
        <v>ניסוי חשמל</v>
      </c>
      <c r="L1089">
        <v>1</v>
      </c>
      <c r="O1089" s="2">
        <v>2300</v>
      </c>
      <c r="P1089" t="str">
        <f>"$"</f>
        <v>$</v>
      </c>
      <c r="Q1089" t="str">
        <f>"000"</f>
        <v>000</v>
      </c>
      <c r="R1089" t="str">
        <f>"כללית"</f>
        <v>כללית</v>
      </c>
      <c r="S1089" t="str">
        <f>"034"</f>
        <v>034</v>
      </c>
      <c r="T1089" t="str">
        <f>"גנם הודיה"</f>
        <v>גנם הודיה</v>
      </c>
      <c r="U1089">
        <v>0</v>
      </c>
      <c r="V1089">
        <v>0</v>
      </c>
      <c r="W1089" s="2">
        <v>2300</v>
      </c>
      <c r="X1089" s="2">
        <v>2300</v>
      </c>
      <c r="Z1089" t="str">
        <f>"Y"</f>
        <v>Y</v>
      </c>
      <c r="AA1089">
        <v>1</v>
      </c>
      <c r="AC1089">
        <v>0</v>
      </c>
      <c r="AE1089">
        <v>0</v>
      </c>
      <c r="AF1089">
        <v>0</v>
      </c>
      <c r="AG1089" s="2">
        <v>7562.4</v>
      </c>
      <c r="AH1089">
        <v>0</v>
      </c>
      <c r="AI1089" s="2">
        <v>7562.4</v>
      </c>
      <c r="AJ1089" s="2">
        <v>2300</v>
      </c>
      <c r="AK1089" s="2">
        <v>2300</v>
      </c>
      <c r="AL1089" t="str">
        <f>"$"</f>
        <v>$</v>
      </c>
    </row>
    <row r="1090" spans="1:38" x14ac:dyDescent="0.3">
      <c r="A1090" t="str">
        <f>"SO21000061"</f>
        <v>SO21000061</v>
      </c>
      <c r="B1090" t="str">
        <f>"E000331977"</f>
        <v>E000331977</v>
      </c>
      <c r="C1090" t="str">
        <f>"בוצעה"</f>
        <v>בוצעה</v>
      </c>
      <c r="E1090" s="3">
        <v>44231</v>
      </c>
      <c r="F1090" s="3">
        <v>44321</v>
      </c>
      <c r="G1090" t="str">
        <f>"700065"</f>
        <v>700065</v>
      </c>
      <c r="H1090" t="str">
        <f>"אלתא מערכות בע""מ"</f>
        <v>אלתא מערכות בע"מ</v>
      </c>
      <c r="I1090" t="str">
        <f>"ערן שלו"</f>
        <v>ערן שלו</v>
      </c>
      <c r="J1090" t="str">
        <f>"OP-AR02256"</f>
        <v>OP-AR02256</v>
      </c>
      <c r="K1090" s="1" t="str">
        <f>"4040K732-001  HARNESS WK732 - KEY LOADER"</f>
        <v>4040K732-001  HARNESS WK732 - KEY LOADER</v>
      </c>
      <c r="L1090">
        <v>4</v>
      </c>
      <c r="M1090" t="str">
        <f>"PR21000123"</f>
        <v>PR21000123</v>
      </c>
      <c r="N1090" t="str">
        <f>"HARNESS WK732 - KEY LOADER"</f>
        <v>HARNESS WK732 - KEY LOADER</v>
      </c>
      <c r="O1090">
        <v>415.97</v>
      </c>
      <c r="P1090" t="str">
        <f>"$"</f>
        <v>$</v>
      </c>
      <c r="Q1090" t="str">
        <f>"117"</f>
        <v>117</v>
      </c>
      <c r="R1090" t="str">
        <f>"רתמות"</f>
        <v>רתמות</v>
      </c>
      <c r="S1090" t="str">
        <f>"034"</f>
        <v>034</v>
      </c>
      <c r="T1090" t="str">
        <f>"גנם הודיה"</f>
        <v>גנם הודיה</v>
      </c>
      <c r="U1090">
        <v>0</v>
      </c>
      <c r="V1090">
        <v>0</v>
      </c>
      <c r="W1090">
        <v>415.97</v>
      </c>
      <c r="X1090" s="2">
        <v>1663.88</v>
      </c>
      <c r="Z1090" t="str">
        <f>"Y"</f>
        <v>Y</v>
      </c>
      <c r="AA1090">
        <v>0</v>
      </c>
      <c r="AC1090">
        <v>0</v>
      </c>
      <c r="AE1090">
        <v>0</v>
      </c>
      <c r="AF1090">
        <v>0</v>
      </c>
      <c r="AG1090" s="2">
        <v>1367.71</v>
      </c>
      <c r="AH1090">
        <v>0</v>
      </c>
      <c r="AI1090" s="2">
        <v>5470.84</v>
      </c>
      <c r="AJ1090" s="2">
        <v>1663.88</v>
      </c>
      <c r="AK1090" s="2">
        <v>1663.88</v>
      </c>
      <c r="AL1090" t="str">
        <f>"$"</f>
        <v>$</v>
      </c>
    </row>
    <row r="1091" spans="1:38" x14ac:dyDescent="0.3">
      <c r="A1091" t="str">
        <f>"SO21000069"</f>
        <v>SO21000069</v>
      </c>
      <c r="B1091" t="str">
        <f>"E000331632"</f>
        <v>E000331632</v>
      </c>
      <c r="C1091" t="str">
        <f>"בוצעה"</f>
        <v>בוצעה</v>
      </c>
      <c r="E1091" s="3">
        <v>44236</v>
      </c>
      <c r="F1091" s="3">
        <v>44336</v>
      </c>
      <c r="G1091" t="str">
        <f>"700065"</f>
        <v>700065</v>
      </c>
      <c r="H1091" t="str">
        <f>"אלתא מערכות בע""מ"</f>
        <v>אלתא מערכות בע"מ</v>
      </c>
      <c r="I1091" t="str">
        <f>"ערן שלו"</f>
        <v>ערן שלו</v>
      </c>
      <c r="J1091" t="str">
        <f>"OP-AR02258"</f>
        <v>OP-AR02258</v>
      </c>
      <c r="K1091" s="1" t="str">
        <f>"1038H392-001   TEST LAB CABLE"</f>
        <v>1038H392-001   TEST LAB CABLE</v>
      </c>
      <c r="L1091">
        <v>1</v>
      </c>
      <c r="M1091" t="str">
        <f>"PR21000124"</f>
        <v>PR21000124</v>
      </c>
      <c r="N1091" t="str">
        <f>"TEST LAB CABLE"</f>
        <v>TEST LAB CABLE</v>
      </c>
      <c r="O1091">
        <v>902.2</v>
      </c>
      <c r="P1091" t="str">
        <f>"$"</f>
        <v>$</v>
      </c>
      <c r="Q1091" t="str">
        <f>"117"</f>
        <v>117</v>
      </c>
      <c r="R1091" t="str">
        <f>"רתמות"</f>
        <v>רתמות</v>
      </c>
      <c r="S1091" t="str">
        <f>"034"</f>
        <v>034</v>
      </c>
      <c r="T1091" t="str">
        <f>"גנם הודיה"</f>
        <v>גנם הודיה</v>
      </c>
      <c r="U1091">
        <v>0</v>
      </c>
      <c r="V1091">
        <v>0</v>
      </c>
      <c r="W1091">
        <v>902.2</v>
      </c>
      <c r="X1091">
        <v>902.2</v>
      </c>
      <c r="Z1091" t="str">
        <f>"Y"</f>
        <v>Y</v>
      </c>
      <c r="AA1091">
        <v>0</v>
      </c>
      <c r="AC1091">
        <v>0</v>
      </c>
      <c r="AE1091">
        <v>0</v>
      </c>
      <c r="AF1091">
        <v>0</v>
      </c>
      <c r="AG1091" s="2">
        <v>2940.27</v>
      </c>
      <c r="AH1091">
        <v>0</v>
      </c>
      <c r="AI1091" s="2">
        <v>2940.27</v>
      </c>
      <c r="AJ1091">
        <v>902.2</v>
      </c>
      <c r="AK1091">
        <v>902.2</v>
      </c>
      <c r="AL1091" t="str">
        <f>"$"</f>
        <v>$</v>
      </c>
    </row>
    <row r="1092" spans="1:38" x14ac:dyDescent="0.3">
      <c r="A1092" t="str">
        <f>"SO21000069"</f>
        <v>SO21000069</v>
      </c>
      <c r="B1092" t="str">
        <f>"E000331632"</f>
        <v>E000331632</v>
      </c>
      <c r="C1092" t="str">
        <f>"בוצעה"</f>
        <v>בוצעה</v>
      </c>
      <c r="E1092" s="3">
        <v>44236</v>
      </c>
      <c r="F1092" s="3">
        <v>44336</v>
      </c>
      <c r="G1092" t="str">
        <f>"700065"</f>
        <v>700065</v>
      </c>
      <c r="H1092" t="str">
        <f>"אלתא מערכות בע""מ"</f>
        <v>אלתא מערכות בע"מ</v>
      </c>
      <c r="I1092" t="str">
        <f>"ערן שלו"</f>
        <v>ערן שלו</v>
      </c>
      <c r="J1092" t="str">
        <f>"OP-AR02259"</f>
        <v>OP-AR02259</v>
      </c>
      <c r="K1092" s="1" t="str">
        <f>"1038H713-001   WLC2 2138 RACK INTERNAL CABLE"</f>
        <v>1038H713-001   WLC2 2138 RACK INTERNAL CABLE</v>
      </c>
      <c r="L1092">
        <v>1</v>
      </c>
      <c r="M1092" t="str">
        <f>"PR21000124"</f>
        <v>PR21000124</v>
      </c>
      <c r="N1092" t="str">
        <f>"TEST LAB CABLE"</f>
        <v>TEST LAB CABLE</v>
      </c>
      <c r="O1092">
        <v>835.23</v>
      </c>
      <c r="P1092" t="str">
        <f>"$"</f>
        <v>$</v>
      </c>
      <c r="Q1092" t="str">
        <f>"117"</f>
        <v>117</v>
      </c>
      <c r="R1092" t="str">
        <f>"רתמות"</f>
        <v>רתמות</v>
      </c>
      <c r="S1092" t="str">
        <f>"034"</f>
        <v>034</v>
      </c>
      <c r="T1092" t="str">
        <f>"גנם הודיה"</f>
        <v>גנם הודיה</v>
      </c>
      <c r="U1092">
        <v>0</v>
      </c>
      <c r="V1092">
        <v>0</v>
      </c>
      <c r="W1092">
        <v>835.23</v>
      </c>
      <c r="X1092">
        <v>835.23</v>
      </c>
      <c r="Z1092" t="str">
        <f>"Y"</f>
        <v>Y</v>
      </c>
      <c r="AA1092">
        <v>0</v>
      </c>
      <c r="AC1092">
        <v>0</v>
      </c>
      <c r="AE1092">
        <v>0</v>
      </c>
      <c r="AF1092">
        <v>0</v>
      </c>
      <c r="AG1092" s="2">
        <v>2722.01</v>
      </c>
      <c r="AH1092">
        <v>0</v>
      </c>
      <c r="AI1092" s="2">
        <v>2722.01</v>
      </c>
      <c r="AJ1092">
        <v>835.23</v>
      </c>
      <c r="AK1092">
        <v>835.23</v>
      </c>
      <c r="AL1092" t="str">
        <f>"$"</f>
        <v>$</v>
      </c>
    </row>
    <row r="1093" spans="1:38" x14ac:dyDescent="0.3">
      <c r="A1093" t="str">
        <f>"SO21000073"</f>
        <v>SO21000073</v>
      </c>
      <c r="B1093" t="str">
        <f>"E000332914"</f>
        <v>E000332914</v>
      </c>
      <c r="C1093" t="str">
        <f>"בוצעה"</f>
        <v>בוצעה</v>
      </c>
      <c r="E1093" s="3">
        <v>44237</v>
      </c>
      <c r="F1093" s="3">
        <v>44321</v>
      </c>
      <c r="G1093" t="str">
        <f>"700065"</f>
        <v>700065</v>
      </c>
      <c r="H1093" t="str">
        <f>"אלתא מערכות בע""מ"</f>
        <v>אלתא מערכות בע"מ</v>
      </c>
      <c r="I1093" t="str">
        <f>"ערן שלו"</f>
        <v>ערן שלו</v>
      </c>
      <c r="J1093" t="str">
        <f>"OP-AR02287"</f>
        <v>OP-AR02287</v>
      </c>
      <c r="K1093" s="1" t="str">
        <f>"1040D365-001  HARNESS WC205"</f>
        <v>1040D365-001  HARNESS WC205</v>
      </c>
      <c r="L1093">
        <v>2</v>
      </c>
      <c r="M1093" t="str">
        <f>"PR21000128"</f>
        <v>PR21000128</v>
      </c>
      <c r="N1093" t="str">
        <f>"WC205 - CONTROL - CUG TO GPS-RCU"</f>
        <v>WC205 - CONTROL - CUG TO GPS-RCU</v>
      </c>
      <c r="O1093">
        <v>880.34</v>
      </c>
      <c r="P1093" t="str">
        <f>"$"</f>
        <v>$</v>
      </c>
      <c r="Q1093" t="str">
        <f>"117"</f>
        <v>117</v>
      </c>
      <c r="R1093" t="str">
        <f>"רתמות"</f>
        <v>רתמות</v>
      </c>
      <c r="S1093" t="str">
        <f>"034"</f>
        <v>034</v>
      </c>
      <c r="T1093" t="str">
        <f>"גנם הודיה"</f>
        <v>גנם הודיה</v>
      </c>
      <c r="U1093">
        <v>0</v>
      </c>
      <c r="V1093">
        <v>0</v>
      </c>
      <c r="W1093">
        <v>880.34</v>
      </c>
      <c r="X1093" s="2">
        <v>1760.68</v>
      </c>
      <c r="Z1093" t="str">
        <f>"Y"</f>
        <v>Y</v>
      </c>
      <c r="AA1093">
        <v>0</v>
      </c>
      <c r="AC1093">
        <v>0</v>
      </c>
      <c r="AE1093">
        <v>0</v>
      </c>
      <c r="AF1093">
        <v>0</v>
      </c>
      <c r="AG1093" s="2">
        <v>2869.03</v>
      </c>
      <c r="AH1093">
        <v>0</v>
      </c>
      <c r="AI1093" s="2">
        <v>5738.06</v>
      </c>
      <c r="AJ1093" s="2">
        <v>1760.68</v>
      </c>
      <c r="AK1093" s="2">
        <v>1760.68</v>
      </c>
      <c r="AL1093" t="str">
        <f>"$"</f>
        <v>$</v>
      </c>
    </row>
    <row r="1094" spans="1:38" x14ac:dyDescent="0.3">
      <c r="A1094" t="str">
        <f>"SO21000073"</f>
        <v>SO21000073</v>
      </c>
      <c r="B1094" t="str">
        <f>"E000332914"</f>
        <v>E000332914</v>
      </c>
      <c r="C1094" t="str">
        <f>"בוצעה"</f>
        <v>בוצעה</v>
      </c>
      <c r="E1094" s="3">
        <v>44237</v>
      </c>
      <c r="F1094" s="3">
        <v>44321</v>
      </c>
      <c r="G1094" t="str">
        <f>"700065"</f>
        <v>700065</v>
      </c>
      <c r="H1094" t="str">
        <f>"אלתא מערכות בע""מ"</f>
        <v>אלתא מערכות בע"מ</v>
      </c>
      <c r="I1094" t="str">
        <f>"ערן שלו"</f>
        <v>ערן שלו</v>
      </c>
      <c r="J1094" t="str">
        <f>"OP-AR02288"</f>
        <v>OP-AR02288</v>
      </c>
      <c r="K1094" s="1" t="str">
        <f>"1040D373-001   HARNESS WC213"</f>
        <v>1040D373-001   HARNESS WC213</v>
      </c>
      <c r="L1094">
        <v>2</v>
      </c>
      <c r="M1094" t="str">
        <f>"PR21000128"</f>
        <v>PR21000128</v>
      </c>
      <c r="N1094" t="str">
        <f>"WC205 - CONTROL - CUG TO GPS-RCU"</f>
        <v>WC205 - CONTROL - CUG TO GPS-RCU</v>
      </c>
      <c r="O1094">
        <v>593.24</v>
      </c>
      <c r="P1094" t="str">
        <f>"$"</f>
        <v>$</v>
      </c>
      <c r="Q1094" t="str">
        <f>"117"</f>
        <v>117</v>
      </c>
      <c r="R1094" t="str">
        <f>"רתמות"</f>
        <v>רתמות</v>
      </c>
      <c r="S1094" t="str">
        <f>"034"</f>
        <v>034</v>
      </c>
      <c r="T1094" t="str">
        <f>"גנם הודיה"</f>
        <v>גנם הודיה</v>
      </c>
      <c r="U1094">
        <v>0</v>
      </c>
      <c r="V1094">
        <v>0</v>
      </c>
      <c r="W1094">
        <v>593.24</v>
      </c>
      <c r="X1094" s="2">
        <v>1186.48</v>
      </c>
      <c r="Z1094" t="str">
        <f>"Y"</f>
        <v>Y</v>
      </c>
      <c r="AA1094">
        <v>0</v>
      </c>
      <c r="AC1094">
        <v>0</v>
      </c>
      <c r="AE1094">
        <v>0</v>
      </c>
      <c r="AF1094">
        <v>0</v>
      </c>
      <c r="AG1094" s="2">
        <v>1933.37</v>
      </c>
      <c r="AH1094">
        <v>0</v>
      </c>
      <c r="AI1094" s="2">
        <v>3866.74</v>
      </c>
      <c r="AJ1094" s="2">
        <v>1186.48</v>
      </c>
      <c r="AK1094" s="2">
        <v>1186.48</v>
      </c>
      <c r="AL1094" t="str">
        <f>"$"</f>
        <v>$</v>
      </c>
    </row>
    <row r="1095" spans="1:38" x14ac:dyDescent="0.3">
      <c r="A1095" t="str">
        <f>"SO21000074"</f>
        <v>SO21000074</v>
      </c>
      <c r="B1095" t="str">
        <f>"E000332654"</f>
        <v>E000332654</v>
      </c>
      <c r="C1095" t="str">
        <f>"בוצעה"</f>
        <v>בוצעה</v>
      </c>
      <c r="E1095" s="3">
        <v>44237</v>
      </c>
      <c r="F1095" s="3">
        <v>44306</v>
      </c>
      <c r="G1095" t="str">
        <f>"700065"</f>
        <v>700065</v>
      </c>
      <c r="H1095" t="str">
        <f>"אלתא מערכות בע""מ"</f>
        <v>אלתא מערכות בע"מ</v>
      </c>
      <c r="I1095" t="str">
        <f>"ערן שלו"</f>
        <v>ערן שלו</v>
      </c>
      <c r="J1095" t="str">
        <f>"OP-AR01690"</f>
        <v>OP-AR01690</v>
      </c>
      <c r="K1095" s="1" t="str">
        <f>"1032F971-001 HARNESS WB971 LAB RSU NG P7 DEBUG"</f>
        <v>1032F971-001 HARNESS WB971 LAB RSU NG P7 DEBUG</v>
      </c>
      <c r="L1095">
        <v>5</v>
      </c>
      <c r="M1095" t="str">
        <f>"PR21000127"</f>
        <v>PR21000127</v>
      </c>
      <c r="N1095" t="str">
        <f>"ARNESS WB971 LAB RSU NG P7 DEBUG"</f>
        <v>ARNESS WB971 LAB RSU NG P7 DEBUG</v>
      </c>
      <c r="O1095">
        <v>471.74</v>
      </c>
      <c r="P1095" t="str">
        <f>"$"</f>
        <v>$</v>
      </c>
      <c r="Q1095" t="str">
        <f>"117"</f>
        <v>117</v>
      </c>
      <c r="R1095" t="str">
        <f>"רתמות"</f>
        <v>רתמות</v>
      </c>
      <c r="S1095" t="str">
        <f>"034"</f>
        <v>034</v>
      </c>
      <c r="T1095" t="str">
        <f>"גנם הודיה"</f>
        <v>גנם הודיה</v>
      </c>
      <c r="U1095">
        <v>0</v>
      </c>
      <c r="V1095">
        <v>0</v>
      </c>
      <c r="W1095">
        <v>471.74</v>
      </c>
      <c r="X1095" s="2">
        <v>2358.6999999999998</v>
      </c>
      <c r="Z1095" t="str">
        <f>"Y"</f>
        <v>Y</v>
      </c>
      <c r="AA1095">
        <v>0</v>
      </c>
      <c r="AC1095">
        <v>0</v>
      </c>
      <c r="AE1095">
        <v>0</v>
      </c>
      <c r="AF1095">
        <v>0</v>
      </c>
      <c r="AG1095" s="2">
        <v>1537.4</v>
      </c>
      <c r="AH1095">
        <v>0</v>
      </c>
      <c r="AI1095" s="2">
        <v>7687</v>
      </c>
      <c r="AJ1095" s="2">
        <v>2358.6999999999998</v>
      </c>
      <c r="AK1095" s="2">
        <v>2358.6999999999998</v>
      </c>
      <c r="AL1095" t="str">
        <f>"$"</f>
        <v>$</v>
      </c>
    </row>
    <row r="1096" spans="1:38" x14ac:dyDescent="0.3">
      <c r="A1096" t="str">
        <f>"SO21000079"</f>
        <v>SO21000079</v>
      </c>
      <c r="B1096" t="str">
        <f>"E000320637"</f>
        <v>E000320637</v>
      </c>
      <c r="C1096" t="str">
        <f>"בוצעה"</f>
        <v>בוצעה</v>
      </c>
      <c r="E1096" s="3">
        <v>44242</v>
      </c>
      <c r="F1096" s="3">
        <v>44650</v>
      </c>
      <c r="G1096" t="str">
        <f>"700065"</f>
        <v>700065</v>
      </c>
      <c r="H1096" t="str">
        <f>"אלתא מערכות בע""מ"</f>
        <v>אלתא מערכות בע"מ</v>
      </c>
      <c r="I1096" t="str">
        <f>"ערן שלו"</f>
        <v>ערן שלו</v>
      </c>
      <c r="J1096" t="str">
        <f>"OP-AR09106"</f>
        <v>OP-AR09106</v>
      </c>
      <c r="K1096" s="1" t="str">
        <f>"לוח 1026L230-001 HIGH VOLTAG JUCTION BOX"</f>
        <v>לוח 1026L230-001 HIGH VOLTAG JUCTION BOX</v>
      </c>
      <c r="L1096">
        <v>0</v>
      </c>
      <c r="M1096" t="str">
        <f>"PR21000122"</f>
        <v>PR21000122</v>
      </c>
      <c r="N1096" t="str">
        <f>"*HIGH VOLTAGE HVJB"</f>
        <v>*HIGH VOLTAGE HVJB</v>
      </c>
      <c r="O1096">
        <v>0</v>
      </c>
      <c r="P1096" t="str">
        <f>"$"</f>
        <v>$</v>
      </c>
      <c r="Q1096" t="str">
        <f>"118"</f>
        <v>118</v>
      </c>
      <c r="R1096" t="str">
        <f>"מערכות"</f>
        <v>מערכות</v>
      </c>
      <c r="S1096" t="str">
        <f>"034"</f>
        <v>034</v>
      </c>
      <c r="T1096" t="str">
        <f>"גנם הודיה"</f>
        <v>גנם הודיה</v>
      </c>
      <c r="U1096">
        <v>0</v>
      </c>
      <c r="V1096">
        <v>0</v>
      </c>
      <c r="W1096">
        <v>0</v>
      </c>
      <c r="X1096">
        <v>0</v>
      </c>
      <c r="Z1096" t="str">
        <f>"Y"</f>
        <v>Y</v>
      </c>
      <c r="AA1096">
        <v>0</v>
      </c>
      <c r="AC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 t="str">
        <f>"$"</f>
        <v>$</v>
      </c>
    </row>
    <row r="1097" spans="1:38" x14ac:dyDescent="0.3">
      <c r="A1097" t="str">
        <f>"SO21000079"</f>
        <v>SO21000079</v>
      </c>
      <c r="B1097" t="str">
        <f>"E000320637"</f>
        <v>E000320637</v>
      </c>
      <c r="C1097" t="str">
        <f>"בוצעה"</f>
        <v>בוצעה</v>
      </c>
      <c r="E1097" s="3">
        <v>44242</v>
      </c>
      <c r="F1097" s="3">
        <v>44650</v>
      </c>
      <c r="G1097" t="str">
        <f>"700065"</f>
        <v>700065</v>
      </c>
      <c r="H1097" t="str">
        <f>"אלתא מערכות בע""מ"</f>
        <v>אלתא מערכות בע"מ</v>
      </c>
      <c r="I1097" t="str">
        <f>"ערן שלו"</f>
        <v>ערן שלו</v>
      </c>
      <c r="J1097" t="str">
        <f>"OP-AR09106"</f>
        <v>OP-AR09106</v>
      </c>
      <c r="K1097" s="1" t="str">
        <f>"לוח 1026L230-001 HIGH VOLTAG JUCTION BOX"</f>
        <v>לוח 1026L230-001 HIGH VOLTAG JUCTION BOX</v>
      </c>
      <c r="L1097">
        <v>0</v>
      </c>
      <c r="M1097" t="str">
        <f>"PR21000122"</f>
        <v>PR21000122</v>
      </c>
      <c r="N1097" t="str">
        <f>"*HIGH VOLTAGE HVJB"</f>
        <v>*HIGH VOLTAGE HVJB</v>
      </c>
      <c r="O1097">
        <v>0</v>
      </c>
      <c r="P1097" t="str">
        <f>"$"</f>
        <v>$</v>
      </c>
      <c r="Q1097" t="str">
        <f>"118"</f>
        <v>118</v>
      </c>
      <c r="R1097" t="str">
        <f>"מערכות"</f>
        <v>מערכות</v>
      </c>
      <c r="S1097" t="str">
        <f>"034"</f>
        <v>034</v>
      </c>
      <c r="T1097" t="str">
        <f>"גנם הודיה"</f>
        <v>גנם הודיה</v>
      </c>
      <c r="U1097">
        <v>0</v>
      </c>
      <c r="V1097">
        <v>0</v>
      </c>
      <c r="W1097">
        <v>0</v>
      </c>
      <c r="X1097">
        <v>0</v>
      </c>
      <c r="Z1097" t="str">
        <f>"Y"</f>
        <v>Y</v>
      </c>
      <c r="AA1097">
        <v>0</v>
      </c>
      <c r="AC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 t="str">
        <f>"$"</f>
        <v>$</v>
      </c>
    </row>
    <row r="1098" spans="1:38" x14ac:dyDescent="0.3">
      <c r="A1098" t="str">
        <f>"SO21000079"</f>
        <v>SO21000079</v>
      </c>
      <c r="B1098" t="str">
        <f>"E000320637"</f>
        <v>E000320637</v>
      </c>
      <c r="C1098" t="str">
        <f>"בוצעה"</f>
        <v>בוצעה</v>
      </c>
      <c r="E1098" s="3">
        <v>44242</v>
      </c>
      <c r="F1098" s="3">
        <v>44650</v>
      </c>
      <c r="G1098" t="str">
        <f>"700065"</f>
        <v>700065</v>
      </c>
      <c r="H1098" t="str">
        <f>"אלתא מערכות בע""מ"</f>
        <v>אלתא מערכות בע"מ</v>
      </c>
      <c r="I1098" t="str">
        <f>"ערן שלו"</f>
        <v>ערן שלו</v>
      </c>
      <c r="J1098" t="str">
        <f>"OP-AR02306"</f>
        <v>OP-AR02306</v>
      </c>
      <c r="K1098" s="1" t="str">
        <f>"HVJB 1026L230-001"</f>
        <v>HVJB 1026L230-001</v>
      </c>
      <c r="L1098">
        <v>4</v>
      </c>
      <c r="M1098" t="str">
        <f>"PR21000122"</f>
        <v>PR21000122</v>
      </c>
      <c r="N1098" t="str">
        <f>"*HIGH VOLTAGE HVJB"</f>
        <v>*HIGH VOLTAGE HVJB</v>
      </c>
      <c r="O1098" s="2">
        <v>9921</v>
      </c>
      <c r="P1098" t="str">
        <f>"$"</f>
        <v>$</v>
      </c>
      <c r="Q1098" t="str">
        <f>"118"</f>
        <v>118</v>
      </c>
      <c r="R1098" t="str">
        <f>"מערכות"</f>
        <v>מערכות</v>
      </c>
      <c r="S1098" t="str">
        <f>"034"</f>
        <v>034</v>
      </c>
      <c r="T1098" t="str">
        <f>"גנם הודיה"</f>
        <v>גנם הודיה</v>
      </c>
      <c r="U1098">
        <v>0</v>
      </c>
      <c r="V1098">
        <v>0</v>
      </c>
      <c r="W1098" s="2">
        <v>9921</v>
      </c>
      <c r="X1098" s="2">
        <v>39684</v>
      </c>
      <c r="Z1098" t="str">
        <f>"Y"</f>
        <v>Y</v>
      </c>
      <c r="AA1098">
        <v>0</v>
      </c>
      <c r="AC1098">
        <v>0</v>
      </c>
      <c r="AE1098">
        <v>0</v>
      </c>
      <c r="AF1098">
        <v>0</v>
      </c>
      <c r="AG1098" s="2">
        <v>32332.54</v>
      </c>
      <c r="AH1098">
        <v>0</v>
      </c>
      <c r="AI1098" s="2">
        <v>129330.16</v>
      </c>
      <c r="AJ1098" s="2">
        <v>39684</v>
      </c>
      <c r="AK1098" s="2">
        <v>39684</v>
      </c>
      <c r="AL1098" t="str">
        <f>"$"</f>
        <v>$</v>
      </c>
    </row>
    <row r="1099" spans="1:38" x14ac:dyDescent="0.3">
      <c r="A1099" t="str">
        <f>"SO21000079"</f>
        <v>SO21000079</v>
      </c>
      <c r="B1099" t="str">
        <f>"E000320637"</f>
        <v>E000320637</v>
      </c>
      <c r="C1099" t="str">
        <f>"בוצעה"</f>
        <v>בוצעה</v>
      </c>
      <c r="E1099" s="3">
        <v>44242</v>
      </c>
      <c r="F1099" s="3">
        <v>44788</v>
      </c>
      <c r="G1099" t="str">
        <f>"700065"</f>
        <v>700065</v>
      </c>
      <c r="H1099" t="str">
        <f>"אלתא מערכות בע""מ"</f>
        <v>אלתא מערכות בע"מ</v>
      </c>
      <c r="I1099" t="str">
        <f>"ערן שלו"</f>
        <v>ערן שלו</v>
      </c>
      <c r="J1099" t="str">
        <f>"OP-AR02306"</f>
        <v>OP-AR02306</v>
      </c>
      <c r="K1099" s="1" t="str">
        <f>"HVJB 1026L230-001"</f>
        <v>HVJB 1026L230-001</v>
      </c>
      <c r="L1099">
        <v>2</v>
      </c>
      <c r="M1099" t="str">
        <f>"PR21000122"</f>
        <v>PR21000122</v>
      </c>
      <c r="N1099" t="str">
        <f>"*HIGH VOLTAGE HVJB"</f>
        <v>*HIGH VOLTAGE HVJB</v>
      </c>
      <c r="O1099" s="2">
        <v>9921</v>
      </c>
      <c r="P1099" t="str">
        <f>"$"</f>
        <v>$</v>
      </c>
      <c r="Q1099" t="str">
        <f>"118"</f>
        <v>118</v>
      </c>
      <c r="R1099" t="str">
        <f>"מערכות"</f>
        <v>מערכות</v>
      </c>
      <c r="S1099" t="str">
        <f>"034"</f>
        <v>034</v>
      </c>
      <c r="T1099" t="str">
        <f>"גנם הודיה"</f>
        <v>גנם הודיה</v>
      </c>
      <c r="U1099">
        <v>0</v>
      </c>
      <c r="V1099">
        <v>0</v>
      </c>
      <c r="W1099" s="2">
        <v>9921</v>
      </c>
      <c r="X1099" s="2">
        <v>19842</v>
      </c>
      <c r="Z1099" t="str">
        <f>"Y"</f>
        <v>Y</v>
      </c>
      <c r="AA1099">
        <v>0</v>
      </c>
      <c r="AC1099">
        <v>0</v>
      </c>
      <c r="AE1099">
        <v>0</v>
      </c>
      <c r="AF1099">
        <v>0</v>
      </c>
      <c r="AG1099" s="2">
        <v>32332.54</v>
      </c>
      <c r="AH1099">
        <v>0</v>
      </c>
      <c r="AI1099" s="2">
        <v>64665.08</v>
      </c>
      <c r="AJ1099" s="2">
        <v>19842</v>
      </c>
      <c r="AK1099" s="2">
        <v>19842</v>
      </c>
      <c r="AL1099" t="str">
        <f>"$"</f>
        <v>$</v>
      </c>
    </row>
    <row r="1100" spans="1:38" x14ac:dyDescent="0.3">
      <c r="A1100" t="str">
        <f>"SO21000085"</f>
        <v>SO21000085</v>
      </c>
      <c r="B1100" t="str">
        <f>"E000333347"</f>
        <v>E000333347</v>
      </c>
      <c r="C1100" t="str">
        <f>"בוצעה"</f>
        <v>בוצעה</v>
      </c>
      <c r="E1100" s="3">
        <v>44245</v>
      </c>
      <c r="F1100" s="3">
        <v>44407</v>
      </c>
      <c r="G1100" t="str">
        <f>"700065"</f>
        <v>700065</v>
      </c>
      <c r="H1100" t="str">
        <f>"אלתא מערכות בע""מ"</f>
        <v>אלתא מערכות בע"מ</v>
      </c>
      <c r="I1100" t="str">
        <f>"ערן שלו"</f>
        <v>ערן שלו</v>
      </c>
      <c r="J1100" t="str">
        <f>"OP-AR01088"</f>
        <v>OP-AR01088</v>
      </c>
      <c r="K1100" s="1" t="str">
        <f>"1038H185-001 SRASR POWER DISTRIUTION UNIT"</f>
        <v>1038H185-001 SRASR POWER DISTRIUTION UNIT</v>
      </c>
      <c r="L1100">
        <v>2</v>
      </c>
      <c r="M1100" t="str">
        <f>"PR21000153"</f>
        <v>PR21000153</v>
      </c>
      <c r="N1100" t="str">
        <f>"PDU ליטא"</f>
        <v>PDU ליטא</v>
      </c>
      <c r="O1100" s="2">
        <v>13555.55</v>
      </c>
      <c r="P1100" t="str">
        <f>"$"</f>
        <v>$</v>
      </c>
      <c r="Q1100" t="str">
        <f>"118"</f>
        <v>118</v>
      </c>
      <c r="R1100" t="str">
        <f>"מערכות"</f>
        <v>מערכות</v>
      </c>
      <c r="S1100" t="str">
        <f>"034"</f>
        <v>034</v>
      </c>
      <c r="T1100" t="str">
        <f>"עמר ליגל"</f>
        <v>עמר ליגל</v>
      </c>
      <c r="U1100">
        <v>0</v>
      </c>
      <c r="V1100">
        <v>0</v>
      </c>
      <c r="W1100" s="2">
        <v>13555.55</v>
      </c>
      <c r="X1100" s="2">
        <v>27111.1</v>
      </c>
      <c r="Z1100" t="str">
        <f>"Y"</f>
        <v>Y</v>
      </c>
      <c r="AA1100">
        <v>0</v>
      </c>
      <c r="AC1100">
        <v>0</v>
      </c>
      <c r="AE1100">
        <v>0</v>
      </c>
      <c r="AF1100">
        <v>0</v>
      </c>
      <c r="AG1100" s="2">
        <v>44258.87</v>
      </c>
      <c r="AH1100">
        <v>0</v>
      </c>
      <c r="AI1100" s="2">
        <v>88517.74</v>
      </c>
      <c r="AJ1100" s="2">
        <v>27111.1</v>
      </c>
      <c r="AK1100" s="2">
        <v>27111.1</v>
      </c>
      <c r="AL1100" t="str">
        <f>"$"</f>
        <v>$</v>
      </c>
    </row>
    <row r="1101" spans="1:38" x14ac:dyDescent="0.3">
      <c r="A1101" t="str">
        <f>"SO21000086"</f>
        <v>SO21000086</v>
      </c>
      <c r="B1101" t="str">
        <f>"E000332301"</f>
        <v>E000332301</v>
      </c>
      <c r="C1101" t="str">
        <f>"בוצעה"</f>
        <v>בוצעה</v>
      </c>
      <c r="E1101" s="3">
        <v>44248</v>
      </c>
      <c r="F1101" s="3">
        <v>44339</v>
      </c>
      <c r="G1101" t="str">
        <f>"700065"</f>
        <v>700065</v>
      </c>
      <c r="H1101" t="str">
        <f>"אלתא מערכות בע""מ"</f>
        <v>אלתא מערכות בע"מ</v>
      </c>
      <c r="I1101" t="str">
        <f>"רחמים זרוק"</f>
        <v>רחמים זרוק</v>
      </c>
      <c r="J1101" t="str">
        <f>"OP-AR02308"</f>
        <v>OP-AR02308</v>
      </c>
      <c r="K1101" s="1" t="str">
        <f>"1019W276-001   CABLE ASSY W57 BATTERY BOX"</f>
        <v>1019W276-001   CABLE ASSY W57 BATTERY BOX</v>
      </c>
      <c r="L1101">
        <v>1</v>
      </c>
      <c r="M1101" t="str">
        <f>"PR21000144"</f>
        <v>PR21000144</v>
      </c>
      <c r="N1101" t="str">
        <f>"CABLE ASSY W57 BATTERY BOX"</f>
        <v>CABLE ASSY W57 BATTERY BOX</v>
      </c>
      <c r="O1101">
        <v>465.14</v>
      </c>
      <c r="P1101" t="str">
        <f>"$"</f>
        <v>$</v>
      </c>
      <c r="Q1101" t="str">
        <f>"117"</f>
        <v>117</v>
      </c>
      <c r="R1101" t="str">
        <f>"רתמות"</f>
        <v>רתמות</v>
      </c>
      <c r="S1101" t="str">
        <f>"040"</f>
        <v>040</v>
      </c>
      <c r="T1101" t="str">
        <f>"עמר ליגל"</f>
        <v>עמר ליגל</v>
      </c>
      <c r="U1101">
        <v>0</v>
      </c>
      <c r="V1101">
        <v>0</v>
      </c>
      <c r="W1101">
        <v>465.14</v>
      </c>
      <c r="X1101">
        <v>465.14</v>
      </c>
      <c r="Z1101" t="str">
        <f>"Y"</f>
        <v>Y</v>
      </c>
      <c r="AA1101">
        <v>0</v>
      </c>
      <c r="AC1101">
        <v>0</v>
      </c>
      <c r="AE1101">
        <v>0</v>
      </c>
      <c r="AF1101">
        <v>0</v>
      </c>
      <c r="AG1101" s="2">
        <v>1518.68</v>
      </c>
      <c r="AH1101">
        <v>0</v>
      </c>
      <c r="AI1101" s="2">
        <v>1518.68</v>
      </c>
      <c r="AJ1101">
        <v>465.14</v>
      </c>
      <c r="AK1101">
        <v>465.14</v>
      </c>
      <c r="AL1101" t="str">
        <f>"$"</f>
        <v>$</v>
      </c>
    </row>
    <row r="1102" spans="1:38" x14ac:dyDescent="0.3">
      <c r="A1102" t="str">
        <f>"SO21000086"</f>
        <v>SO21000086</v>
      </c>
      <c r="B1102" t="str">
        <f>"E000332301"</f>
        <v>E000332301</v>
      </c>
      <c r="C1102" t="str">
        <f>"בוצעה"</f>
        <v>בוצעה</v>
      </c>
      <c r="E1102" s="3">
        <v>44248</v>
      </c>
      <c r="F1102" s="3">
        <v>44339</v>
      </c>
      <c r="G1102" t="str">
        <f>"700065"</f>
        <v>700065</v>
      </c>
      <c r="H1102" t="str">
        <f>"אלתא מערכות בע""מ"</f>
        <v>אלתא מערכות בע"מ</v>
      </c>
      <c r="I1102" t="str">
        <f>"רחמים זרוק"</f>
        <v>רחמים זרוק</v>
      </c>
      <c r="J1102" t="str">
        <f>"OP-AR02309"</f>
        <v>OP-AR02309</v>
      </c>
      <c r="K1102" s="1" t="str">
        <f>"1019W657-001   CABLE ASSY W220"</f>
        <v>1019W657-001   CABLE ASSY W220</v>
      </c>
      <c r="L1102">
        <v>3</v>
      </c>
      <c r="M1102" t="str">
        <f>"PR21000144"</f>
        <v>PR21000144</v>
      </c>
      <c r="N1102" t="str">
        <f>"CABLE ASSY W57 BATTERY BOX"</f>
        <v>CABLE ASSY W57 BATTERY BOX</v>
      </c>
      <c r="O1102">
        <v>210.84</v>
      </c>
      <c r="P1102" t="str">
        <f>"$"</f>
        <v>$</v>
      </c>
      <c r="Q1102" t="str">
        <f>"117"</f>
        <v>117</v>
      </c>
      <c r="R1102" t="str">
        <f>"רתמות"</f>
        <v>רתמות</v>
      </c>
      <c r="S1102" t="str">
        <f>"040"</f>
        <v>040</v>
      </c>
      <c r="T1102" t="str">
        <f>"עמר ליגל"</f>
        <v>עמר ליגל</v>
      </c>
      <c r="U1102">
        <v>0</v>
      </c>
      <c r="V1102">
        <v>0</v>
      </c>
      <c r="W1102">
        <v>210.84</v>
      </c>
      <c r="X1102">
        <v>632.52</v>
      </c>
      <c r="Z1102" t="str">
        <f>"Y"</f>
        <v>Y</v>
      </c>
      <c r="AA1102">
        <v>0</v>
      </c>
      <c r="AC1102">
        <v>0</v>
      </c>
      <c r="AE1102">
        <v>0</v>
      </c>
      <c r="AF1102">
        <v>0</v>
      </c>
      <c r="AG1102">
        <v>688.39</v>
      </c>
      <c r="AH1102">
        <v>0</v>
      </c>
      <c r="AI1102" s="2">
        <v>2065.1799999999998</v>
      </c>
      <c r="AJ1102">
        <v>632.52</v>
      </c>
      <c r="AK1102">
        <v>632.52</v>
      </c>
      <c r="AL1102" t="str">
        <f>"$"</f>
        <v>$</v>
      </c>
    </row>
    <row r="1103" spans="1:38" x14ac:dyDescent="0.3">
      <c r="A1103" t="str">
        <f>"SO21000086"</f>
        <v>SO21000086</v>
      </c>
      <c r="B1103" t="str">
        <f>"E000332301"</f>
        <v>E000332301</v>
      </c>
      <c r="C1103" t="str">
        <f>"בוצעה"</f>
        <v>בוצעה</v>
      </c>
      <c r="E1103" s="3">
        <v>44248</v>
      </c>
      <c r="F1103" s="3">
        <v>44339</v>
      </c>
      <c r="G1103" t="str">
        <f>"700065"</f>
        <v>700065</v>
      </c>
      <c r="H1103" t="str">
        <f>"אלתא מערכות בע""מ"</f>
        <v>אלתא מערכות בע"מ</v>
      </c>
      <c r="I1103" t="str">
        <f>"רחמים זרוק"</f>
        <v>רחמים זרוק</v>
      </c>
      <c r="J1103" t="str">
        <f>"OP-AR02309"</f>
        <v>OP-AR02309</v>
      </c>
      <c r="K1103" s="1" t="str">
        <f>"1019W657-001   CABLE ASSY W220"</f>
        <v>1019W657-001   CABLE ASSY W220</v>
      </c>
      <c r="L1103">
        <v>4</v>
      </c>
      <c r="M1103" t="str">
        <f>"PR21000144"</f>
        <v>PR21000144</v>
      </c>
      <c r="N1103" t="str">
        <f>"CABLE ASSY W57 BATTERY BOX"</f>
        <v>CABLE ASSY W57 BATTERY BOX</v>
      </c>
      <c r="O1103">
        <v>210.84</v>
      </c>
      <c r="P1103" t="str">
        <f>"$"</f>
        <v>$</v>
      </c>
      <c r="Q1103" t="str">
        <f>"117"</f>
        <v>117</v>
      </c>
      <c r="R1103" t="str">
        <f>"רתמות"</f>
        <v>רתמות</v>
      </c>
      <c r="S1103" t="str">
        <f>"040"</f>
        <v>040</v>
      </c>
      <c r="T1103" t="str">
        <f>"עמר ליגל"</f>
        <v>עמר ליגל</v>
      </c>
      <c r="U1103">
        <v>0</v>
      </c>
      <c r="V1103">
        <v>0</v>
      </c>
      <c r="W1103">
        <v>210.84</v>
      </c>
      <c r="X1103">
        <v>843.36</v>
      </c>
      <c r="Z1103" t="str">
        <f>"Y"</f>
        <v>Y</v>
      </c>
      <c r="AA1103">
        <v>0</v>
      </c>
      <c r="AC1103">
        <v>0</v>
      </c>
      <c r="AE1103">
        <v>0</v>
      </c>
      <c r="AF1103">
        <v>0</v>
      </c>
      <c r="AG1103">
        <v>688.39</v>
      </c>
      <c r="AH1103">
        <v>0</v>
      </c>
      <c r="AI1103" s="2">
        <v>2753.57</v>
      </c>
      <c r="AJ1103">
        <v>843.36</v>
      </c>
      <c r="AK1103">
        <v>843.36</v>
      </c>
      <c r="AL1103" t="str">
        <f>"$"</f>
        <v>$</v>
      </c>
    </row>
    <row r="1104" spans="1:38" x14ac:dyDescent="0.3">
      <c r="A1104" t="str">
        <f>"SO21000086"</f>
        <v>SO21000086</v>
      </c>
      <c r="B1104" t="str">
        <f>"E000332301"</f>
        <v>E000332301</v>
      </c>
      <c r="C1104" t="str">
        <f>"בוצעה"</f>
        <v>בוצעה</v>
      </c>
      <c r="E1104" s="3">
        <v>44248</v>
      </c>
      <c r="F1104" s="3">
        <v>44339</v>
      </c>
      <c r="G1104" t="str">
        <f>"700065"</f>
        <v>700065</v>
      </c>
      <c r="H1104" t="str">
        <f>"אלתא מערכות בע""מ"</f>
        <v>אלתא מערכות בע"מ</v>
      </c>
      <c r="I1104" t="str">
        <f>"רחמים זרוק"</f>
        <v>רחמים זרוק</v>
      </c>
      <c r="J1104" t="str">
        <f>"OP-AR02310"</f>
        <v>OP-AR02310</v>
      </c>
      <c r="K1104" s="1" t="str">
        <f>"1033A431-001  CABLE ASSY INT BOX - PED FOR INTEG"</f>
        <v>1033A431-001  CABLE ASSY INT BOX - PED FOR INTEG</v>
      </c>
      <c r="L1104">
        <v>2</v>
      </c>
      <c r="M1104" t="str">
        <f>"PR21000144"</f>
        <v>PR21000144</v>
      </c>
      <c r="N1104" t="str">
        <f>"CABLE ASSY W57 BATTERY BOX"</f>
        <v>CABLE ASSY W57 BATTERY BOX</v>
      </c>
      <c r="O1104">
        <v>851.86</v>
      </c>
      <c r="P1104" t="str">
        <f>"$"</f>
        <v>$</v>
      </c>
      <c r="Q1104" t="str">
        <f>"117"</f>
        <v>117</v>
      </c>
      <c r="R1104" t="str">
        <f>"רתמות"</f>
        <v>רתמות</v>
      </c>
      <c r="S1104" t="str">
        <f>"040"</f>
        <v>040</v>
      </c>
      <c r="T1104" t="str">
        <f>"עמר ליגל"</f>
        <v>עמר ליגל</v>
      </c>
      <c r="U1104">
        <v>0</v>
      </c>
      <c r="V1104">
        <v>0</v>
      </c>
      <c r="W1104">
        <v>851.86</v>
      </c>
      <c r="X1104" s="2">
        <v>1703.72</v>
      </c>
      <c r="Z1104" t="str">
        <f>"Y"</f>
        <v>Y</v>
      </c>
      <c r="AA1104">
        <v>0</v>
      </c>
      <c r="AC1104">
        <v>0</v>
      </c>
      <c r="AE1104">
        <v>0</v>
      </c>
      <c r="AF1104">
        <v>0</v>
      </c>
      <c r="AG1104" s="2">
        <v>2781.32</v>
      </c>
      <c r="AH1104">
        <v>0</v>
      </c>
      <c r="AI1104" s="2">
        <v>5562.65</v>
      </c>
      <c r="AJ1104" s="2">
        <v>1703.72</v>
      </c>
      <c r="AK1104" s="2">
        <v>1703.72</v>
      </c>
      <c r="AL1104" t="str">
        <f>"$"</f>
        <v>$</v>
      </c>
    </row>
    <row r="1105" spans="1:38" x14ac:dyDescent="0.3">
      <c r="A1105" t="str">
        <f>"SO21000086"</f>
        <v>SO21000086</v>
      </c>
      <c r="B1105" t="str">
        <f>"E000332301"</f>
        <v>E000332301</v>
      </c>
      <c r="C1105" t="str">
        <f>"בוצעה"</f>
        <v>בוצעה</v>
      </c>
      <c r="E1105" s="3">
        <v>44248</v>
      </c>
      <c r="F1105" s="3">
        <v>44339</v>
      </c>
      <c r="G1105" t="str">
        <f>"700065"</f>
        <v>700065</v>
      </c>
      <c r="H1105" t="str">
        <f>"אלתא מערכות בע""מ"</f>
        <v>אלתא מערכות בע"מ</v>
      </c>
      <c r="I1105" t="str">
        <f>"רחמים זרוק"</f>
        <v>רחמים זרוק</v>
      </c>
      <c r="J1105" t="str">
        <f>"OP-AR02310"</f>
        <v>OP-AR02310</v>
      </c>
      <c r="K1105" s="1" t="str">
        <f>"1033A431-001  CABLE ASSY INT BOX - PED FOR INTEG"</f>
        <v>1033A431-001  CABLE ASSY INT BOX - PED FOR INTEG</v>
      </c>
      <c r="L1105">
        <v>2</v>
      </c>
      <c r="M1105" t="str">
        <f>"PR21000144"</f>
        <v>PR21000144</v>
      </c>
      <c r="N1105" t="str">
        <f>"CABLE ASSY W57 BATTERY BOX"</f>
        <v>CABLE ASSY W57 BATTERY BOX</v>
      </c>
      <c r="O1105">
        <v>851.86</v>
      </c>
      <c r="P1105" t="str">
        <f>"$"</f>
        <v>$</v>
      </c>
      <c r="Q1105" t="str">
        <f>"117"</f>
        <v>117</v>
      </c>
      <c r="R1105" t="str">
        <f>"רתמות"</f>
        <v>רתמות</v>
      </c>
      <c r="S1105" t="str">
        <f>"040"</f>
        <v>040</v>
      </c>
      <c r="T1105" t="str">
        <f>"עמר ליגל"</f>
        <v>עמר ליגל</v>
      </c>
      <c r="U1105">
        <v>0</v>
      </c>
      <c r="V1105">
        <v>0</v>
      </c>
      <c r="W1105">
        <v>851.86</v>
      </c>
      <c r="X1105" s="2">
        <v>1703.72</v>
      </c>
      <c r="Z1105" t="str">
        <f>"Y"</f>
        <v>Y</v>
      </c>
      <c r="AA1105">
        <v>0</v>
      </c>
      <c r="AC1105">
        <v>0</v>
      </c>
      <c r="AE1105">
        <v>0</v>
      </c>
      <c r="AF1105">
        <v>0</v>
      </c>
      <c r="AG1105" s="2">
        <v>2781.32</v>
      </c>
      <c r="AH1105">
        <v>0</v>
      </c>
      <c r="AI1105" s="2">
        <v>5562.65</v>
      </c>
      <c r="AJ1105" s="2">
        <v>1703.72</v>
      </c>
      <c r="AK1105" s="2">
        <v>1703.72</v>
      </c>
      <c r="AL1105" t="str">
        <f>"$"</f>
        <v>$</v>
      </c>
    </row>
    <row r="1106" spans="1:38" x14ac:dyDescent="0.3">
      <c r="A1106" t="str">
        <f>"SO21000086"</f>
        <v>SO21000086</v>
      </c>
      <c r="B1106" t="str">
        <f>"E000332301"</f>
        <v>E000332301</v>
      </c>
      <c r="C1106" t="str">
        <f>"בוצעה"</f>
        <v>בוצעה</v>
      </c>
      <c r="E1106" s="3">
        <v>44248</v>
      </c>
      <c r="F1106" s="3">
        <v>44339</v>
      </c>
      <c r="G1106" t="str">
        <f>"700065"</f>
        <v>700065</v>
      </c>
      <c r="H1106" t="str">
        <f>"אלתא מערכות בע""מ"</f>
        <v>אלתא מערכות בע"מ</v>
      </c>
      <c r="I1106" t="str">
        <f>"רחמים זרוק"</f>
        <v>רחמים זרוק</v>
      </c>
      <c r="J1106" t="str">
        <f>"OP-AR02311"</f>
        <v>OP-AR02311</v>
      </c>
      <c r="K1106" s="1" t="str">
        <f>"1033A436-001   DC PWR SUPLLY FOR INT F/O BOX"</f>
        <v>1033A436-001   DC PWR SUPLLY FOR INT F/O BOX</v>
      </c>
      <c r="L1106">
        <v>1</v>
      </c>
      <c r="M1106" t="str">
        <f>"PR21000144"</f>
        <v>PR21000144</v>
      </c>
      <c r="N1106" t="str">
        <f>"CABLE ASSY W57 BATTERY BOX"</f>
        <v>CABLE ASSY W57 BATTERY BOX</v>
      </c>
      <c r="O1106">
        <v>445.84</v>
      </c>
      <c r="P1106" t="str">
        <f>"$"</f>
        <v>$</v>
      </c>
      <c r="Q1106" t="str">
        <f>"117"</f>
        <v>117</v>
      </c>
      <c r="R1106" t="str">
        <f>"רתמות"</f>
        <v>רתמות</v>
      </c>
      <c r="S1106" t="str">
        <f>"040"</f>
        <v>040</v>
      </c>
      <c r="T1106" t="str">
        <f>"עמר ליגל"</f>
        <v>עמר ליגל</v>
      </c>
      <c r="U1106">
        <v>0</v>
      </c>
      <c r="V1106">
        <v>0</v>
      </c>
      <c r="W1106">
        <v>445.84</v>
      </c>
      <c r="X1106">
        <v>445.84</v>
      </c>
      <c r="Z1106" t="str">
        <f>"Y"</f>
        <v>Y</v>
      </c>
      <c r="AA1106">
        <v>0</v>
      </c>
      <c r="AC1106">
        <v>0</v>
      </c>
      <c r="AE1106">
        <v>0</v>
      </c>
      <c r="AF1106">
        <v>0</v>
      </c>
      <c r="AG1106" s="2">
        <v>1455.67</v>
      </c>
      <c r="AH1106">
        <v>0</v>
      </c>
      <c r="AI1106" s="2">
        <v>1455.67</v>
      </c>
      <c r="AJ1106">
        <v>445.84</v>
      </c>
      <c r="AK1106">
        <v>445.84</v>
      </c>
      <c r="AL1106" t="str">
        <f>"$"</f>
        <v>$</v>
      </c>
    </row>
    <row r="1107" spans="1:38" x14ac:dyDescent="0.3">
      <c r="A1107" t="str">
        <f>"SO21000086"</f>
        <v>SO21000086</v>
      </c>
      <c r="B1107" t="str">
        <f>"E000332301"</f>
        <v>E000332301</v>
      </c>
      <c r="C1107" t="str">
        <f>"בוצעה"</f>
        <v>בוצעה</v>
      </c>
      <c r="E1107" s="3">
        <v>44248</v>
      </c>
      <c r="F1107" s="3">
        <v>44339</v>
      </c>
      <c r="G1107" t="str">
        <f>"700065"</f>
        <v>700065</v>
      </c>
      <c r="H1107" t="str">
        <f>"אלתא מערכות בע""מ"</f>
        <v>אלתא מערכות בע"מ</v>
      </c>
      <c r="I1107" t="str">
        <f>"רחמים זרוק"</f>
        <v>רחמים זרוק</v>
      </c>
      <c r="J1107" t="str">
        <f>"OP-AR02311"</f>
        <v>OP-AR02311</v>
      </c>
      <c r="K1107" s="1" t="str">
        <f>"1033A436-001   DC PWR SUPLLY FOR INT F/O BOX"</f>
        <v>1033A436-001   DC PWR SUPLLY FOR INT F/O BOX</v>
      </c>
      <c r="L1107">
        <v>2</v>
      </c>
      <c r="M1107" t="str">
        <f>"PR21000144"</f>
        <v>PR21000144</v>
      </c>
      <c r="N1107" t="str">
        <f>"CABLE ASSY W57 BATTERY BOX"</f>
        <v>CABLE ASSY W57 BATTERY BOX</v>
      </c>
      <c r="O1107">
        <v>445.84</v>
      </c>
      <c r="P1107" t="str">
        <f>"$"</f>
        <v>$</v>
      </c>
      <c r="Q1107" t="str">
        <f>"117"</f>
        <v>117</v>
      </c>
      <c r="R1107" t="str">
        <f>"רתמות"</f>
        <v>רתמות</v>
      </c>
      <c r="S1107" t="str">
        <f>"040"</f>
        <v>040</v>
      </c>
      <c r="T1107" t="str">
        <f>"עמר ליגל"</f>
        <v>עמר ליגל</v>
      </c>
      <c r="U1107">
        <v>0</v>
      </c>
      <c r="V1107">
        <v>0</v>
      </c>
      <c r="W1107">
        <v>445.84</v>
      </c>
      <c r="X1107">
        <v>891.68</v>
      </c>
      <c r="Z1107" t="str">
        <f>"Y"</f>
        <v>Y</v>
      </c>
      <c r="AA1107">
        <v>0</v>
      </c>
      <c r="AC1107">
        <v>0</v>
      </c>
      <c r="AE1107">
        <v>0</v>
      </c>
      <c r="AF1107">
        <v>0</v>
      </c>
      <c r="AG1107" s="2">
        <v>1455.67</v>
      </c>
      <c r="AH1107">
        <v>0</v>
      </c>
      <c r="AI1107" s="2">
        <v>2911.34</v>
      </c>
      <c r="AJ1107">
        <v>891.68</v>
      </c>
      <c r="AK1107">
        <v>891.68</v>
      </c>
      <c r="AL1107" t="str">
        <f>"$"</f>
        <v>$</v>
      </c>
    </row>
    <row r="1108" spans="1:38" x14ac:dyDescent="0.3">
      <c r="A1108" t="str">
        <f>"SO21000086"</f>
        <v>SO21000086</v>
      </c>
      <c r="B1108" t="str">
        <f>"E000332301"</f>
        <v>E000332301</v>
      </c>
      <c r="C1108" t="str">
        <f>"בוצעה"</f>
        <v>בוצעה</v>
      </c>
      <c r="E1108" s="3">
        <v>44248</v>
      </c>
      <c r="F1108" s="3">
        <v>44339</v>
      </c>
      <c r="G1108" t="str">
        <f>"700065"</f>
        <v>700065</v>
      </c>
      <c r="H1108" t="str">
        <f>"אלתא מערכות בע""מ"</f>
        <v>אלתא מערכות בע"מ</v>
      </c>
      <c r="I1108" t="str">
        <f>"רחמים זרוק"</f>
        <v>רחמים זרוק</v>
      </c>
      <c r="J1108" t="str">
        <f>"OP-AR02312"</f>
        <v>OP-AR02312</v>
      </c>
      <c r="K1108" s="1" t="str">
        <f>"1033A442-001   CABLE ASSY W22 CONTROL PEDESTAL A"</f>
        <v>1033A442-001   CABLE ASSY W22 CONTROL PEDESTAL A</v>
      </c>
      <c r="L1108">
        <v>2</v>
      </c>
      <c r="M1108" t="str">
        <f>"PR21000144"</f>
        <v>PR21000144</v>
      </c>
      <c r="N1108" t="str">
        <f>"CABLE ASSY W57 BATTERY BOX"</f>
        <v>CABLE ASSY W57 BATTERY BOX</v>
      </c>
      <c r="O1108">
        <v>637.04999999999995</v>
      </c>
      <c r="P1108" t="str">
        <f>"$"</f>
        <v>$</v>
      </c>
      <c r="Q1108" t="str">
        <f>"117"</f>
        <v>117</v>
      </c>
      <c r="R1108" t="str">
        <f>"רתמות"</f>
        <v>רתמות</v>
      </c>
      <c r="S1108" t="str">
        <f>"040"</f>
        <v>040</v>
      </c>
      <c r="T1108" t="str">
        <f>"עמר ליגל"</f>
        <v>עמר ליגל</v>
      </c>
      <c r="U1108">
        <v>0</v>
      </c>
      <c r="V1108">
        <v>0</v>
      </c>
      <c r="W1108">
        <v>637.04999999999995</v>
      </c>
      <c r="X1108" s="2">
        <v>1274.0999999999999</v>
      </c>
      <c r="Z1108" t="str">
        <f>"Y"</f>
        <v>Y</v>
      </c>
      <c r="AA1108">
        <v>0</v>
      </c>
      <c r="AC1108">
        <v>0</v>
      </c>
      <c r="AE1108">
        <v>0</v>
      </c>
      <c r="AF1108">
        <v>0</v>
      </c>
      <c r="AG1108" s="2">
        <v>2079.9699999999998</v>
      </c>
      <c r="AH1108">
        <v>0</v>
      </c>
      <c r="AI1108" s="2">
        <v>4159.9399999999996</v>
      </c>
      <c r="AJ1108" s="2">
        <v>1274.0999999999999</v>
      </c>
      <c r="AK1108" s="2">
        <v>1274.0999999999999</v>
      </c>
      <c r="AL1108" t="str">
        <f>"$"</f>
        <v>$</v>
      </c>
    </row>
    <row r="1109" spans="1:38" x14ac:dyDescent="0.3">
      <c r="A1109" t="str">
        <f>"SO21000086"</f>
        <v>SO21000086</v>
      </c>
      <c r="B1109" t="str">
        <f>"E000332301"</f>
        <v>E000332301</v>
      </c>
      <c r="C1109" t="str">
        <f>"בוצעה"</f>
        <v>בוצעה</v>
      </c>
      <c r="E1109" s="3">
        <v>44248</v>
      </c>
      <c r="F1109" s="3">
        <v>44339</v>
      </c>
      <c r="G1109" t="str">
        <f>"700065"</f>
        <v>700065</v>
      </c>
      <c r="H1109" t="str">
        <f>"אלתא מערכות בע""מ"</f>
        <v>אלתא מערכות בע"מ</v>
      </c>
      <c r="I1109" t="str">
        <f>"רחמים זרוק"</f>
        <v>רחמים זרוק</v>
      </c>
      <c r="J1109" t="str">
        <f>"OP-AR02312"</f>
        <v>OP-AR02312</v>
      </c>
      <c r="K1109" s="1" t="str">
        <f>"1033A442-001   CABLE ASSY W22 CONTROL PEDESTAL A"</f>
        <v>1033A442-001   CABLE ASSY W22 CONTROL PEDESTAL A</v>
      </c>
      <c r="L1109">
        <v>2</v>
      </c>
      <c r="M1109" t="str">
        <f>"PR21000144"</f>
        <v>PR21000144</v>
      </c>
      <c r="N1109" t="str">
        <f>"CABLE ASSY W57 BATTERY BOX"</f>
        <v>CABLE ASSY W57 BATTERY BOX</v>
      </c>
      <c r="O1109">
        <v>637.04999999999995</v>
      </c>
      <c r="P1109" t="str">
        <f>"$"</f>
        <v>$</v>
      </c>
      <c r="Q1109" t="str">
        <f>"117"</f>
        <v>117</v>
      </c>
      <c r="R1109" t="str">
        <f>"רתמות"</f>
        <v>רתמות</v>
      </c>
      <c r="S1109" t="str">
        <f>"040"</f>
        <v>040</v>
      </c>
      <c r="T1109" t="str">
        <f>"עמר ליגל"</f>
        <v>עמר ליגל</v>
      </c>
      <c r="U1109">
        <v>0</v>
      </c>
      <c r="V1109">
        <v>0</v>
      </c>
      <c r="W1109">
        <v>637.04999999999995</v>
      </c>
      <c r="X1109" s="2">
        <v>1274.0999999999999</v>
      </c>
      <c r="Z1109" t="str">
        <f>"Y"</f>
        <v>Y</v>
      </c>
      <c r="AA1109">
        <v>0</v>
      </c>
      <c r="AC1109">
        <v>0</v>
      </c>
      <c r="AE1109">
        <v>0</v>
      </c>
      <c r="AF1109">
        <v>0</v>
      </c>
      <c r="AG1109" s="2">
        <v>2079.9699999999998</v>
      </c>
      <c r="AH1109">
        <v>0</v>
      </c>
      <c r="AI1109" s="2">
        <v>4159.9399999999996</v>
      </c>
      <c r="AJ1109" s="2">
        <v>1274.0999999999999</v>
      </c>
      <c r="AK1109" s="2">
        <v>1274.0999999999999</v>
      </c>
      <c r="AL1109" t="str">
        <f>"$"</f>
        <v>$</v>
      </c>
    </row>
    <row r="1110" spans="1:38" x14ac:dyDescent="0.3">
      <c r="A1110" t="str">
        <f>"SO21000086"</f>
        <v>SO21000086</v>
      </c>
      <c r="B1110" t="str">
        <f>"E000332301"</f>
        <v>E000332301</v>
      </c>
      <c r="C1110" t="str">
        <f>"בוצעה"</f>
        <v>בוצעה</v>
      </c>
      <c r="E1110" s="3">
        <v>44248</v>
      </c>
      <c r="F1110" s="3">
        <v>44339</v>
      </c>
      <c r="G1110" t="str">
        <f>"700065"</f>
        <v>700065</v>
      </c>
      <c r="H1110" t="str">
        <f>"אלתא מערכות בע""מ"</f>
        <v>אלתא מערכות בע"מ</v>
      </c>
      <c r="I1110" t="str">
        <f>"רחמים זרוק"</f>
        <v>רחמים זרוק</v>
      </c>
      <c r="J1110" t="str">
        <f>"OP-AR02313"</f>
        <v>OP-AR02313</v>
      </c>
      <c r="K1110" s="1" t="str">
        <f>"1033A444-001  CABLE ASSY POWER PEDESTAL TO ANTEN"</f>
        <v>1033A444-001  CABLE ASSY POWER PEDESTAL TO ANTEN</v>
      </c>
      <c r="L1110">
        <v>2</v>
      </c>
      <c r="M1110" t="str">
        <f>"PR21000144"</f>
        <v>PR21000144</v>
      </c>
      <c r="N1110" t="str">
        <f>"CABLE ASSY W57 BATTERY BOX"</f>
        <v>CABLE ASSY W57 BATTERY BOX</v>
      </c>
      <c r="O1110">
        <v>656.39</v>
      </c>
      <c r="P1110" t="str">
        <f>"$"</f>
        <v>$</v>
      </c>
      <c r="Q1110" t="str">
        <f>"117"</f>
        <v>117</v>
      </c>
      <c r="R1110" t="str">
        <f>"רתמות"</f>
        <v>רתמות</v>
      </c>
      <c r="S1110" t="str">
        <f>"040"</f>
        <v>040</v>
      </c>
      <c r="T1110" t="str">
        <f>"עמר ליגל"</f>
        <v>עמר ליגל</v>
      </c>
      <c r="U1110">
        <v>0</v>
      </c>
      <c r="V1110">
        <v>0</v>
      </c>
      <c r="W1110">
        <v>656.39</v>
      </c>
      <c r="X1110" s="2">
        <v>1312.78</v>
      </c>
      <c r="Z1110" t="str">
        <f>"Y"</f>
        <v>Y</v>
      </c>
      <c r="AA1110">
        <v>0</v>
      </c>
      <c r="AC1110">
        <v>0</v>
      </c>
      <c r="AE1110">
        <v>0</v>
      </c>
      <c r="AF1110">
        <v>0</v>
      </c>
      <c r="AG1110" s="2">
        <v>2143.11</v>
      </c>
      <c r="AH1110">
        <v>0</v>
      </c>
      <c r="AI1110" s="2">
        <v>4286.2299999999996</v>
      </c>
      <c r="AJ1110" s="2">
        <v>1312.78</v>
      </c>
      <c r="AK1110" s="2">
        <v>1312.78</v>
      </c>
      <c r="AL1110" t="str">
        <f>"$"</f>
        <v>$</v>
      </c>
    </row>
    <row r="1111" spans="1:38" x14ac:dyDescent="0.3">
      <c r="A1111" t="str">
        <f>"SO21000086"</f>
        <v>SO21000086</v>
      </c>
      <c r="B1111" t="str">
        <f>"E000332301"</f>
        <v>E000332301</v>
      </c>
      <c r="C1111" t="str">
        <f>"בוצעה"</f>
        <v>בוצעה</v>
      </c>
      <c r="E1111" s="3">
        <v>44248</v>
      </c>
      <c r="F1111" s="3">
        <v>44339</v>
      </c>
      <c r="G1111" t="str">
        <f>"700065"</f>
        <v>700065</v>
      </c>
      <c r="H1111" t="str">
        <f>"אלתא מערכות בע""מ"</f>
        <v>אלתא מערכות בע"מ</v>
      </c>
      <c r="I1111" t="str">
        <f>"רחמים זרוק"</f>
        <v>רחמים זרוק</v>
      </c>
      <c r="J1111" t="str">
        <f>"OP-AR02313"</f>
        <v>OP-AR02313</v>
      </c>
      <c r="K1111" s="1" t="str">
        <f>"1033A444-001  CABLE ASSY POWER PEDESTAL TO ANTEN"</f>
        <v>1033A444-001  CABLE ASSY POWER PEDESTAL TO ANTEN</v>
      </c>
      <c r="L1111">
        <v>2</v>
      </c>
      <c r="M1111" t="str">
        <f>"PR21000144"</f>
        <v>PR21000144</v>
      </c>
      <c r="N1111" t="str">
        <f>"CABLE ASSY W57 BATTERY BOX"</f>
        <v>CABLE ASSY W57 BATTERY BOX</v>
      </c>
      <c r="O1111">
        <v>656.39</v>
      </c>
      <c r="P1111" t="str">
        <f>"$"</f>
        <v>$</v>
      </c>
      <c r="Q1111" t="str">
        <f>"117"</f>
        <v>117</v>
      </c>
      <c r="R1111" t="str">
        <f>"רתמות"</f>
        <v>רתמות</v>
      </c>
      <c r="S1111" t="str">
        <f>"040"</f>
        <v>040</v>
      </c>
      <c r="T1111" t="str">
        <f>"עמר ליגל"</f>
        <v>עמר ליגל</v>
      </c>
      <c r="U1111">
        <v>0</v>
      </c>
      <c r="V1111">
        <v>0</v>
      </c>
      <c r="W1111">
        <v>656.39</v>
      </c>
      <c r="X1111" s="2">
        <v>1312.78</v>
      </c>
      <c r="Z1111" t="str">
        <f>"Y"</f>
        <v>Y</v>
      </c>
      <c r="AA1111">
        <v>0</v>
      </c>
      <c r="AC1111">
        <v>0</v>
      </c>
      <c r="AE1111">
        <v>0</v>
      </c>
      <c r="AF1111">
        <v>0</v>
      </c>
      <c r="AG1111" s="2">
        <v>2143.11</v>
      </c>
      <c r="AH1111">
        <v>0</v>
      </c>
      <c r="AI1111" s="2">
        <v>4286.2299999999996</v>
      </c>
      <c r="AJ1111" s="2">
        <v>1312.78</v>
      </c>
      <c r="AK1111" s="2">
        <v>1312.78</v>
      </c>
      <c r="AL1111" t="str">
        <f>"$"</f>
        <v>$</v>
      </c>
    </row>
    <row r="1112" spans="1:38" x14ac:dyDescent="0.3">
      <c r="A1112" t="str">
        <f>"SO21000090"</f>
        <v>SO21000090</v>
      </c>
      <c r="B1112" t="str">
        <f>"E000332763"</f>
        <v>E000332763</v>
      </c>
      <c r="C1112" t="str">
        <f>"בוצעה"</f>
        <v>בוצעה</v>
      </c>
      <c r="E1112" s="3">
        <v>44251</v>
      </c>
      <c r="F1112" s="3">
        <v>44742</v>
      </c>
      <c r="G1112" t="str">
        <f>"700065"</f>
        <v>700065</v>
      </c>
      <c r="H1112" t="str">
        <f>"אלתא מערכות בע""מ"</f>
        <v>אלתא מערכות בע"מ</v>
      </c>
      <c r="I1112" t="str">
        <f>"ערן שלו"</f>
        <v>ערן שלו</v>
      </c>
      <c r="J1112" t="str">
        <f>"OP-ML00197"</f>
        <v>OP-ML00197</v>
      </c>
      <c r="K1112" s="1" t="str">
        <f>"1038C816-001 COMPUTER RACK"</f>
        <v>1038C816-001 COMPUTER RACK</v>
      </c>
      <c r="L1112">
        <v>1</v>
      </c>
      <c r="M1112" t="str">
        <f>"PR21000445"</f>
        <v>PR21000445</v>
      </c>
      <c r="N1112" t="str">
        <f>"04 COMPUTER RACK"</f>
        <v>04 COMPUTER RACK</v>
      </c>
      <c r="O1112">
        <v>0</v>
      </c>
      <c r="P1112" t="str">
        <f>"$"</f>
        <v>$</v>
      </c>
      <c r="Q1112" t="str">
        <f>"119"</f>
        <v>119</v>
      </c>
      <c r="R1112" t="str">
        <f>"פלטפורמות"</f>
        <v>פלטפורמות</v>
      </c>
      <c r="S1112" t="str">
        <f>"034"</f>
        <v>034</v>
      </c>
      <c r="T1112" t="str">
        <f>"גנם הודיה"</f>
        <v>גנם הודיה</v>
      </c>
      <c r="U1112">
        <v>0</v>
      </c>
      <c r="V1112">
        <v>0</v>
      </c>
      <c r="W1112">
        <v>0</v>
      </c>
      <c r="X1112">
        <v>0</v>
      </c>
      <c r="Z1112" t="str">
        <f>"Y"</f>
        <v>Y</v>
      </c>
      <c r="AA1112">
        <v>0</v>
      </c>
      <c r="AC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 t="str">
        <f>"$"</f>
        <v>$</v>
      </c>
    </row>
    <row r="1113" spans="1:38" x14ac:dyDescent="0.3">
      <c r="A1113" t="str">
        <f>"SO21000090"</f>
        <v>SO21000090</v>
      </c>
      <c r="B1113" t="str">
        <f>"E000332763"</f>
        <v>E000332763</v>
      </c>
      <c r="C1113" t="str">
        <f>"בוצעה"</f>
        <v>בוצעה</v>
      </c>
      <c r="E1113" s="3">
        <v>44251</v>
      </c>
      <c r="F1113" s="3">
        <v>44925</v>
      </c>
      <c r="G1113" t="str">
        <f>"700065"</f>
        <v>700065</v>
      </c>
      <c r="H1113" t="str">
        <f>"אלתא מערכות בע""מ"</f>
        <v>אלתא מערכות בע"מ</v>
      </c>
      <c r="I1113" t="str">
        <f>"ערן שלו"</f>
        <v>ערן שלו</v>
      </c>
      <c r="J1113" t="str">
        <f>"000"</f>
        <v>000</v>
      </c>
      <c r="K1113" s="1" t="str">
        <f>"NRE"</f>
        <v>NRE</v>
      </c>
      <c r="L1113">
        <v>1</v>
      </c>
      <c r="M1113" t="str">
        <f>"PR21000154"</f>
        <v>PR21000154</v>
      </c>
      <c r="N1113" t="str">
        <f>"NRE COMPUTER RACK"</f>
        <v>NRE COMPUTER RACK</v>
      </c>
      <c r="O1113" s="2">
        <v>20500</v>
      </c>
      <c r="P1113" t="str">
        <f>"$"</f>
        <v>$</v>
      </c>
      <c r="Q1113" t="str">
        <f>"119"</f>
        <v>119</v>
      </c>
      <c r="R1113" t="str">
        <f>"פלטפורמות"</f>
        <v>פלטפורמות</v>
      </c>
      <c r="S1113" t="str">
        <f>"034"</f>
        <v>034</v>
      </c>
      <c r="T1113" t="str">
        <f>"גנם הודיה"</f>
        <v>גנם הודיה</v>
      </c>
      <c r="U1113">
        <v>0</v>
      </c>
      <c r="V1113">
        <v>0</v>
      </c>
      <c r="W1113" s="2">
        <v>20500</v>
      </c>
      <c r="X1113" s="2">
        <v>20500</v>
      </c>
      <c r="Z1113" t="str">
        <f>"Y"</f>
        <v>Y</v>
      </c>
      <c r="AA1113">
        <v>1</v>
      </c>
      <c r="AC1113">
        <v>0</v>
      </c>
      <c r="AE1113">
        <v>0</v>
      </c>
      <c r="AF1113">
        <v>0</v>
      </c>
      <c r="AG1113" s="2">
        <v>66912</v>
      </c>
      <c r="AH1113">
        <v>0</v>
      </c>
      <c r="AI1113" s="2">
        <v>66912</v>
      </c>
      <c r="AJ1113" s="2">
        <v>20500</v>
      </c>
      <c r="AK1113" s="2">
        <v>20500</v>
      </c>
      <c r="AL1113" t="str">
        <f>"$"</f>
        <v>$</v>
      </c>
    </row>
    <row r="1114" spans="1:38" x14ac:dyDescent="0.3">
      <c r="A1114" t="str">
        <f>"SO21000090"</f>
        <v>SO21000090</v>
      </c>
      <c r="B1114" t="str">
        <f>"E000332763"</f>
        <v>E000332763</v>
      </c>
      <c r="C1114" t="str">
        <f>"בוצעה"</f>
        <v>בוצעה</v>
      </c>
      <c r="E1114" s="3">
        <v>44251</v>
      </c>
      <c r="F1114" s="3">
        <v>44620</v>
      </c>
      <c r="G1114" t="str">
        <f>"700065"</f>
        <v>700065</v>
      </c>
      <c r="H1114" t="str">
        <f>"אלתא מערכות בע""מ"</f>
        <v>אלתא מערכות בע"מ</v>
      </c>
      <c r="I1114" t="str">
        <f>"ערן שלו"</f>
        <v>ערן שלו</v>
      </c>
      <c r="J1114" t="str">
        <f>"OP-ML00197"</f>
        <v>OP-ML00197</v>
      </c>
      <c r="K1114" s="1" t="str">
        <f>"1038C816-001 COMPUTER RACK"</f>
        <v>1038C816-001 COMPUTER RACK</v>
      </c>
      <c r="L1114">
        <v>1</v>
      </c>
      <c r="M1114" t="str">
        <f>"PR21000417"</f>
        <v>PR21000417</v>
      </c>
      <c r="N1114" t="str">
        <f>"01 COMPUTER RACK"</f>
        <v>01 COMPUTER RACK</v>
      </c>
      <c r="O1114" s="2">
        <v>47500</v>
      </c>
      <c r="P1114" t="str">
        <f>"$"</f>
        <v>$</v>
      </c>
      <c r="Q1114" t="str">
        <f>"119"</f>
        <v>119</v>
      </c>
      <c r="R1114" t="str">
        <f>"פלטפורמות"</f>
        <v>פלטפורמות</v>
      </c>
      <c r="S1114" t="str">
        <f>"034"</f>
        <v>034</v>
      </c>
      <c r="T1114" t="str">
        <f>"גנם הודיה"</f>
        <v>גנם הודיה</v>
      </c>
      <c r="U1114">
        <v>0</v>
      </c>
      <c r="V1114">
        <v>0</v>
      </c>
      <c r="W1114" s="2">
        <v>47500</v>
      </c>
      <c r="X1114" s="2">
        <v>47500</v>
      </c>
      <c r="Z1114" t="str">
        <f>"Y"</f>
        <v>Y</v>
      </c>
      <c r="AA1114">
        <v>0</v>
      </c>
      <c r="AC1114">
        <v>0</v>
      </c>
      <c r="AE1114">
        <v>0</v>
      </c>
      <c r="AF1114">
        <v>0</v>
      </c>
      <c r="AG1114" s="2">
        <v>155040</v>
      </c>
      <c r="AH1114">
        <v>0</v>
      </c>
      <c r="AI1114" s="2">
        <v>155040</v>
      </c>
      <c r="AJ1114" s="2">
        <v>47500</v>
      </c>
      <c r="AK1114" s="2">
        <v>47500</v>
      </c>
      <c r="AL1114" t="str">
        <f>"$"</f>
        <v>$</v>
      </c>
    </row>
    <row r="1115" spans="1:38" x14ac:dyDescent="0.3">
      <c r="A1115" t="str">
        <f>"SO21000090"</f>
        <v>SO21000090</v>
      </c>
      <c r="B1115" t="str">
        <f>"E000332763"</f>
        <v>E000332763</v>
      </c>
      <c r="C1115" t="str">
        <f>"בוצעה"</f>
        <v>בוצעה</v>
      </c>
      <c r="E1115" s="3">
        <v>44251</v>
      </c>
      <c r="F1115" s="3">
        <v>44772</v>
      </c>
      <c r="G1115" t="str">
        <f>"700065"</f>
        <v>700065</v>
      </c>
      <c r="H1115" t="str">
        <f>"אלתא מערכות בע""מ"</f>
        <v>אלתא מערכות בע"מ</v>
      </c>
      <c r="I1115" t="str">
        <f>"ערן שלו"</f>
        <v>ערן שלו</v>
      </c>
      <c r="J1115" t="str">
        <f>"OP-ML00197"</f>
        <v>OP-ML00197</v>
      </c>
      <c r="K1115" s="1" t="str">
        <f>"1038C816-001 COMPUTER RACK"</f>
        <v>1038C816-001 COMPUTER RACK</v>
      </c>
      <c r="L1115">
        <v>1</v>
      </c>
      <c r="M1115" t="str">
        <f>"PR21000443"</f>
        <v>PR21000443</v>
      </c>
      <c r="N1115" t="str">
        <f>"02 COMPUTER RACK"</f>
        <v>02 COMPUTER RACK</v>
      </c>
      <c r="O1115" s="2">
        <v>47500</v>
      </c>
      <c r="P1115" t="str">
        <f>"$"</f>
        <v>$</v>
      </c>
      <c r="Q1115" t="str">
        <f>"119"</f>
        <v>119</v>
      </c>
      <c r="R1115" t="str">
        <f>"פלטפורמות"</f>
        <v>פלטפורמות</v>
      </c>
      <c r="S1115" t="str">
        <f>"034"</f>
        <v>034</v>
      </c>
      <c r="T1115" t="str">
        <f>"גנם הודיה"</f>
        <v>גנם הודיה</v>
      </c>
      <c r="U1115">
        <v>0</v>
      </c>
      <c r="V1115">
        <v>0</v>
      </c>
      <c r="W1115" s="2">
        <v>47500</v>
      </c>
      <c r="X1115" s="2">
        <v>47500</v>
      </c>
      <c r="Z1115" t="str">
        <f>"Y"</f>
        <v>Y</v>
      </c>
      <c r="AA1115">
        <v>0</v>
      </c>
      <c r="AC1115">
        <v>0</v>
      </c>
      <c r="AE1115">
        <v>0</v>
      </c>
      <c r="AF1115">
        <v>0</v>
      </c>
      <c r="AG1115" s="2">
        <v>155040</v>
      </c>
      <c r="AH1115">
        <v>0</v>
      </c>
      <c r="AI1115" s="2">
        <v>155040</v>
      </c>
      <c r="AJ1115" s="2">
        <v>47500</v>
      </c>
      <c r="AK1115" s="2">
        <v>47500</v>
      </c>
      <c r="AL1115" t="str">
        <f>"$"</f>
        <v>$</v>
      </c>
    </row>
    <row r="1116" spans="1:38" x14ac:dyDescent="0.3">
      <c r="A1116" t="str">
        <f>"SO21000090"</f>
        <v>SO21000090</v>
      </c>
      <c r="B1116" t="str">
        <f>"E000332763"</f>
        <v>E000332763</v>
      </c>
      <c r="C1116" t="str">
        <f>"בוצעה"</f>
        <v>בוצעה</v>
      </c>
      <c r="E1116" s="3">
        <v>44251</v>
      </c>
      <c r="F1116" s="3">
        <v>44803</v>
      </c>
      <c r="G1116" t="str">
        <f>"700065"</f>
        <v>700065</v>
      </c>
      <c r="H1116" t="str">
        <f>"אלתא מערכות בע""מ"</f>
        <v>אלתא מערכות בע"מ</v>
      </c>
      <c r="I1116" t="str">
        <f>"ערן שלו"</f>
        <v>ערן שלו</v>
      </c>
      <c r="J1116" t="str">
        <f>"OP-ML00197"</f>
        <v>OP-ML00197</v>
      </c>
      <c r="K1116" s="1" t="str">
        <f>"1038C816-001 COMPUTER RACK"</f>
        <v>1038C816-001 COMPUTER RACK</v>
      </c>
      <c r="L1116">
        <v>1</v>
      </c>
      <c r="M1116" t="str">
        <f>"PR21000444"</f>
        <v>PR21000444</v>
      </c>
      <c r="N1116" t="str">
        <f>"03 COMPUTER RACK"</f>
        <v>03 COMPUTER RACK</v>
      </c>
      <c r="O1116">
        <v>0</v>
      </c>
      <c r="P1116" t="str">
        <f>"$"</f>
        <v>$</v>
      </c>
      <c r="Q1116" t="str">
        <f>"119"</f>
        <v>119</v>
      </c>
      <c r="R1116" t="str">
        <f>"פלטפורמות"</f>
        <v>פלטפורמות</v>
      </c>
      <c r="S1116" t="str">
        <f>"034"</f>
        <v>034</v>
      </c>
      <c r="T1116" t="str">
        <f>"גנם הודיה"</f>
        <v>גנם הודיה</v>
      </c>
      <c r="U1116">
        <v>0</v>
      </c>
      <c r="V1116">
        <v>0</v>
      </c>
      <c r="W1116">
        <v>0</v>
      </c>
      <c r="X1116">
        <v>0</v>
      </c>
      <c r="Z1116" t="str">
        <f>"Y"</f>
        <v>Y</v>
      </c>
      <c r="AA1116">
        <v>0</v>
      </c>
      <c r="AC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 t="str">
        <f>"$"</f>
        <v>$</v>
      </c>
    </row>
    <row r="1117" spans="1:38" x14ac:dyDescent="0.3">
      <c r="A1117" t="str">
        <f>"SO21000090"</f>
        <v>SO21000090</v>
      </c>
      <c r="B1117" t="str">
        <f>"E000332763"</f>
        <v>E000332763</v>
      </c>
      <c r="C1117" t="str">
        <f>"בוצעה"</f>
        <v>בוצעה</v>
      </c>
      <c r="E1117" s="3">
        <v>44251</v>
      </c>
      <c r="F1117" s="3">
        <v>44834</v>
      </c>
      <c r="G1117" t="str">
        <f>"700065"</f>
        <v>700065</v>
      </c>
      <c r="H1117" t="str">
        <f>"אלתא מערכות בע""מ"</f>
        <v>אלתא מערכות בע"מ</v>
      </c>
      <c r="I1117" t="str">
        <f>"ערן שלו"</f>
        <v>ערן שלו</v>
      </c>
      <c r="J1117" t="str">
        <f>"OP-ML00197"</f>
        <v>OP-ML00197</v>
      </c>
      <c r="K1117" s="1" t="str">
        <f>"1038C816-001 COMPUTER RACK"</f>
        <v>1038C816-001 COMPUTER RACK</v>
      </c>
      <c r="L1117">
        <v>1</v>
      </c>
      <c r="O1117">
        <v>0</v>
      </c>
      <c r="P1117" t="str">
        <f>"$"</f>
        <v>$</v>
      </c>
      <c r="Q1117" t="str">
        <f>"119"</f>
        <v>119</v>
      </c>
      <c r="R1117" t="str">
        <f>"פלטפורמות"</f>
        <v>פלטפורמות</v>
      </c>
      <c r="S1117" t="str">
        <f>"034"</f>
        <v>034</v>
      </c>
      <c r="T1117" t="str">
        <f>"גנם הודיה"</f>
        <v>גנם הודיה</v>
      </c>
      <c r="U1117">
        <v>0</v>
      </c>
      <c r="V1117">
        <v>0</v>
      </c>
      <c r="W1117">
        <v>0</v>
      </c>
      <c r="X1117">
        <v>0</v>
      </c>
      <c r="Z1117" t="str">
        <f>"Y"</f>
        <v>Y</v>
      </c>
      <c r="AA1117">
        <v>0</v>
      </c>
      <c r="AC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 t="str">
        <f>"$"</f>
        <v>$</v>
      </c>
    </row>
    <row r="1118" spans="1:38" x14ac:dyDescent="0.3">
      <c r="A1118" t="str">
        <f>"SO21000090"</f>
        <v>SO21000090</v>
      </c>
      <c r="B1118" t="str">
        <f>"E000332763"</f>
        <v>E000332763</v>
      </c>
      <c r="C1118" t="str">
        <f>"בוצעה"</f>
        <v>בוצעה</v>
      </c>
      <c r="E1118" s="3">
        <v>44251</v>
      </c>
      <c r="F1118" s="3">
        <v>44864</v>
      </c>
      <c r="G1118" t="str">
        <f>"700065"</f>
        <v>700065</v>
      </c>
      <c r="H1118" t="str">
        <f>"אלתא מערכות בע""מ"</f>
        <v>אלתא מערכות בע"מ</v>
      </c>
      <c r="I1118" t="str">
        <f>"ערן שלו"</f>
        <v>ערן שלו</v>
      </c>
      <c r="J1118" t="str">
        <f>"OP-ML00197"</f>
        <v>OP-ML00197</v>
      </c>
      <c r="K1118" s="1" t="str">
        <f>"1038C816-001 COMPUTER RACK"</f>
        <v>1038C816-001 COMPUTER RACK</v>
      </c>
      <c r="L1118">
        <v>1</v>
      </c>
      <c r="M1118" t="str">
        <f>"PR21000445"</f>
        <v>PR21000445</v>
      </c>
      <c r="N1118" t="str">
        <f>"04 COMPUTER RACK"</f>
        <v>04 COMPUTER RACK</v>
      </c>
      <c r="O1118">
        <v>0</v>
      </c>
      <c r="P1118" t="str">
        <f>"$"</f>
        <v>$</v>
      </c>
      <c r="Q1118" t="str">
        <f>"119"</f>
        <v>119</v>
      </c>
      <c r="R1118" t="str">
        <f>"פלטפורמות"</f>
        <v>פלטפורמות</v>
      </c>
      <c r="S1118" t="str">
        <f>"034"</f>
        <v>034</v>
      </c>
      <c r="T1118" t="str">
        <f>"גנם הודיה"</f>
        <v>גנם הודיה</v>
      </c>
      <c r="U1118">
        <v>0</v>
      </c>
      <c r="V1118">
        <v>0</v>
      </c>
      <c r="W1118">
        <v>0</v>
      </c>
      <c r="X1118">
        <v>0</v>
      </c>
      <c r="Z1118" t="str">
        <f>"Y"</f>
        <v>Y</v>
      </c>
      <c r="AA1118">
        <v>1</v>
      </c>
      <c r="AC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 t="str">
        <f>"$"</f>
        <v>$</v>
      </c>
    </row>
    <row r="1119" spans="1:38" x14ac:dyDescent="0.3">
      <c r="A1119" t="str">
        <f>"SO21000090"</f>
        <v>SO21000090</v>
      </c>
      <c r="B1119" t="str">
        <f>"E000332763"</f>
        <v>E000332763</v>
      </c>
      <c r="C1119" t="str">
        <f>"בוצעה"</f>
        <v>בוצעה</v>
      </c>
      <c r="E1119" s="3">
        <v>44251</v>
      </c>
      <c r="F1119" s="3">
        <v>44895</v>
      </c>
      <c r="G1119" t="str">
        <f>"700065"</f>
        <v>700065</v>
      </c>
      <c r="H1119" t="str">
        <f>"אלתא מערכות בע""מ"</f>
        <v>אלתא מערכות בע"מ</v>
      </c>
      <c r="I1119" t="str">
        <f>"ערן שלו"</f>
        <v>ערן שלו</v>
      </c>
      <c r="J1119" t="str">
        <f>"OP-ML00197"</f>
        <v>OP-ML00197</v>
      </c>
      <c r="K1119" s="1" t="str">
        <f>"1038C816-001 COMPUTER RACK"</f>
        <v>1038C816-001 COMPUTER RACK</v>
      </c>
      <c r="L1119">
        <v>1</v>
      </c>
      <c r="M1119" t="str">
        <f>"PR21000446"</f>
        <v>PR21000446</v>
      </c>
      <c r="N1119" t="str">
        <f>"05 COMPUTER RACK"</f>
        <v>05 COMPUTER RACK</v>
      </c>
      <c r="O1119">
        <v>0</v>
      </c>
      <c r="P1119" t="str">
        <f>"$"</f>
        <v>$</v>
      </c>
      <c r="Q1119" t="str">
        <f>"119"</f>
        <v>119</v>
      </c>
      <c r="R1119" t="str">
        <f>"פלטפורמות"</f>
        <v>פלטפורמות</v>
      </c>
      <c r="S1119" t="str">
        <f>"034"</f>
        <v>034</v>
      </c>
      <c r="T1119" t="str">
        <f>"גנם הודיה"</f>
        <v>גנם הודיה</v>
      </c>
      <c r="U1119">
        <v>0</v>
      </c>
      <c r="V1119">
        <v>0</v>
      </c>
      <c r="W1119">
        <v>0</v>
      </c>
      <c r="X1119">
        <v>0</v>
      </c>
      <c r="Z1119" t="str">
        <f>"Y"</f>
        <v>Y</v>
      </c>
      <c r="AA1119">
        <v>1</v>
      </c>
      <c r="AC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 t="str">
        <f>"$"</f>
        <v>$</v>
      </c>
    </row>
    <row r="1120" spans="1:38" x14ac:dyDescent="0.3">
      <c r="A1120" t="str">
        <f>"SO21000090"</f>
        <v>SO21000090</v>
      </c>
      <c r="B1120" t="str">
        <f>"E000332763"</f>
        <v>E000332763</v>
      </c>
      <c r="C1120" t="str">
        <f>"בוצעה"</f>
        <v>בוצעה</v>
      </c>
      <c r="E1120" s="3">
        <v>44251</v>
      </c>
      <c r="F1120" s="3">
        <v>44925</v>
      </c>
      <c r="G1120" t="str">
        <f>"700065"</f>
        <v>700065</v>
      </c>
      <c r="H1120" t="str">
        <f>"אלתא מערכות בע""מ"</f>
        <v>אלתא מערכות בע"מ</v>
      </c>
      <c r="I1120" t="str">
        <f>"ערן שלו"</f>
        <v>ערן שלו</v>
      </c>
      <c r="J1120" t="str">
        <f>"OP-ML00197"</f>
        <v>OP-ML00197</v>
      </c>
      <c r="K1120" s="1" t="str">
        <f>"1038C816-001 COMPUTER RACK"</f>
        <v>1038C816-001 COMPUTER RACK</v>
      </c>
      <c r="L1120">
        <v>1</v>
      </c>
      <c r="M1120" t="str">
        <f>"PR21000447"</f>
        <v>PR21000447</v>
      </c>
      <c r="N1120" t="str">
        <f>"06 COMPUTER RACK"</f>
        <v>06 COMPUTER RACK</v>
      </c>
      <c r="O1120">
        <v>0</v>
      </c>
      <c r="P1120" t="str">
        <f>"$"</f>
        <v>$</v>
      </c>
      <c r="Q1120" t="str">
        <f>"119"</f>
        <v>119</v>
      </c>
      <c r="R1120" t="str">
        <f>"פלטפורמות"</f>
        <v>פלטפורמות</v>
      </c>
      <c r="S1120" t="str">
        <f>"034"</f>
        <v>034</v>
      </c>
      <c r="T1120" t="str">
        <f>"גנם הודיה"</f>
        <v>גנם הודיה</v>
      </c>
      <c r="U1120">
        <v>0</v>
      </c>
      <c r="V1120">
        <v>0</v>
      </c>
      <c r="W1120">
        <v>0</v>
      </c>
      <c r="X1120">
        <v>0</v>
      </c>
      <c r="Z1120" t="str">
        <f>"Y"</f>
        <v>Y</v>
      </c>
      <c r="AA1120">
        <v>1</v>
      </c>
      <c r="AC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 t="str">
        <f>"$"</f>
        <v>$</v>
      </c>
    </row>
    <row r="1121" spans="1:38" x14ac:dyDescent="0.3">
      <c r="A1121" t="str">
        <f>"SO21000090"</f>
        <v>SO21000090</v>
      </c>
      <c r="B1121" t="str">
        <f>"E000332763"</f>
        <v>E000332763</v>
      </c>
      <c r="C1121" t="str">
        <f>"בוצעה"</f>
        <v>בוצעה</v>
      </c>
      <c r="E1121" s="3">
        <v>44251</v>
      </c>
      <c r="F1121" s="3">
        <v>44586</v>
      </c>
      <c r="G1121" t="str">
        <f>"700065"</f>
        <v>700065</v>
      </c>
      <c r="H1121" t="str">
        <f>"אלתא מערכות בע""מ"</f>
        <v>אלתא מערכות בע"מ</v>
      </c>
      <c r="I1121" t="str">
        <f>"ערן שלו"</f>
        <v>ערן שלו</v>
      </c>
      <c r="J1121" t="str">
        <f>"000"</f>
        <v>000</v>
      </c>
      <c r="K1121" s="1" t="str">
        <f>"סט 02 מארזים ZV0280086-69"</f>
        <v>סט 02 מארזים ZV0280086-69</v>
      </c>
      <c r="L1121">
        <v>4</v>
      </c>
      <c r="M1121" t="str">
        <f>"PR21000443"</f>
        <v>PR21000443</v>
      </c>
      <c r="N1121" t="str">
        <f>"02 COMPUTER RACK"</f>
        <v>02 COMPUTER RACK</v>
      </c>
      <c r="O1121">
        <v>0</v>
      </c>
      <c r="P1121" t="str">
        <f>"$"</f>
        <v>$</v>
      </c>
      <c r="Q1121" t="str">
        <f>"119"</f>
        <v>119</v>
      </c>
      <c r="R1121" t="str">
        <f>"פלטפורמות"</f>
        <v>פלטפורמות</v>
      </c>
      <c r="S1121" t="str">
        <f>"034"</f>
        <v>034</v>
      </c>
      <c r="T1121" t="str">
        <f>"גנם הודיה"</f>
        <v>גנם הודיה</v>
      </c>
      <c r="U1121">
        <v>0</v>
      </c>
      <c r="V1121">
        <v>0</v>
      </c>
      <c r="W1121">
        <v>0</v>
      </c>
      <c r="X1121">
        <v>0</v>
      </c>
      <c r="Z1121" t="str">
        <f>"Y"</f>
        <v>Y</v>
      </c>
      <c r="AA1121">
        <v>0</v>
      </c>
      <c r="AC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 t="str">
        <f>"$"</f>
        <v>$</v>
      </c>
    </row>
    <row r="1122" spans="1:38" x14ac:dyDescent="0.3">
      <c r="A1122" t="str">
        <f>"SO21000090"</f>
        <v>SO21000090</v>
      </c>
      <c r="B1122" t="str">
        <f>"E000332763"</f>
        <v>E000332763</v>
      </c>
      <c r="C1122" t="str">
        <f>"בוצעה"</f>
        <v>בוצעה</v>
      </c>
      <c r="E1122" s="3">
        <v>44251</v>
      </c>
      <c r="F1122" s="3">
        <v>45112</v>
      </c>
      <c r="G1122" t="str">
        <f>"700065"</f>
        <v>700065</v>
      </c>
      <c r="H1122" t="str">
        <f>"אלתא מערכות בע""מ"</f>
        <v>אלתא מערכות בע"מ</v>
      </c>
      <c r="I1122" t="str">
        <f>"ערן שלו"</f>
        <v>ערן שלו</v>
      </c>
      <c r="J1122" t="str">
        <f>"OP-PS00165"</f>
        <v>OP-PS00165</v>
      </c>
      <c r="K1122" s="1" t="str">
        <f>"COMP RACK NUPS"</f>
        <v>COMP RACK NUPS</v>
      </c>
      <c r="L1122">
        <v>1</v>
      </c>
      <c r="O1122">
        <v>0</v>
      </c>
      <c r="P1122" t="str">
        <f>"$"</f>
        <v>$</v>
      </c>
      <c r="Q1122" t="str">
        <f>"119"</f>
        <v>119</v>
      </c>
      <c r="R1122" t="str">
        <f>"פלטפורמות"</f>
        <v>פלטפורמות</v>
      </c>
      <c r="S1122" t="str">
        <f>"034"</f>
        <v>034</v>
      </c>
      <c r="T1122" t="str">
        <f>"גנם הודיה"</f>
        <v>גנם הודיה</v>
      </c>
      <c r="U1122">
        <v>0</v>
      </c>
      <c r="V1122">
        <v>0</v>
      </c>
      <c r="W1122">
        <v>0</v>
      </c>
      <c r="X1122">
        <v>0</v>
      </c>
      <c r="Z1122" t="str">
        <f>"Y"</f>
        <v>Y</v>
      </c>
      <c r="AA1122">
        <v>0</v>
      </c>
      <c r="AC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 t="str">
        <f>"$"</f>
        <v>$</v>
      </c>
    </row>
    <row r="1123" spans="1:38" x14ac:dyDescent="0.3">
      <c r="A1123" t="str">
        <f>"SO21000090"</f>
        <v>SO21000090</v>
      </c>
      <c r="B1123" t="str">
        <f>"E000332763"</f>
        <v>E000332763</v>
      </c>
      <c r="C1123" t="str">
        <f>"בוצעה"</f>
        <v>בוצעה</v>
      </c>
      <c r="E1123" s="3">
        <v>44251</v>
      </c>
      <c r="F1123" s="3">
        <v>44586</v>
      </c>
      <c r="G1123" t="str">
        <f>"700065"</f>
        <v>700065</v>
      </c>
      <c r="H1123" t="str">
        <f>"אלתא מערכות בע""מ"</f>
        <v>אלתא מערכות בע"מ</v>
      </c>
      <c r="I1123" t="str">
        <f>"ערן שלו"</f>
        <v>ערן שלו</v>
      </c>
      <c r="J1123" t="str">
        <f>"000"</f>
        <v>000</v>
      </c>
      <c r="K1123" s="1" t="str">
        <f>"מארז מחשוב ZV0200130"</f>
        <v>מארז מחשוב ZV0200130</v>
      </c>
      <c r="L1123">
        <v>1</v>
      </c>
      <c r="M1123" t="str">
        <f>"PR21000443"</f>
        <v>PR21000443</v>
      </c>
      <c r="N1123" t="str">
        <f>"02 COMPUTER RACK"</f>
        <v>02 COMPUTER RACK</v>
      </c>
      <c r="O1123">
        <v>0</v>
      </c>
      <c r="P1123" t="str">
        <f>"$"</f>
        <v>$</v>
      </c>
      <c r="Q1123" t="str">
        <f>"119"</f>
        <v>119</v>
      </c>
      <c r="R1123" t="str">
        <f>"פלטפורמות"</f>
        <v>פלטפורמות</v>
      </c>
      <c r="S1123" t="str">
        <f>"034"</f>
        <v>034</v>
      </c>
      <c r="T1123" t="str">
        <f>"גנם הודיה"</f>
        <v>גנם הודיה</v>
      </c>
      <c r="U1123">
        <v>0</v>
      </c>
      <c r="V1123">
        <v>0</v>
      </c>
      <c r="W1123">
        <v>0</v>
      </c>
      <c r="X1123">
        <v>0</v>
      </c>
      <c r="Z1123" t="str">
        <f>"Y"</f>
        <v>Y</v>
      </c>
      <c r="AA1123">
        <v>0</v>
      </c>
      <c r="AC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 t="str">
        <f>"$"</f>
        <v>$</v>
      </c>
    </row>
    <row r="1124" spans="1:38" x14ac:dyDescent="0.3">
      <c r="A1124" t="str">
        <f>"SO21000090"</f>
        <v>SO21000090</v>
      </c>
      <c r="B1124" t="str">
        <f>"E000332763"</f>
        <v>E000332763</v>
      </c>
      <c r="C1124" t="str">
        <f>"בוצעה"</f>
        <v>בוצעה</v>
      </c>
      <c r="E1124" s="3">
        <v>44251</v>
      </c>
      <c r="F1124" s="3">
        <v>44803</v>
      </c>
      <c r="G1124" t="str">
        <f>"700065"</f>
        <v>700065</v>
      </c>
      <c r="H1124" t="str">
        <f>"אלתא מערכות בע""מ"</f>
        <v>אלתא מערכות בע"מ</v>
      </c>
      <c r="I1124" t="str">
        <f>"ערן שלו"</f>
        <v>ערן שלו</v>
      </c>
      <c r="J1124" t="str">
        <f>"OP-ML00197"</f>
        <v>OP-ML00197</v>
      </c>
      <c r="K1124" s="1" t="str">
        <f>"1038C816-001 COMPUTER RACK"</f>
        <v>1038C816-001 COMPUTER RACK</v>
      </c>
      <c r="L1124">
        <v>1</v>
      </c>
      <c r="M1124" t="str">
        <f>"PR21000444"</f>
        <v>PR21000444</v>
      </c>
      <c r="N1124" t="str">
        <f>"03 COMPUTER RACK"</f>
        <v>03 COMPUTER RACK</v>
      </c>
      <c r="O1124" s="2">
        <v>47500</v>
      </c>
      <c r="P1124" t="str">
        <f>"$"</f>
        <v>$</v>
      </c>
      <c r="Q1124" t="str">
        <f>"119"</f>
        <v>119</v>
      </c>
      <c r="R1124" t="str">
        <f>"פלטפורמות"</f>
        <v>פלטפורמות</v>
      </c>
      <c r="S1124" t="str">
        <f>"034"</f>
        <v>034</v>
      </c>
      <c r="T1124" t="str">
        <f>"גנם הודיה"</f>
        <v>גנם הודיה</v>
      </c>
      <c r="U1124">
        <v>0</v>
      </c>
      <c r="V1124">
        <v>0</v>
      </c>
      <c r="W1124" s="2">
        <v>47500</v>
      </c>
      <c r="X1124" s="2">
        <v>47500</v>
      </c>
      <c r="Z1124" t="str">
        <f>"Y"</f>
        <v>Y</v>
      </c>
      <c r="AA1124">
        <v>1</v>
      </c>
      <c r="AC1124">
        <v>0</v>
      </c>
      <c r="AE1124">
        <v>0</v>
      </c>
      <c r="AF1124">
        <v>0</v>
      </c>
      <c r="AG1124" s="2">
        <v>155040</v>
      </c>
      <c r="AH1124">
        <v>0</v>
      </c>
      <c r="AI1124" s="2">
        <v>155040</v>
      </c>
      <c r="AJ1124" s="2">
        <v>47500</v>
      </c>
      <c r="AK1124" s="2">
        <v>47500</v>
      </c>
      <c r="AL1124" t="str">
        <f>"$"</f>
        <v>$</v>
      </c>
    </row>
    <row r="1125" spans="1:38" x14ac:dyDescent="0.3">
      <c r="A1125" t="str">
        <f>"SO21000090"</f>
        <v>SO21000090</v>
      </c>
      <c r="B1125" t="str">
        <f>"E000332763"</f>
        <v>E000332763</v>
      </c>
      <c r="C1125" t="str">
        <f>"בוצעה"</f>
        <v>בוצעה</v>
      </c>
      <c r="E1125" s="3">
        <v>44251</v>
      </c>
      <c r="F1125" s="3">
        <v>44803</v>
      </c>
      <c r="G1125" t="str">
        <f>"700065"</f>
        <v>700065</v>
      </c>
      <c r="H1125" t="str">
        <f>"אלתא מערכות בע""מ"</f>
        <v>אלתא מערכות בע"מ</v>
      </c>
      <c r="I1125" t="str">
        <f>"ערן שלו"</f>
        <v>ערן שלו</v>
      </c>
      <c r="J1125" t="str">
        <f>"OP-ML00197"</f>
        <v>OP-ML00197</v>
      </c>
      <c r="K1125" s="1" t="str">
        <f>"1038C816-001 COMPUTER RACK"</f>
        <v>1038C816-001 COMPUTER RACK</v>
      </c>
      <c r="L1125">
        <v>1</v>
      </c>
      <c r="M1125" t="str">
        <f>"PR21000445"</f>
        <v>PR21000445</v>
      </c>
      <c r="N1125" t="str">
        <f>"04 COMPUTER RACK"</f>
        <v>04 COMPUTER RACK</v>
      </c>
      <c r="O1125" s="2">
        <v>47500</v>
      </c>
      <c r="P1125" t="str">
        <f>"$"</f>
        <v>$</v>
      </c>
      <c r="Q1125" t="str">
        <f>"119"</f>
        <v>119</v>
      </c>
      <c r="R1125" t="str">
        <f>"פלטפורמות"</f>
        <v>פלטפורמות</v>
      </c>
      <c r="S1125" t="str">
        <f>"034"</f>
        <v>034</v>
      </c>
      <c r="T1125" t="str">
        <f>"גנם הודיה"</f>
        <v>גנם הודיה</v>
      </c>
      <c r="U1125">
        <v>0</v>
      </c>
      <c r="V1125">
        <v>0</v>
      </c>
      <c r="W1125" s="2">
        <v>47500</v>
      </c>
      <c r="X1125" s="2">
        <v>47500</v>
      </c>
      <c r="Z1125" t="str">
        <f>"Y"</f>
        <v>Y</v>
      </c>
      <c r="AA1125">
        <v>0</v>
      </c>
      <c r="AC1125">
        <v>0</v>
      </c>
      <c r="AE1125">
        <v>0</v>
      </c>
      <c r="AF1125">
        <v>0</v>
      </c>
      <c r="AG1125" s="2">
        <v>155040</v>
      </c>
      <c r="AH1125">
        <v>0</v>
      </c>
      <c r="AI1125" s="2">
        <v>155040</v>
      </c>
      <c r="AJ1125" s="2">
        <v>47500</v>
      </c>
      <c r="AK1125" s="2">
        <v>47500</v>
      </c>
      <c r="AL1125" t="str">
        <f>"$"</f>
        <v>$</v>
      </c>
    </row>
    <row r="1126" spans="1:38" x14ac:dyDescent="0.3">
      <c r="A1126" t="str">
        <f>"SO21000090"</f>
        <v>SO21000090</v>
      </c>
      <c r="B1126" t="str">
        <f>"E000332763"</f>
        <v>E000332763</v>
      </c>
      <c r="C1126" t="str">
        <f>"בוצעה"</f>
        <v>בוצעה</v>
      </c>
      <c r="E1126" s="3">
        <v>44251</v>
      </c>
      <c r="F1126" s="3">
        <v>44803</v>
      </c>
      <c r="G1126" t="str">
        <f>"700065"</f>
        <v>700065</v>
      </c>
      <c r="H1126" t="str">
        <f>"אלתא מערכות בע""מ"</f>
        <v>אלתא מערכות בע"מ</v>
      </c>
      <c r="I1126" t="str">
        <f>"ערן שלו"</f>
        <v>ערן שלו</v>
      </c>
      <c r="J1126" t="str">
        <f>"OP-ML00197"</f>
        <v>OP-ML00197</v>
      </c>
      <c r="K1126" s="1" t="str">
        <f>"1038C816-001 COMPUTER RACK"</f>
        <v>1038C816-001 COMPUTER RACK</v>
      </c>
      <c r="L1126">
        <v>1</v>
      </c>
      <c r="M1126" t="str">
        <f>"PR21000446"</f>
        <v>PR21000446</v>
      </c>
      <c r="N1126" t="str">
        <f>"05 COMPUTER RACK"</f>
        <v>05 COMPUTER RACK</v>
      </c>
      <c r="O1126" s="2">
        <v>47500</v>
      </c>
      <c r="P1126" t="str">
        <f>"$"</f>
        <v>$</v>
      </c>
      <c r="Q1126" t="str">
        <f>"119"</f>
        <v>119</v>
      </c>
      <c r="R1126" t="str">
        <f>"פלטפורמות"</f>
        <v>פלטפורמות</v>
      </c>
      <c r="S1126" t="str">
        <f>"034"</f>
        <v>034</v>
      </c>
      <c r="T1126" t="str">
        <f>"גנם הודיה"</f>
        <v>גנם הודיה</v>
      </c>
      <c r="U1126">
        <v>0</v>
      </c>
      <c r="V1126">
        <v>0</v>
      </c>
      <c r="W1126" s="2">
        <v>47500</v>
      </c>
      <c r="X1126" s="2">
        <v>47500</v>
      </c>
      <c r="Z1126" t="str">
        <f>"Y"</f>
        <v>Y</v>
      </c>
      <c r="AA1126">
        <v>0</v>
      </c>
      <c r="AC1126">
        <v>0</v>
      </c>
      <c r="AE1126">
        <v>0</v>
      </c>
      <c r="AF1126">
        <v>0</v>
      </c>
      <c r="AG1126" s="2">
        <v>155040</v>
      </c>
      <c r="AH1126">
        <v>0</v>
      </c>
      <c r="AI1126" s="2">
        <v>155040</v>
      </c>
      <c r="AJ1126" s="2">
        <v>47500</v>
      </c>
      <c r="AK1126" s="2">
        <v>47500</v>
      </c>
      <c r="AL1126" t="str">
        <f>"$"</f>
        <v>$</v>
      </c>
    </row>
    <row r="1127" spans="1:38" x14ac:dyDescent="0.3">
      <c r="A1127" t="str">
        <f>"SO21000090"</f>
        <v>SO21000090</v>
      </c>
      <c r="B1127" t="str">
        <f>"E000332763"</f>
        <v>E000332763</v>
      </c>
      <c r="C1127" t="str">
        <f>"בוצעה"</f>
        <v>בוצעה</v>
      </c>
      <c r="E1127" s="3">
        <v>44251</v>
      </c>
      <c r="F1127" s="3">
        <v>44803</v>
      </c>
      <c r="G1127" t="str">
        <f>"700065"</f>
        <v>700065</v>
      </c>
      <c r="H1127" t="str">
        <f>"אלתא מערכות בע""מ"</f>
        <v>אלתא מערכות בע"מ</v>
      </c>
      <c r="I1127" t="str">
        <f>"ערן שלו"</f>
        <v>ערן שלו</v>
      </c>
      <c r="J1127" t="str">
        <f>"OP-ML00197"</f>
        <v>OP-ML00197</v>
      </c>
      <c r="K1127" s="1" t="str">
        <f>"1038C816-001 COMPUTER RACK"</f>
        <v>1038C816-001 COMPUTER RACK</v>
      </c>
      <c r="L1127">
        <v>1</v>
      </c>
      <c r="M1127" t="str">
        <f>"PR21000448"</f>
        <v>PR21000448</v>
      </c>
      <c r="N1127" t="str">
        <f>"07 COMPUTER RACK"</f>
        <v>07 COMPUTER RACK</v>
      </c>
      <c r="O1127" s="2">
        <v>47500</v>
      </c>
      <c r="P1127" t="str">
        <f>"$"</f>
        <v>$</v>
      </c>
      <c r="Q1127" t="str">
        <f>"119"</f>
        <v>119</v>
      </c>
      <c r="R1127" t="str">
        <f>"פלטפורמות"</f>
        <v>פלטפורמות</v>
      </c>
      <c r="S1127" t="str">
        <f>"034"</f>
        <v>034</v>
      </c>
      <c r="T1127" t="str">
        <f>"גנם הודיה"</f>
        <v>גנם הודיה</v>
      </c>
      <c r="U1127">
        <v>0</v>
      </c>
      <c r="V1127">
        <v>0</v>
      </c>
      <c r="W1127" s="2">
        <v>47500</v>
      </c>
      <c r="X1127" s="2">
        <v>47500</v>
      </c>
      <c r="Z1127" t="str">
        <f>"Y"</f>
        <v>Y</v>
      </c>
      <c r="AA1127">
        <v>0</v>
      </c>
      <c r="AC1127">
        <v>0</v>
      </c>
      <c r="AE1127">
        <v>0</v>
      </c>
      <c r="AF1127">
        <v>0</v>
      </c>
      <c r="AG1127" s="2">
        <v>155040</v>
      </c>
      <c r="AH1127">
        <v>0</v>
      </c>
      <c r="AI1127" s="2">
        <v>155040</v>
      </c>
      <c r="AJ1127" s="2">
        <v>47500</v>
      </c>
      <c r="AK1127" s="2">
        <v>47500</v>
      </c>
      <c r="AL1127" t="str">
        <f>"$"</f>
        <v>$</v>
      </c>
    </row>
    <row r="1128" spans="1:38" x14ac:dyDescent="0.3">
      <c r="A1128" t="str">
        <f>"SO21000090"</f>
        <v>SO21000090</v>
      </c>
      <c r="B1128" t="str">
        <f>"E000332763"</f>
        <v>E000332763</v>
      </c>
      <c r="C1128" t="str">
        <f>"בוצעה"</f>
        <v>בוצעה</v>
      </c>
      <c r="E1128" s="3">
        <v>44251</v>
      </c>
      <c r="F1128" s="3">
        <v>44803</v>
      </c>
      <c r="G1128" t="str">
        <f>"700065"</f>
        <v>700065</v>
      </c>
      <c r="H1128" t="str">
        <f>"אלתא מערכות בע""מ"</f>
        <v>אלתא מערכות בע"מ</v>
      </c>
      <c r="I1128" t="str">
        <f>"ערן שלו"</f>
        <v>ערן שלו</v>
      </c>
      <c r="J1128" t="str">
        <f>"OP-ML00197"</f>
        <v>OP-ML00197</v>
      </c>
      <c r="K1128" s="1" t="str">
        <f>"1038C816-001 COMPUTER RACK"</f>
        <v>1038C816-001 COMPUTER RACK</v>
      </c>
      <c r="L1128">
        <v>1</v>
      </c>
      <c r="M1128" t="str">
        <f>"PR21000449"</f>
        <v>PR21000449</v>
      </c>
      <c r="N1128" t="str">
        <f>"08 COMPUTER RACK"</f>
        <v>08 COMPUTER RACK</v>
      </c>
      <c r="O1128" s="2">
        <v>47500</v>
      </c>
      <c r="P1128" t="str">
        <f>"$"</f>
        <v>$</v>
      </c>
      <c r="Q1128" t="str">
        <f>"119"</f>
        <v>119</v>
      </c>
      <c r="R1128" t="str">
        <f>"פלטפורמות"</f>
        <v>פלטפורמות</v>
      </c>
      <c r="S1128" t="str">
        <f>"034"</f>
        <v>034</v>
      </c>
      <c r="T1128" t="str">
        <f>"גנם הודיה"</f>
        <v>גנם הודיה</v>
      </c>
      <c r="U1128">
        <v>0</v>
      </c>
      <c r="V1128">
        <v>0</v>
      </c>
      <c r="W1128" s="2">
        <v>47500</v>
      </c>
      <c r="X1128" s="2">
        <v>47500</v>
      </c>
      <c r="Z1128" t="str">
        <f>"Y"</f>
        <v>Y</v>
      </c>
      <c r="AA1128">
        <v>0</v>
      </c>
      <c r="AC1128">
        <v>0</v>
      </c>
      <c r="AE1128">
        <v>0</v>
      </c>
      <c r="AF1128">
        <v>0</v>
      </c>
      <c r="AG1128" s="2">
        <v>155040</v>
      </c>
      <c r="AH1128">
        <v>0</v>
      </c>
      <c r="AI1128" s="2">
        <v>155040</v>
      </c>
      <c r="AJ1128" s="2">
        <v>47500</v>
      </c>
      <c r="AK1128" s="2">
        <v>47500</v>
      </c>
      <c r="AL1128" t="str">
        <f>"$"</f>
        <v>$</v>
      </c>
    </row>
    <row r="1129" spans="1:38" x14ac:dyDescent="0.3">
      <c r="A1129" t="str">
        <f>"SO21000092"</f>
        <v>SO21000092</v>
      </c>
      <c r="B1129" t="str">
        <f>"פנימית"</f>
        <v>פנימית</v>
      </c>
      <c r="C1129" t="str">
        <f>"בוצעה"</f>
        <v>בוצעה</v>
      </c>
      <c r="E1129" s="3">
        <v>44256</v>
      </c>
      <c r="F1129" s="3">
        <v>44256</v>
      </c>
      <c r="G1129" t="str">
        <f>"700065"</f>
        <v>700065</v>
      </c>
      <c r="H1129" t="str">
        <f>"אלתא מערכות בע""מ"</f>
        <v>אלתא מערכות בע"מ</v>
      </c>
      <c r="I1129" t="str">
        <f>"ערן שלו"</f>
        <v>ערן שלו</v>
      </c>
      <c r="J1129" t="str">
        <f>"PA0300051"</f>
        <v>PA0300051</v>
      </c>
      <c r="K1129" s="1" t="str">
        <f>"מאמ""ט Bussmann 187200P-03-1 200A"</f>
        <v>מאמ"ט Bussmann 187200P-03-1 200A</v>
      </c>
      <c r="L1129">
        <v>2</v>
      </c>
      <c r="M1129" t="str">
        <f>"PR21000098"</f>
        <v>PR21000098</v>
      </c>
      <c r="N1129" t="str">
        <f>"חלקי חילוף CU PDU וליטא"</f>
        <v>חלקי חילוף CU PDU וליטא</v>
      </c>
      <c r="O1129">
        <v>0</v>
      </c>
      <c r="P1129" t="str">
        <f>"$"</f>
        <v>$</v>
      </c>
      <c r="Q1129" t="str">
        <f>"070"</f>
        <v>070</v>
      </c>
      <c r="R1129" t="str">
        <f>"הזמנה פנימית"</f>
        <v>הזמנה פנימית</v>
      </c>
      <c r="S1129" t="str">
        <f>"034"</f>
        <v>034</v>
      </c>
      <c r="T1129" t="str">
        <f>"גנם הודיה"</f>
        <v>גנם הודיה</v>
      </c>
      <c r="U1129">
        <v>0</v>
      </c>
      <c r="V1129">
        <v>0</v>
      </c>
      <c r="W1129">
        <v>0</v>
      </c>
      <c r="X1129">
        <v>0</v>
      </c>
      <c r="Z1129" t="str">
        <f>"Y"</f>
        <v>Y</v>
      </c>
      <c r="AA1129">
        <v>0</v>
      </c>
      <c r="AC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 t="str">
        <f>"$"</f>
        <v>$</v>
      </c>
    </row>
    <row r="1130" spans="1:38" x14ac:dyDescent="0.3">
      <c r="A1130" t="str">
        <f>"SO21000095"</f>
        <v>SO21000095</v>
      </c>
      <c r="B1130" t="str">
        <f>"E000334007"</f>
        <v>E000334007</v>
      </c>
      <c r="C1130" t="str">
        <f>"בוצעה"</f>
        <v>בוצעה</v>
      </c>
      <c r="E1130" s="3">
        <v>44258</v>
      </c>
      <c r="F1130" s="3">
        <v>44449</v>
      </c>
      <c r="G1130" t="str">
        <f>"700065"</f>
        <v>700065</v>
      </c>
      <c r="H1130" t="str">
        <f>"אלתא מערכות בע""מ"</f>
        <v>אלתא מערכות בע"מ</v>
      </c>
      <c r="I1130" t="str">
        <f>"רחמים זרוק"</f>
        <v>רחמים זרוק</v>
      </c>
      <c r="J1130" t="str">
        <f>"OP-AR02334"</f>
        <v>OP-AR02334</v>
      </c>
      <c r="K1130" s="1" t="str">
        <f>"3060L422-001   HARNESS WJ02 - F/TRPS/QFTR"</f>
        <v>3060L422-001   HARNESS WJ02 - F/TRPS/QFTR</v>
      </c>
      <c r="L1130">
        <v>4</v>
      </c>
      <c r="M1130" t="str">
        <f>"PR21000170"</f>
        <v>PR21000170</v>
      </c>
      <c r="N1130" t="str">
        <f>"HARNESS WJ02 - F/TRPS/QFTR"</f>
        <v>HARNESS WJ02 - F/TRPS/QFTR</v>
      </c>
      <c r="O1130" s="2">
        <v>1165.17</v>
      </c>
      <c r="P1130" t="str">
        <f>"$"</f>
        <v>$</v>
      </c>
      <c r="Q1130" t="str">
        <f>"117"</f>
        <v>117</v>
      </c>
      <c r="R1130" t="str">
        <f>"רתמות"</f>
        <v>רתמות</v>
      </c>
      <c r="S1130" t="str">
        <f>"040"</f>
        <v>040</v>
      </c>
      <c r="T1130" t="str">
        <f>"עמר ליגל"</f>
        <v>עמר ליגל</v>
      </c>
      <c r="U1130">
        <v>0</v>
      </c>
      <c r="V1130">
        <v>0</v>
      </c>
      <c r="W1130" s="2">
        <v>1165.17</v>
      </c>
      <c r="X1130" s="2">
        <v>4660.68</v>
      </c>
      <c r="Z1130" t="str">
        <f>"Y"</f>
        <v>Y</v>
      </c>
      <c r="AA1130">
        <v>0</v>
      </c>
      <c r="AC1130">
        <v>0</v>
      </c>
      <c r="AE1130">
        <v>0</v>
      </c>
      <c r="AF1130">
        <v>0</v>
      </c>
      <c r="AG1130" s="2">
        <v>3843.9</v>
      </c>
      <c r="AH1130">
        <v>0</v>
      </c>
      <c r="AI1130" s="2">
        <v>15375.58</v>
      </c>
      <c r="AJ1130" s="2">
        <v>4660.68</v>
      </c>
      <c r="AK1130" s="2">
        <v>4660.68</v>
      </c>
      <c r="AL1130" t="str">
        <f>"$"</f>
        <v>$</v>
      </c>
    </row>
    <row r="1131" spans="1:38" x14ac:dyDescent="0.3">
      <c r="A1131" t="str">
        <f>"SO21000095"</f>
        <v>SO21000095</v>
      </c>
      <c r="B1131" t="str">
        <f>"E000334007"</f>
        <v>E000334007</v>
      </c>
      <c r="C1131" t="str">
        <f>"בוצעה"</f>
        <v>בוצעה</v>
      </c>
      <c r="E1131" s="3">
        <v>44258</v>
      </c>
      <c r="F1131" s="3">
        <v>44814</v>
      </c>
      <c r="G1131" t="str">
        <f>"700065"</f>
        <v>700065</v>
      </c>
      <c r="H1131" t="str">
        <f>"אלתא מערכות בע""מ"</f>
        <v>אלתא מערכות בע"מ</v>
      </c>
      <c r="I1131" t="str">
        <f>"רחמים זרוק"</f>
        <v>רחמים זרוק</v>
      </c>
      <c r="J1131" t="str">
        <f>"000"</f>
        <v>000</v>
      </c>
      <c r="K1131" s="1" t="str">
        <f>"עבור שינוי מהדורות"</f>
        <v>עבור שינוי מהדורות</v>
      </c>
      <c r="L1131">
        <v>1</v>
      </c>
      <c r="M1131" t="str">
        <f>"PR21000170"</f>
        <v>PR21000170</v>
      </c>
      <c r="N1131" t="str">
        <f>"HARNESS WJ02 - F/TRPS/QFTR"</f>
        <v>HARNESS WJ02 - F/TRPS/QFTR</v>
      </c>
      <c r="O1131">
        <v>728</v>
      </c>
      <c r="P1131" t="str">
        <f>"$"</f>
        <v>$</v>
      </c>
      <c r="Q1131" t="str">
        <f>"117"</f>
        <v>117</v>
      </c>
      <c r="R1131" t="str">
        <f>"רתמות"</f>
        <v>רתמות</v>
      </c>
      <c r="S1131" t="str">
        <f>"040"</f>
        <v>040</v>
      </c>
      <c r="T1131" t="str">
        <f>"עמר ליגל"</f>
        <v>עמר ליגל</v>
      </c>
      <c r="U1131">
        <v>0</v>
      </c>
      <c r="V1131">
        <v>0</v>
      </c>
      <c r="W1131">
        <v>728</v>
      </c>
      <c r="X1131">
        <v>728</v>
      </c>
      <c r="Z1131" t="str">
        <f>"Y"</f>
        <v>Y</v>
      </c>
      <c r="AA1131">
        <v>1</v>
      </c>
      <c r="AC1131">
        <v>0</v>
      </c>
      <c r="AE1131">
        <v>0</v>
      </c>
      <c r="AF1131">
        <v>0</v>
      </c>
      <c r="AG1131" s="2">
        <v>2401.67</v>
      </c>
      <c r="AH1131">
        <v>0</v>
      </c>
      <c r="AI1131" s="2">
        <v>2401.67</v>
      </c>
      <c r="AJ1131">
        <v>728</v>
      </c>
      <c r="AK1131">
        <v>728</v>
      </c>
      <c r="AL1131" t="str">
        <f>"$"</f>
        <v>$</v>
      </c>
    </row>
    <row r="1132" spans="1:38" x14ac:dyDescent="0.3">
      <c r="A1132" t="str">
        <f>"SO21000101"</f>
        <v>SO21000101</v>
      </c>
      <c r="B1132" t="str">
        <f>"פנימת"</f>
        <v>פנימת</v>
      </c>
      <c r="C1132" t="str">
        <f>"בוצעה"</f>
        <v>בוצעה</v>
      </c>
      <c r="E1132" s="3">
        <v>44262</v>
      </c>
      <c r="F1132" s="3">
        <v>44262</v>
      </c>
      <c r="G1132" t="str">
        <f>"700065"</f>
        <v>700065</v>
      </c>
      <c r="H1132" t="str">
        <f>"אלתא מערכות בע""מ"</f>
        <v>אלתא מערכות בע"מ</v>
      </c>
      <c r="J1132" t="str">
        <f>"000"</f>
        <v>000</v>
      </c>
      <c r="K1132" s="1" t="str">
        <f>"מארז מיישרים לאינטגרציה"</f>
        <v>מארז מיישרים לאינטגרציה</v>
      </c>
      <c r="L1132">
        <v>1</v>
      </c>
      <c r="O1132">
        <v>0</v>
      </c>
      <c r="P1132" t="str">
        <f>"$"</f>
        <v>$</v>
      </c>
      <c r="Q1132" t="str">
        <f>"070"</f>
        <v>070</v>
      </c>
      <c r="R1132" t="str">
        <f>"הזמנה פנימית"</f>
        <v>הזמנה פנימית</v>
      </c>
      <c r="T1132" t="str">
        <f>"גנם הודיה"</f>
        <v>גנם הודיה</v>
      </c>
      <c r="U1132">
        <v>0</v>
      </c>
      <c r="V1132">
        <v>0</v>
      </c>
      <c r="W1132">
        <v>0</v>
      </c>
      <c r="X1132">
        <v>0</v>
      </c>
      <c r="Z1132" t="str">
        <f>"Y"</f>
        <v>Y</v>
      </c>
      <c r="AA1132">
        <v>0</v>
      </c>
      <c r="AC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 t="str">
        <f>"$"</f>
        <v>$</v>
      </c>
    </row>
    <row r="1133" spans="1:38" x14ac:dyDescent="0.3">
      <c r="A1133" t="str">
        <f>"SO21000102"</f>
        <v>SO21000102</v>
      </c>
      <c r="B1133" t="str">
        <f>"E000334743"</f>
        <v>E000334743</v>
      </c>
      <c r="C1133" t="str">
        <f>"בוצעה"</f>
        <v>בוצעה</v>
      </c>
      <c r="E1133" s="3">
        <v>44263</v>
      </c>
      <c r="F1133" s="3">
        <v>44635</v>
      </c>
      <c r="G1133" t="str">
        <f>"700065"</f>
        <v>700065</v>
      </c>
      <c r="H1133" t="str">
        <f>"אלתא מערכות בע""מ"</f>
        <v>אלתא מערכות בע"מ</v>
      </c>
      <c r="I1133" t="str">
        <f>"ערן שלו"</f>
        <v>ערן שלו</v>
      </c>
      <c r="J1133" t="str">
        <f>"OP-AR01025-01"</f>
        <v>OP-AR01025-01</v>
      </c>
      <c r="K1133" s="1" t="str">
        <f>"BATTERY BOX 1029P520-001אפור"</f>
        <v>BATTERY BOX 1029P520-001אפור</v>
      </c>
      <c r="L1133">
        <v>1</v>
      </c>
      <c r="M1133" t="str">
        <f>"PR21000189"</f>
        <v>PR21000189</v>
      </c>
      <c r="N1133" t="str">
        <f>"BATTERY BOX אפור"</f>
        <v>BATTERY BOX אפור</v>
      </c>
      <c r="O1133" s="2">
        <v>5750</v>
      </c>
      <c r="P1133" t="str">
        <f>"$"</f>
        <v>$</v>
      </c>
      <c r="Q1133" t="str">
        <f>"118"</f>
        <v>118</v>
      </c>
      <c r="R1133" t="str">
        <f>"מערכות"</f>
        <v>מערכות</v>
      </c>
      <c r="S1133" t="str">
        <f>"034"</f>
        <v>034</v>
      </c>
      <c r="T1133" t="str">
        <f>"עמר ליגל"</f>
        <v>עמר ליגל</v>
      </c>
      <c r="U1133">
        <v>0</v>
      </c>
      <c r="V1133">
        <v>0</v>
      </c>
      <c r="W1133" s="2">
        <v>5750</v>
      </c>
      <c r="X1133" s="2">
        <v>5750</v>
      </c>
      <c r="Z1133" t="str">
        <f>"Y"</f>
        <v>Y</v>
      </c>
      <c r="AA1133">
        <v>0</v>
      </c>
      <c r="AC1133">
        <v>0</v>
      </c>
      <c r="AE1133">
        <v>0</v>
      </c>
      <c r="AF1133">
        <v>0</v>
      </c>
      <c r="AG1133" s="2">
        <v>19159</v>
      </c>
      <c r="AH1133">
        <v>0</v>
      </c>
      <c r="AI1133" s="2">
        <v>19159</v>
      </c>
      <c r="AJ1133" s="2">
        <v>5750</v>
      </c>
      <c r="AK1133" s="2">
        <v>5750</v>
      </c>
      <c r="AL1133" t="str">
        <f>"$"</f>
        <v>$</v>
      </c>
    </row>
    <row r="1134" spans="1:38" x14ac:dyDescent="0.3">
      <c r="A1134" t="str">
        <f>"SO21000102"</f>
        <v>SO21000102</v>
      </c>
      <c r="B1134" t="str">
        <f>"E000334743"</f>
        <v>E000334743</v>
      </c>
      <c r="C1134" t="str">
        <f>"בוצעה"</f>
        <v>בוצעה</v>
      </c>
      <c r="E1134" s="3">
        <v>44263</v>
      </c>
      <c r="F1134" s="3">
        <v>44788</v>
      </c>
      <c r="G1134" t="str">
        <f>"700065"</f>
        <v>700065</v>
      </c>
      <c r="H1134" t="str">
        <f>"אלתא מערכות בע""מ"</f>
        <v>אלתא מערכות בע"מ</v>
      </c>
      <c r="I1134" t="str">
        <f>"ערן שלו"</f>
        <v>ערן שלו</v>
      </c>
      <c r="J1134" t="str">
        <f>"OP-AR02306"</f>
        <v>OP-AR02306</v>
      </c>
      <c r="K1134" s="1" t="str">
        <f>"HVJB 1026L230-001"</f>
        <v>HVJB 1026L230-001</v>
      </c>
      <c r="L1134">
        <v>3</v>
      </c>
      <c r="M1134" t="str">
        <f>"PR21000122"</f>
        <v>PR21000122</v>
      </c>
      <c r="N1134" t="str">
        <f>"*HIGH VOLTAGE HVJB"</f>
        <v>*HIGH VOLTAGE HVJB</v>
      </c>
      <c r="O1134" s="2">
        <v>9425</v>
      </c>
      <c r="P1134" t="str">
        <f>"$"</f>
        <v>$</v>
      </c>
      <c r="Q1134" t="str">
        <f>"118"</f>
        <v>118</v>
      </c>
      <c r="R1134" t="str">
        <f>"מערכות"</f>
        <v>מערכות</v>
      </c>
      <c r="S1134" t="str">
        <f>"034"</f>
        <v>034</v>
      </c>
      <c r="T1134" t="str">
        <f>"עמר ליגל"</f>
        <v>עמר ליגל</v>
      </c>
      <c r="U1134">
        <v>0</v>
      </c>
      <c r="V1134">
        <v>0</v>
      </c>
      <c r="W1134" s="2">
        <v>9425</v>
      </c>
      <c r="X1134" s="2">
        <v>28275</v>
      </c>
      <c r="Z1134" t="str">
        <f>"Y"</f>
        <v>Y</v>
      </c>
      <c r="AA1134">
        <v>0</v>
      </c>
      <c r="AC1134">
        <v>0</v>
      </c>
      <c r="AE1134">
        <v>0</v>
      </c>
      <c r="AF1134">
        <v>0</v>
      </c>
      <c r="AG1134" s="2">
        <v>31404.1</v>
      </c>
      <c r="AH1134">
        <v>0</v>
      </c>
      <c r="AI1134" s="2">
        <v>94212.3</v>
      </c>
      <c r="AJ1134" s="2">
        <v>28275</v>
      </c>
      <c r="AK1134" s="2">
        <v>28275</v>
      </c>
      <c r="AL1134" t="str">
        <f>"$"</f>
        <v>$</v>
      </c>
    </row>
    <row r="1135" spans="1:38" x14ac:dyDescent="0.3">
      <c r="A1135" t="str">
        <f>"SO21000108"</f>
        <v>SO21000108</v>
      </c>
      <c r="B1135" t="str">
        <f>"E000335388"</f>
        <v>E000335388</v>
      </c>
      <c r="C1135" t="str">
        <f>"בוצעה"</f>
        <v>בוצעה</v>
      </c>
      <c r="E1135" s="3">
        <v>44263</v>
      </c>
      <c r="F1135" s="3">
        <v>44286</v>
      </c>
      <c r="G1135" t="str">
        <f>"700065"</f>
        <v>700065</v>
      </c>
      <c r="H1135" t="str">
        <f>"אלתא מערכות בע""מ"</f>
        <v>אלתא מערכות בע"מ</v>
      </c>
      <c r="J1135" t="str">
        <f>"PD0201519"</f>
        <v>PD0201519</v>
      </c>
      <c r="K1135" s="1" t="str">
        <f>"מא""ז 2X32 10K ABB S202M-C32UC"</f>
        <v>מא"ז 2X32 10K ABB S202M-C32UC</v>
      </c>
      <c r="L1135">
        <v>7</v>
      </c>
      <c r="M1135" t="str">
        <f>"PR21000180"</f>
        <v>PR21000180</v>
      </c>
      <c r="N1135" t="str">
        <f>"אספקת 7 יח PD0201519"</f>
        <v>אספקת 7 יח PD0201519</v>
      </c>
      <c r="O1135">
        <v>0</v>
      </c>
      <c r="P1135" t="str">
        <f>"$"</f>
        <v>$</v>
      </c>
      <c r="Q1135" t="str">
        <f>"070"</f>
        <v>070</v>
      </c>
      <c r="R1135" t="str">
        <f>"הזמנה פנימית"</f>
        <v>הזמנה פנימית</v>
      </c>
      <c r="T1135" t="str">
        <f>"גנם הודיה"</f>
        <v>גנם הודיה</v>
      </c>
      <c r="U1135">
        <v>0</v>
      </c>
      <c r="V1135">
        <v>0</v>
      </c>
      <c r="W1135">
        <v>0</v>
      </c>
      <c r="X1135">
        <v>0</v>
      </c>
      <c r="Z1135" t="str">
        <f>"Y"</f>
        <v>Y</v>
      </c>
      <c r="AA1135">
        <v>0</v>
      </c>
      <c r="AC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 t="str">
        <f>"$"</f>
        <v>$</v>
      </c>
    </row>
    <row r="1136" spans="1:38" x14ac:dyDescent="0.3">
      <c r="A1136" t="str">
        <f>"SO21000111"</f>
        <v>SO21000111</v>
      </c>
      <c r="B1136" t="str">
        <f>"E000334263"</f>
        <v>E000334263</v>
      </c>
      <c r="C1136" t="str">
        <f>"בוצעה"</f>
        <v>בוצעה</v>
      </c>
      <c r="E1136" s="3">
        <v>44264</v>
      </c>
      <c r="F1136" s="3">
        <v>44438</v>
      </c>
      <c r="G1136" t="str">
        <f>"700065"</f>
        <v>700065</v>
      </c>
      <c r="H1136" t="str">
        <f>"אלתא מערכות בע""מ"</f>
        <v>אלתא מערכות בע"מ</v>
      </c>
      <c r="I1136" t="str">
        <f>"ערן שלו"</f>
        <v>ערן שלו</v>
      </c>
      <c r="J1136" t="str">
        <f>"OP-AR00467"</f>
        <v>OP-AR00467</v>
      </c>
      <c r="K1136" s="1" t="str">
        <f>"AC PCU CONTROL BOX"</f>
        <v>AC PCU CONTROL BOX</v>
      </c>
      <c r="L1136">
        <v>1</v>
      </c>
      <c r="M1136" t="str">
        <f>"PR21000172"</f>
        <v>PR21000172</v>
      </c>
      <c r="N1136" t="str">
        <f>"AC PCU CONTROL BOX"</f>
        <v>AC PCU CONTROL BOX</v>
      </c>
      <c r="O1136" s="2">
        <v>4250</v>
      </c>
      <c r="P1136" t="str">
        <f>"$"</f>
        <v>$</v>
      </c>
      <c r="Q1136" t="str">
        <f>"118"</f>
        <v>118</v>
      </c>
      <c r="R1136" t="str">
        <f>"מערכות"</f>
        <v>מערכות</v>
      </c>
      <c r="S1136" t="str">
        <f>"034"</f>
        <v>034</v>
      </c>
      <c r="T1136" t="str">
        <f>"עמר ליגל"</f>
        <v>עמר ליגל</v>
      </c>
      <c r="U1136">
        <v>0</v>
      </c>
      <c r="V1136">
        <v>0</v>
      </c>
      <c r="W1136" s="2">
        <v>4250</v>
      </c>
      <c r="X1136" s="2">
        <v>4250</v>
      </c>
      <c r="Z1136" t="str">
        <f>"Y"</f>
        <v>Y</v>
      </c>
      <c r="AA1136">
        <v>0</v>
      </c>
      <c r="AC1136">
        <v>0</v>
      </c>
      <c r="AE1136">
        <v>0</v>
      </c>
      <c r="AF1136">
        <v>0</v>
      </c>
      <c r="AG1136" s="2">
        <v>14148.25</v>
      </c>
      <c r="AH1136">
        <v>0</v>
      </c>
      <c r="AI1136" s="2">
        <v>14148.25</v>
      </c>
      <c r="AJ1136" s="2">
        <v>4250</v>
      </c>
      <c r="AK1136" s="2">
        <v>4250</v>
      </c>
      <c r="AL1136" t="str">
        <f>"$"</f>
        <v>$</v>
      </c>
    </row>
    <row r="1137" spans="1:38" x14ac:dyDescent="0.3">
      <c r="A1137" t="str">
        <f>"SO21000112"</f>
        <v>SO21000112</v>
      </c>
      <c r="B1137" t="str">
        <f>"E000334761"</f>
        <v>E000334761</v>
      </c>
      <c r="C1137" t="str">
        <f>"בוצעה"</f>
        <v>בוצעה</v>
      </c>
      <c r="E1137" s="3">
        <v>44265</v>
      </c>
      <c r="F1137" s="3">
        <v>44357</v>
      </c>
      <c r="G1137" t="str">
        <f>"700065"</f>
        <v>700065</v>
      </c>
      <c r="H1137" t="str">
        <f>"אלתא מערכות בע""מ"</f>
        <v>אלתא מערכות בע"מ</v>
      </c>
      <c r="I1137" t="str">
        <f>"רחמים זרוק"</f>
        <v>רחמים זרוק</v>
      </c>
      <c r="J1137" t="str">
        <f>"OP-AR01919"</f>
        <v>OP-AR01919</v>
      </c>
      <c r="K1137" s="1" t="str">
        <f>"1013P130-003 CABLE ASSY 1W47"</f>
        <v>1013P130-003 CABLE ASSY 1W47</v>
      </c>
      <c r="L1137">
        <v>5</v>
      </c>
      <c r="M1137" t="str">
        <f>"PR21000188"</f>
        <v>PR21000188</v>
      </c>
      <c r="N1137" t="str">
        <f>"CABLE ASSY 1W47"</f>
        <v>CABLE ASSY 1W47</v>
      </c>
      <c r="O1137" s="2">
        <v>2303.2800000000002</v>
      </c>
      <c r="P1137" t="str">
        <f>"$"</f>
        <v>$</v>
      </c>
      <c r="Q1137" t="str">
        <f>"117"</f>
        <v>117</v>
      </c>
      <c r="R1137" t="str">
        <f>"רתמות"</f>
        <v>רתמות</v>
      </c>
      <c r="S1137" t="str">
        <f>"040"</f>
        <v>040</v>
      </c>
      <c r="T1137" t="str">
        <f>"עמר ליגל"</f>
        <v>עמר ליגל</v>
      </c>
      <c r="U1137">
        <v>0</v>
      </c>
      <c r="V1137">
        <v>0</v>
      </c>
      <c r="W1137" s="2">
        <v>2303.2800000000002</v>
      </c>
      <c r="X1137" s="2">
        <v>11516.4</v>
      </c>
      <c r="Z1137" t="str">
        <f>"Y"</f>
        <v>Y</v>
      </c>
      <c r="AA1137">
        <v>0</v>
      </c>
      <c r="AC1137">
        <v>0</v>
      </c>
      <c r="AE1137">
        <v>0</v>
      </c>
      <c r="AF1137">
        <v>0</v>
      </c>
      <c r="AG1137" s="2">
        <v>7667.62</v>
      </c>
      <c r="AH1137">
        <v>0</v>
      </c>
      <c r="AI1137" s="2">
        <v>38338.1</v>
      </c>
      <c r="AJ1137" s="2">
        <v>11516.4</v>
      </c>
      <c r="AK1137" s="2">
        <v>11516.4</v>
      </c>
      <c r="AL1137" t="str">
        <f>"$"</f>
        <v>$</v>
      </c>
    </row>
    <row r="1138" spans="1:38" x14ac:dyDescent="0.3">
      <c r="A1138" t="str">
        <f>"SO21000112"</f>
        <v>SO21000112</v>
      </c>
      <c r="B1138" t="str">
        <f>"E000334761"</f>
        <v>E000334761</v>
      </c>
      <c r="C1138" t="str">
        <f>"בוצעה"</f>
        <v>בוצעה</v>
      </c>
      <c r="E1138" s="3">
        <v>44265</v>
      </c>
      <c r="F1138" s="3">
        <v>44523</v>
      </c>
      <c r="G1138" t="str">
        <f>"700065"</f>
        <v>700065</v>
      </c>
      <c r="H1138" t="str">
        <f>"אלתא מערכות בע""מ"</f>
        <v>אלתא מערכות בע"מ</v>
      </c>
      <c r="I1138" t="str">
        <f>"רחמים זרוק"</f>
        <v>רחמים זרוק</v>
      </c>
      <c r="J1138" t="str">
        <f>"9977"</f>
        <v>9977</v>
      </c>
      <c r="K1138" s="1" t="str">
        <f>"קנס פיגור באספקה"</f>
        <v>קנס פיגור באספקה</v>
      </c>
      <c r="L1138">
        <v>-1</v>
      </c>
      <c r="O1138">
        <v>92.13</v>
      </c>
      <c r="P1138" t="str">
        <f>"$"</f>
        <v>$</v>
      </c>
      <c r="Q1138" t="str">
        <f>"117"</f>
        <v>117</v>
      </c>
      <c r="R1138" t="str">
        <f>"רתמות"</f>
        <v>רתמות</v>
      </c>
      <c r="S1138" t="str">
        <f>"040"</f>
        <v>040</v>
      </c>
      <c r="T1138" t="str">
        <f>"עמר ליגל"</f>
        <v>עמר ליגל</v>
      </c>
      <c r="U1138">
        <v>0</v>
      </c>
      <c r="V1138">
        <v>0</v>
      </c>
      <c r="W1138">
        <v>92.13</v>
      </c>
      <c r="X1138">
        <v>-92.13</v>
      </c>
      <c r="Z1138" t="str">
        <f>"Y"</f>
        <v>Y</v>
      </c>
      <c r="AA1138">
        <v>-1</v>
      </c>
      <c r="AC1138">
        <v>0</v>
      </c>
      <c r="AE1138">
        <v>0</v>
      </c>
      <c r="AF1138">
        <v>0</v>
      </c>
      <c r="AG1138">
        <v>306.7</v>
      </c>
      <c r="AH1138">
        <v>0</v>
      </c>
      <c r="AI1138">
        <v>-306.7</v>
      </c>
      <c r="AJ1138">
        <v>-92.13</v>
      </c>
      <c r="AK1138">
        <v>-92.13</v>
      </c>
      <c r="AL1138" t="str">
        <f>"$"</f>
        <v>$</v>
      </c>
    </row>
    <row r="1139" spans="1:38" x14ac:dyDescent="0.3">
      <c r="A1139" t="str">
        <f>"SO21000113"</f>
        <v>SO21000113</v>
      </c>
      <c r="B1139" t="str">
        <f>"E000334060"</f>
        <v>E000334060</v>
      </c>
      <c r="C1139" t="str">
        <f>"בוצעה"</f>
        <v>בוצעה</v>
      </c>
      <c r="E1139" s="3">
        <v>44265</v>
      </c>
      <c r="F1139" s="3">
        <v>44270</v>
      </c>
      <c r="G1139" t="str">
        <f>"700065"</f>
        <v>700065</v>
      </c>
      <c r="H1139" t="str">
        <f>"אלתא מערכות בע""מ"</f>
        <v>אלתא מערכות בע"מ</v>
      </c>
      <c r="I1139" t="str">
        <f>"רחמים זרוק"</f>
        <v>רחמים זרוק</v>
      </c>
      <c r="J1139" t="str">
        <f>"cust000820"</f>
        <v>cust000820</v>
      </c>
      <c r="K1139" s="1" t="str">
        <f>"ELTA 1021L537-001/C2"</f>
        <v>ELTA 1021L537-001/C2</v>
      </c>
      <c r="L1139">
        <v>1</v>
      </c>
      <c r="M1139" t="str">
        <f>"PR20000499"</f>
        <v>PR20000499</v>
      </c>
      <c r="N1139" t="str">
        <f>"CABLE ASSY 1W"</f>
        <v>CABLE ASSY 1W</v>
      </c>
      <c r="O1139">
        <v>0.1</v>
      </c>
      <c r="P1139" t="str">
        <f>"$"</f>
        <v>$</v>
      </c>
      <c r="Q1139" t="str">
        <f>"117"</f>
        <v>117</v>
      </c>
      <c r="R1139" t="str">
        <f>"רתמות"</f>
        <v>רתמות</v>
      </c>
      <c r="S1139" t="str">
        <f>"040"</f>
        <v>040</v>
      </c>
      <c r="T1139" t="str">
        <f>"עמר ליגל"</f>
        <v>עמר ליגל</v>
      </c>
      <c r="U1139">
        <v>0</v>
      </c>
      <c r="V1139">
        <v>0</v>
      </c>
      <c r="W1139">
        <v>0.1</v>
      </c>
      <c r="X1139">
        <v>0.1</v>
      </c>
      <c r="Z1139" t="str">
        <f>"Y"</f>
        <v>Y</v>
      </c>
      <c r="AA1139">
        <v>0</v>
      </c>
      <c r="AC1139">
        <v>0</v>
      </c>
      <c r="AE1139">
        <v>0</v>
      </c>
      <c r="AF1139">
        <v>0</v>
      </c>
      <c r="AG1139">
        <v>0.33</v>
      </c>
      <c r="AH1139">
        <v>0</v>
      </c>
      <c r="AI1139">
        <v>0.33</v>
      </c>
      <c r="AJ1139">
        <v>0.1</v>
      </c>
      <c r="AK1139">
        <v>0.1</v>
      </c>
      <c r="AL1139" t="str">
        <f>"$"</f>
        <v>$</v>
      </c>
    </row>
    <row r="1140" spans="1:38" x14ac:dyDescent="0.3">
      <c r="A1140" t="str">
        <f>"SO21000115"</f>
        <v>SO21000115</v>
      </c>
      <c r="B1140" t="str">
        <f>"E000335043"</f>
        <v>E000335043</v>
      </c>
      <c r="C1140" t="str">
        <f>"בוצעה"</f>
        <v>בוצעה</v>
      </c>
      <c r="E1140" s="3">
        <v>44265</v>
      </c>
      <c r="F1140" s="3">
        <v>44377</v>
      </c>
      <c r="G1140" t="str">
        <f>"700065"</f>
        <v>700065</v>
      </c>
      <c r="H1140" t="str">
        <f>"אלתא מערכות בע""מ"</f>
        <v>אלתא מערכות בע"מ</v>
      </c>
      <c r="I1140" t="str">
        <f>"רחמים זרוק"</f>
        <v>רחמים זרוק</v>
      </c>
      <c r="J1140" t="str">
        <f>"OP-AR02349"</f>
        <v>OP-AR02349</v>
      </c>
      <c r="K1140" s="1" t="str">
        <f>"2202B030-001     TRW20 CABLE ASSY"</f>
        <v>2202B030-001     TRW20 CABLE ASSY</v>
      </c>
      <c r="L1140">
        <v>2</v>
      </c>
      <c r="M1140" t="str">
        <f>"PR21000192"</f>
        <v>PR21000192</v>
      </c>
      <c r="N1140" t="str">
        <f>"TRW20 CABLE ASSY"</f>
        <v>TRW20 CABLE ASSY</v>
      </c>
      <c r="O1140">
        <v>246.58</v>
      </c>
      <c r="P1140" t="str">
        <f>"$"</f>
        <v>$</v>
      </c>
      <c r="Q1140" t="str">
        <f>"117"</f>
        <v>117</v>
      </c>
      <c r="R1140" t="str">
        <f>"רתמות"</f>
        <v>רתמות</v>
      </c>
      <c r="S1140" t="str">
        <f>"040"</f>
        <v>040</v>
      </c>
      <c r="T1140" t="str">
        <f>"עמר ליגל"</f>
        <v>עמר ליגל</v>
      </c>
      <c r="U1140">
        <v>0</v>
      </c>
      <c r="V1140">
        <v>0</v>
      </c>
      <c r="W1140">
        <v>246.58</v>
      </c>
      <c r="X1140">
        <v>493.16</v>
      </c>
      <c r="Z1140" t="str">
        <f>"Y"</f>
        <v>Y</v>
      </c>
      <c r="AA1140">
        <v>0</v>
      </c>
      <c r="AC1140">
        <v>0</v>
      </c>
      <c r="AE1140">
        <v>0</v>
      </c>
      <c r="AF1140">
        <v>0</v>
      </c>
      <c r="AG1140">
        <v>820.86</v>
      </c>
      <c r="AH1140">
        <v>0</v>
      </c>
      <c r="AI1140" s="2">
        <v>1641.73</v>
      </c>
      <c r="AJ1140">
        <v>493.16</v>
      </c>
      <c r="AK1140">
        <v>493.16</v>
      </c>
      <c r="AL1140" t="str">
        <f>"$"</f>
        <v>$</v>
      </c>
    </row>
    <row r="1141" spans="1:38" x14ac:dyDescent="0.3">
      <c r="A1141" t="str">
        <f>"SO21000115"</f>
        <v>SO21000115</v>
      </c>
      <c r="B1141" t="str">
        <f>"E000335043"</f>
        <v>E000335043</v>
      </c>
      <c r="C1141" t="str">
        <f>"בוצעה"</f>
        <v>בוצעה</v>
      </c>
      <c r="E1141" s="3">
        <v>44265</v>
      </c>
      <c r="F1141" s="3">
        <v>44377</v>
      </c>
      <c r="G1141" t="str">
        <f>"700065"</f>
        <v>700065</v>
      </c>
      <c r="H1141" t="str">
        <f>"אלתא מערכות בע""מ"</f>
        <v>אלתא מערכות בע"מ</v>
      </c>
      <c r="I1141" t="str">
        <f>"רחמים זרוק"</f>
        <v>רחמים זרוק</v>
      </c>
      <c r="J1141" t="str">
        <f>"OP-AR02350"</f>
        <v>OP-AR02350</v>
      </c>
      <c r="K1141" s="1" t="str">
        <f>"2202B032-001    TRW21 CABLE ASSY"</f>
        <v>2202B032-001    TRW21 CABLE ASSY</v>
      </c>
      <c r="L1141">
        <v>2</v>
      </c>
      <c r="M1141" t="str">
        <f>"PR21000192"</f>
        <v>PR21000192</v>
      </c>
      <c r="N1141" t="str">
        <f>"TRW20 CABLE ASSY"</f>
        <v>TRW20 CABLE ASSY</v>
      </c>
      <c r="O1141">
        <v>232.91</v>
      </c>
      <c r="P1141" t="str">
        <f>"$"</f>
        <v>$</v>
      </c>
      <c r="Q1141" t="str">
        <f>"117"</f>
        <v>117</v>
      </c>
      <c r="R1141" t="str">
        <f>"רתמות"</f>
        <v>רתמות</v>
      </c>
      <c r="S1141" t="str">
        <f>"040"</f>
        <v>040</v>
      </c>
      <c r="T1141" t="str">
        <f>"עמר ליגל"</f>
        <v>עמר ליגל</v>
      </c>
      <c r="U1141">
        <v>0</v>
      </c>
      <c r="V1141">
        <v>0</v>
      </c>
      <c r="W1141">
        <v>232.91</v>
      </c>
      <c r="X1141">
        <v>465.82</v>
      </c>
      <c r="Z1141" t="str">
        <f>"Y"</f>
        <v>Y</v>
      </c>
      <c r="AA1141">
        <v>0</v>
      </c>
      <c r="AC1141">
        <v>0</v>
      </c>
      <c r="AE1141">
        <v>0</v>
      </c>
      <c r="AF1141">
        <v>0</v>
      </c>
      <c r="AG1141">
        <v>775.36</v>
      </c>
      <c r="AH1141">
        <v>0</v>
      </c>
      <c r="AI1141" s="2">
        <v>1550.71</v>
      </c>
      <c r="AJ1141">
        <v>465.82</v>
      </c>
      <c r="AK1141">
        <v>465.82</v>
      </c>
      <c r="AL1141" t="str">
        <f>"$"</f>
        <v>$</v>
      </c>
    </row>
    <row r="1142" spans="1:38" x14ac:dyDescent="0.3">
      <c r="A1142" t="str">
        <f>"SO21000115"</f>
        <v>SO21000115</v>
      </c>
      <c r="B1142" t="str">
        <f>"E000335043"</f>
        <v>E000335043</v>
      </c>
      <c r="C1142" t="str">
        <f>"בוצעה"</f>
        <v>בוצעה</v>
      </c>
      <c r="E1142" s="3">
        <v>44265</v>
      </c>
      <c r="F1142" s="3">
        <v>44377</v>
      </c>
      <c r="G1142" t="str">
        <f>"700065"</f>
        <v>700065</v>
      </c>
      <c r="H1142" t="str">
        <f>"אלתא מערכות בע""מ"</f>
        <v>אלתא מערכות בע"מ</v>
      </c>
      <c r="I1142" t="str">
        <f>"רחמים זרוק"</f>
        <v>רחמים זרוק</v>
      </c>
      <c r="J1142" t="str">
        <f>"OP-AR02351"</f>
        <v>OP-AR02351</v>
      </c>
      <c r="K1142" s="1" t="str">
        <f>"2202B034-001    TRW22 CABLE ASSY"</f>
        <v>2202B034-001    TRW22 CABLE ASSY</v>
      </c>
      <c r="L1142">
        <v>2</v>
      </c>
      <c r="M1142" t="str">
        <f>"PR21000192"</f>
        <v>PR21000192</v>
      </c>
      <c r="N1142" t="str">
        <f>"TRW20 CABLE ASSY"</f>
        <v>TRW20 CABLE ASSY</v>
      </c>
      <c r="O1142">
        <v>191.95</v>
      </c>
      <c r="P1142" t="str">
        <f>"$"</f>
        <v>$</v>
      </c>
      <c r="Q1142" t="str">
        <f>"117"</f>
        <v>117</v>
      </c>
      <c r="R1142" t="str">
        <f>"רתמות"</f>
        <v>רתמות</v>
      </c>
      <c r="S1142" t="str">
        <f>"040"</f>
        <v>040</v>
      </c>
      <c r="T1142" t="str">
        <f>"עמר ליגל"</f>
        <v>עמר ליגל</v>
      </c>
      <c r="U1142">
        <v>0</v>
      </c>
      <c r="V1142">
        <v>0</v>
      </c>
      <c r="W1142">
        <v>191.95</v>
      </c>
      <c r="X1142">
        <v>383.9</v>
      </c>
      <c r="Z1142" t="str">
        <f>"Y"</f>
        <v>Y</v>
      </c>
      <c r="AA1142">
        <v>0</v>
      </c>
      <c r="AC1142">
        <v>0</v>
      </c>
      <c r="AE1142">
        <v>0</v>
      </c>
      <c r="AF1142">
        <v>0</v>
      </c>
      <c r="AG1142">
        <v>639</v>
      </c>
      <c r="AH1142">
        <v>0</v>
      </c>
      <c r="AI1142" s="2">
        <v>1278</v>
      </c>
      <c r="AJ1142">
        <v>383.9</v>
      </c>
      <c r="AK1142">
        <v>383.9</v>
      </c>
      <c r="AL1142" t="str">
        <f>"$"</f>
        <v>$</v>
      </c>
    </row>
    <row r="1143" spans="1:38" x14ac:dyDescent="0.3">
      <c r="A1143" t="str">
        <f>"SO21000115"</f>
        <v>SO21000115</v>
      </c>
      <c r="B1143" t="str">
        <f>"E000335043"</f>
        <v>E000335043</v>
      </c>
      <c r="C1143" t="str">
        <f>"בוצעה"</f>
        <v>בוצעה</v>
      </c>
      <c r="E1143" s="3">
        <v>44265</v>
      </c>
      <c r="F1143" s="3">
        <v>44377</v>
      </c>
      <c r="G1143" t="str">
        <f>"700065"</f>
        <v>700065</v>
      </c>
      <c r="H1143" t="str">
        <f>"אלתא מערכות בע""מ"</f>
        <v>אלתא מערכות בע"מ</v>
      </c>
      <c r="I1143" t="str">
        <f>"רחמים זרוק"</f>
        <v>רחמים זרוק</v>
      </c>
      <c r="J1143" t="str">
        <f>"OP-AR02352"</f>
        <v>OP-AR02352</v>
      </c>
      <c r="K1143" s="1" t="str">
        <f>"2202B036-001    TRW23 CABLE ASSY"</f>
        <v>2202B036-001    TRW23 CABLE ASSY</v>
      </c>
      <c r="L1143">
        <v>2</v>
      </c>
      <c r="M1143" t="str">
        <f>"PR21000192"</f>
        <v>PR21000192</v>
      </c>
      <c r="N1143" t="str">
        <f>"TRW20 CABLE ASSY"</f>
        <v>TRW20 CABLE ASSY</v>
      </c>
      <c r="O1143">
        <v>149.52000000000001</v>
      </c>
      <c r="P1143" t="str">
        <f>"$"</f>
        <v>$</v>
      </c>
      <c r="Q1143" t="str">
        <f>"117"</f>
        <v>117</v>
      </c>
      <c r="R1143" t="str">
        <f>"רתמות"</f>
        <v>רתמות</v>
      </c>
      <c r="S1143" t="str">
        <f>"040"</f>
        <v>040</v>
      </c>
      <c r="T1143" t="str">
        <f>"עמר ליגל"</f>
        <v>עמר ליגל</v>
      </c>
      <c r="U1143">
        <v>0</v>
      </c>
      <c r="V1143">
        <v>0</v>
      </c>
      <c r="W1143">
        <v>149.52000000000001</v>
      </c>
      <c r="X1143">
        <v>299.04000000000002</v>
      </c>
      <c r="Z1143" t="str">
        <f>"Y"</f>
        <v>Y</v>
      </c>
      <c r="AA1143">
        <v>0</v>
      </c>
      <c r="AC1143">
        <v>0</v>
      </c>
      <c r="AE1143">
        <v>0</v>
      </c>
      <c r="AF1143">
        <v>0</v>
      </c>
      <c r="AG1143">
        <v>497.75</v>
      </c>
      <c r="AH1143">
        <v>0</v>
      </c>
      <c r="AI1143">
        <v>995.5</v>
      </c>
      <c r="AJ1143">
        <v>299.04000000000002</v>
      </c>
      <c r="AK1143">
        <v>299.04000000000002</v>
      </c>
      <c r="AL1143" t="str">
        <f>"$"</f>
        <v>$</v>
      </c>
    </row>
    <row r="1144" spans="1:38" x14ac:dyDescent="0.3">
      <c r="A1144" t="str">
        <f>"SO21000115"</f>
        <v>SO21000115</v>
      </c>
      <c r="B1144" t="str">
        <f>"E000335043"</f>
        <v>E000335043</v>
      </c>
      <c r="C1144" t="str">
        <f>"בוצעה"</f>
        <v>בוצעה</v>
      </c>
      <c r="E1144" s="3">
        <v>44265</v>
      </c>
      <c r="F1144" s="3">
        <v>44377</v>
      </c>
      <c r="G1144" t="str">
        <f>"700065"</f>
        <v>700065</v>
      </c>
      <c r="H1144" t="str">
        <f>"אלתא מערכות בע""מ"</f>
        <v>אלתא מערכות בע"מ</v>
      </c>
      <c r="I1144" t="str">
        <f>"רחמים זרוק"</f>
        <v>רחמים זרוק</v>
      </c>
      <c r="J1144" t="str">
        <f>"OP-AR02353"</f>
        <v>OP-AR02353</v>
      </c>
      <c r="K1144" s="1" t="str">
        <f>"2203B026-001    FIO CABLE ASSY"</f>
        <v>2203B026-001    FIO CABLE ASSY</v>
      </c>
      <c r="L1144">
        <v>2</v>
      </c>
      <c r="M1144" t="str">
        <f>"PR21000192"</f>
        <v>PR21000192</v>
      </c>
      <c r="N1144" t="str">
        <f>"TRW20 CABLE ASSY"</f>
        <v>TRW20 CABLE ASSY</v>
      </c>
      <c r="O1144">
        <v>466.36</v>
      </c>
      <c r="P1144" t="str">
        <f>"$"</f>
        <v>$</v>
      </c>
      <c r="Q1144" t="str">
        <f>"117"</f>
        <v>117</v>
      </c>
      <c r="R1144" t="str">
        <f>"רתמות"</f>
        <v>רתמות</v>
      </c>
      <c r="S1144" t="str">
        <f>"040"</f>
        <v>040</v>
      </c>
      <c r="T1144" t="str">
        <f>"עמר ליגל"</f>
        <v>עמר ליגל</v>
      </c>
      <c r="U1144">
        <v>0</v>
      </c>
      <c r="V1144">
        <v>0</v>
      </c>
      <c r="W1144">
        <v>466.36</v>
      </c>
      <c r="X1144">
        <v>932.72</v>
      </c>
      <c r="Z1144" t="str">
        <f>"Y"</f>
        <v>Y</v>
      </c>
      <c r="AA1144">
        <v>0</v>
      </c>
      <c r="AC1144">
        <v>0</v>
      </c>
      <c r="AE1144">
        <v>0</v>
      </c>
      <c r="AF1144">
        <v>0</v>
      </c>
      <c r="AG1144" s="2">
        <v>1552.51</v>
      </c>
      <c r="AH1144">
        <v>0</v>
      </c>
      <c r="AI1144" s="2">
        <v>3105.02</v>
      </c>
      <c r="AJ1144">
        <v>932.72</v>
      </c>
      <c r="AK1144">
        <v>932.72</v>
      </c>
      <c r="AL1144" t="str">
        <f>"$"</f>
        <v>$</v>
      </c>
    </row>
    <row r="1145" spans="1:38" x14ac:dyDescent="0.3">
      <c r="A1145" t="str">
        <f>"SO21000116"</f>
        <v>SO21000116</v>
      </c>
      <c r="B1145" t="str">
        <f>"E000334153"</f>
        <v>E000334153</v>
      </c>
      <c r="C1145" t="str">
        <f>"בוצעה"</f>
        <v>בוצעה</v>
      </c>
      <c r="E1145" s="3">
        <v>44266</v>
      </c>
      <c r="F1145" s="3">
        <v>44316</v>
      </c>
      <c r="G1145" t="str">
        <f>"700065"</f>
        <v>700065</v>
      </c>
      <c r="H1145" t="str">
        <f>"אלתא מערכות בע""מ"</f>
        <v>אלתא מערכות בע"מ</v>
      </c>
      <c r="I1145" t="str">
        <f>"רחמים זרוק"</f>
        <v>רחמים זרוק</v>
      </c>
      <c r="J1145" t="str">
        <f>"cust000816"</f>
        <v>cust000816</v>
      </c>
      <c r="K1145" s="1" t="str">
        <f>"1039V959-003 אלתא"</f>
        <v>1039V959-003 אלתא</v>
      </c>
      <c r="L1145">
        <v>1</v>
      </c>
      <c r="M1145" t="str">
        <f>"PR20000495"</f>
        <v>PR20000495</v>
      </c>
      <c r="N1145" t="str">
        <f>"DC POWER 28V TO MCS FAN"</f>
        <v>DC POWER 28V TO MCS FAN</v>
      </c>
      <c r="O1145">
        <v>750</v>
      </c>
      <c r="P1145" t="str">
        <f>"$"</f>
        <v>$</v>
      </c>
      <c r="Q1145" t="str">
        <f>"117"</f>
        <v>117</v>
      </c>
      <c r="R1145" t="str">
        <f>"רתמות"</f>
        <v>רתמות</v>
      </c>
      <c r="S1145" t="str">
        <f>"040"</f>
        <v>040</v>
      </c>
      <c r="T1145" t="str">
        <f>"עמר ליגל"</f>
        <v>עמר ליגל</v>
      </c>
      <c r="U1145">
        <v>0</v>
      </c>
      <c r="V1145">
        <v>0</v>
      </c>
      <c r="W1145">
        <v>750</v>
      </c>
      <c r="X1145">
        <v>750</v>
      </c>
      <c r="Z1145" t="str">
        <f>"Y"</f>
        <v>Y</v>
      </c>
      <c r="AA1145">
        <v>0</v>
      </c>
      <c r="AC1145">
        <v>0</v>
      </c>
      <c r="AE1145">
        <v>0</v>
      </c>
      <c r="AF1145">
        <v>0</v>
      </c>
      <c r="AG1145" s="2">
        <v>2496.75</v>
      </c>
      <c r="AH1145">
        <v>0</v>
      </c>
      <c r="AI1145" s="2">
        <v>2496.75</v>
      </c>
      <c r="AJ1145">
        <v>750</v>
      </c>
      <c r="AK1145">
        <v>750</v>
      </c>
      <c r="AL1145" t="str">
        <f>"$"</f>
        <v>$</v>
      </c>
    </row>
    <row r="1146" spans="1:38" x14ac:dyDescent="0.3">
      <c r="A1146" t="str">
        <f>"SO21000120"</f>
        <v>SO21000120</v>
      </c>
      <c r="B1146" t="str">
        <f>"E000331858"</f>
        <v>E000331858</v>
      </c>
      <c r="C1146" t="str">
        <f>"בוצעה"</f>
        <v>בוצעה</v>
      </c>
      <c r="E1146" s="3">
        <v>44269</v>
      </c>
      <c r="F1146" s="3">
        <v>44772</v>
      </c>
      <c r="G1146" t="str">
        <f>"700065"</f>
        <v>700065</v>
      </c>
      <c r="H1146" t="str">
        <f>"אלתא מערכות בע""מ"</f>
        <v>אלתא מערכות בע"מ</v>
      </c>
      <c r="I1146" t="str">
        <f>"רוני דידי"</f>
        <v>רוני דידי</v>
      </c>
      <c r="J1146" t="str">
        <f>"OP-KR00001"</f>
        <v>OP-KR00001</v>
      </c>
      <c r="K1146" s="1" t="str">
        <f>"MDN SHELTER 1039P040-001"</f>
        <v>MDN SHELTER 1039P040-001</v>
      </c>
      <c r="L1146">
        <v>1</v>
      </c>
      <c r="M1146" t="str">
        <f>"PR20000710"</f>
        <v>PR20000710</v>
      </c>
      <c r="N1146" t="str">
        <f>"MDN SHELTER 02"</f>
        <v>MDN SHELTER 02</v>
      </c>
      <c r="O1146" s="2">
        <v>375070.73</v>
      </c>
      <c r="P1146" t="str">
        <f>"$"</f>
        <v>$</v>
      </c>
      <c r="Q1146" t="str">
        <f>"119"</f>
        <v>119</v>
      </c>
      <c r="R1146" t="str">
        <f>"פלטפורמות"</f>
        <v>פלטפורמות</v>
      </c>
      <c r="S1146" t="str">
        <f>"007"</f>
        <v>007</v>
      </c>
      <c r="T1146" t="str">
        <f>"עמר ליגל"</f>
        <v>עמר ליגל</v>
      </c>
      <c r="U1146">
        <v>0</v>
      </c>
      <c r="V1146">
        <v>0</v>
      </c>
      <c r="W1146" s="2">
        <v>375070.73</v>
      </c>
      <c r="X1146" s="2">
        <v>375070.73</v>
      </c>
      <c r="Z1146" t="str">
        <f>"Y"</f>
        <v>Y</v>
      </c>
      <c r="AA1146">
        <v>0</v>
      </c>
      <c r="AC1146">
        <v>0</v>
      </c>
      <c r="AE1146">
        <v>0</v>
      </c>
      <c r="AF1146">
        <v>0</v>
      </c>
      <c r="AG1146" s="2">
        <v>1243734.54</v>
      </c>
      <c r="AH1146">
        <v>0</v>
      </c>
      <c r="AI1146" s="2">
        <v>1243734.54</v>
      </c>
      <c r="AJ1146" s="2">
        <v>375070.73</v>
      </c>
      <c r="AK1146" s="2">
        <v>375070.73</v>
      </c>
      <c r="AL1146" t="str">
        <f>"$"</f>
        <v>$</v>
      </c>
    </row>
    <row r="1147" spans="1:38" x14ac:dyDescent="0.3">
      <c r="A1147" t="str">
        <f>"SO21000120"</f>
        <v>SO21000120</v>
      </c>
      <c r="B1147" t="str">
        <f>"E000331858"</f>
        <v>E000331858</v>
      </c>
      <c r="C1147" t="str">
        <f>"בוצעה"</f>
        <v>בוצעה</v>
      </c>
      <c r="E1147" s="3">
        <v>44269</v>
      </c>
      <c r="F1147" s="3">
        <v>44711</v>
      </c>
      <c r="G1147" t="str">
        <f>"700065"</f>
        <v>700065</v>
      </c>
      <c r="H1147" t="str">
        <f>"אלתא מערכות בע""מ"</f>
        <v>אלתא מערכות בע"מ</v>
      </c>
      <c r="I1147" t="str">
        <f>"רוני דידי"</f>
        <v>רוני דידי</v>
      </c>
      <c r="J1147" t="str">
        <f>"000"</f>
        <v>000</v>
      </c>
      <c r="K1147" s="1" t="str">
        <f>"NRE"</f>
        <v>NRE</v>
      </c>
      <c r="L1147">
        <v>1</v>
      </c>
      <c r="M1147" t="str">
        <f>"PR21000398"</f>
        <v>PR21000398</v>
      </c>
      <c r="N1147" t="str">
        <f>"קרונות MDN"</f>
        <v>קרונות MDN</v>
      </c>
      <c r="O1147" s="2">
        <v>247108.55</v>
      </c>
      <c r="P1147" t="str">
        <f>"$"</f>
        <v>$</v>
      </c>
      <c r="Q1147" t="str">
        <f>"119"</f>
        <v>119</v>
      </c>
      <c r="R1147" t="str">
        <f>"פלטפורמות"</f>
        <v>פלטפורמות</v>
      </c>
      <c r="S1147" t="str">
        <f>"007"</f>
        <v>007</v>
      </c>
      <c r="T1147" t="str">
        <f>"עמר ליגל"</f>
        <v>עמר ליגל</v>
      </c>
      <c r="U1147">
        <v>0</v>
      </c>
      <c r="V1147">
        <v>0</v>
      </c>
      <c r="W1147" s="2">
        <v>247108.55</v>
      </c>
      <c r="X1147" s="2">
        <v>247108.55</v>
      </c>
      <c r="Z1147" t="str">
        <f>"Y"</f>
        <v>Y</v>
      </c>
      <c r="AA1147">
        <v>1</v>
      </c>
      <c r="AC1147">
        <v>0</v>
      </c>
      <c r="AE1147">
        <v>0</v>
      </c>
      <c r="AF1147">
        <v>0</v>
      </c>
      <c r="AG1147" s="2">
        <v>819411.95</v>
      </c>
      <c r="AH1147">
        <v>0</v>
      </c>
      <c r="AI1147" s="2">
        <v>819411.95</v>
      </c>
      <c r="AJ1147" s="2">
        <v>247108.55</v>
      </c>
      <c r="AK1147" s="2">
        <v>247108.55</v>
      </c>
      <c r="AL1147" t="str">
        <f>"$"</f>
        <v>$</v>
      </c>
    </row>
    <row r="1148" spans="1:38" x14ac:dyDescent="0.3">
      <c r="A1148" t="str">
        <f>"SO21000120"</f>
        <v>SO21000120</v>
      </c>
      <c r="B1148" t="str">
        <f>"E000331858"</f>
        <v>E000331858</v>
      </c>
      <c r="C1148" t="str">
        <f>"בוצעה"</f>
        <v>בוצעה</v>
      </c>
      <c r="E1148" s="3">
        <v>44269</v>
      </c>
      <c r="F1148" s="3">
        <v>44803</v>
      </c>
      <c r="G1148" t="str">
        <f>"700065"</f>
        <v>700065</v>
      </c>
      <c r="H1148" t="str">
        <f>"אלתא מערכות בע""מ"</f>
        <v>אלתא מערכות בע"מ</v>
      </c>
      <c r="I1148" t="str">
        <f>"רוני דידי"</f>
        <v>רוני דידי</v>
      </c>
      <c r="J1148" t="str">
        <f>"OP-KR00001"</f>
        <v>OP-KR00001</v>
      </c>
      <c r="K1148" s="1" t="str">
        <f>"MDN SHELTER 1039P040-001"</f>
        <v>MDN SHELTER 1039P040-001</v>
      </c>
      <c r="L1148">
        <v>1</v>
      </c>
      <c r="M1148" t="str">
        <f>"PR21000383"</f>
        <v>PR21000383</v>
      </c>
      <c r="N1148" t="str">
        <f>"MDN SHLTER 01"</f>
        <v>MDN SHLTER 01</v>
      </c>
      <c r="O1148" s="2">
        <v>375070.73</v>
      </c>
      <c r="P1148" t="str">
        <f>"$"</f>
        <v>$</v>
      </c>
      <c r="Q1148" t="str">
        <f>"119"</f>
        <v>119</v>
      </c>
      <c r="R1148" t="str">
        <f>"פלטפורמות"</f>
        <v>פלטפורמות</v>
      </c>
      <c r="S1148" t="str">
        <f>"007"</f>
        <v>007</v>
      </c>
      <c r="T1148" t="str">
        <f>"עמר ליגל"</f>
        <v>עמר ליגל</v>
      </c>
      <c r="U1148">
        <v>0</v>
      </c>
      <c r="V1148">
        <v>0</v>
      </c>
      <c r="W1148" s="2">
        <v>375070.73</v>
      </c>
      <c r="X1148" s="2">
        <v>375070.73</v>
      </c>
      <c r="Z1148" t="str">
        <f>"Y"</f>
        <v>Y</v>
      </c>
      <c r="AA1148">
        <v>0</v>
      </c>
      <c r="AC1148">
        <v>0</v>
      </c>
      <c r="AE1148">
        <v>0</v>
      </c>
      <c r="AF1148">
        <v>0</v>
      </c>
      <c r="AG1148" s="2">
        <v>1243734.54</v>
      </c>
      <c r="AH1148">
        <v>0</v>
      </c>
      <c r="AI1148" s="2">
        <v>1243734.54</v>
      </c>
      <c r="AJ1148" s="2">
        <v>375070.73</v>
      </c>
      <c r="AK1148" s="2">
        <v>375070.73</v>
      </c>
      <c r="AL1148" t="str">
        <f>"$"</f>
        <v>$</v>
      </c>
    </row>
    <row r="1149" spans="1:38" x14ac:dyDescent="0.3">
      <c r="A1149" t="str">
        <f>"SO21000120"</f>
        <v>SO21000120</v>
      </c>
      <c r="B1149" t="str">
        <f>"E000331858"</f>
        <v>E000331858</v>
      </c>
      <c r="C1149" t="str">
        <f>"בוצעה"</f>
        <v>בוצעה</v>
      </c>
      <c r="E1149" s="3">
        <v>44269</v>
      </c>
      <c r="F1149" s="3">
        <v>44804</v>
      </c>
      <c r="G1149" t="str">
        <f>"700065"</f>
        <v>700065</v>
      </c>
      <c r="H1149" t="str">
        <f>"אלתא מערכות בע""מ"</f>
        <v>אלתא מערכות בע"מ</v>
      </c>
      <c r="I1149" t="str">
        <f>"רוני דידי"</f>
        <v>רוני דידי</v>
      </c>
      <c r="J1149" t="str">
        <f>"CB1100268"</f>
        <v>CB1100268</v>
      </c>
      <c r="K1149" s="1" t="str">
        <f>"WF-520  IP-68 PLUG LC-DUP./LC-DUP. 50/125 50M/0.5M"</f>
        <v>WF-520  IP-68 PLUG LC-DUP./LC-DUP. 50/125 50M/0.5M</v>
      </c>
      <c r="L1149">
        <v>1</v>
      </c>
      <c r="M1149" t="str">
        <f>"PR20000710"</f>
        <v>PR20000710</v>
      </c>
      <c r="N1149" t="str">
        <f>"MDN SHELTER 02"</f>
        <v>MDN SHELTER 02</v>
      </c>
      <c r="O1149">
        <v>0</v>
      </c>
      <c r="P1149" t="str">
        <f>"$"</f>
        <v>$</v>
      </c>
      <c r="Q1149" t="str">
        <f>"119"</f>
        <v>119</v>
      </c>
      <c r="R1149" t="str">
        <f>"פלטפורמות"</f>
        <v>פלטפורמות</v>
      </c>
      <c r="S1149" t="str">
        <f>"007"</f>
        <v>007</v>
      </c>
      <c r="T1149" t="str">
        <f>"עמר ליגל"</f>
        <v>עמר ליגל</v>
      </c>
      <c r="U1149">
        <v>0</v>
      </c>
      <c r="V1149">
        <v>0</v>
      </c>
      <c r="W1149">
        <v>0</v>
      </c>
      <c r="X1149">
        <v>0</v>
      </c>
      <c r="Z1149" t="str">
        <f>"Y"</f>
        <v>Y</v>
      </c>
      <c r="AA1149">
        <v>0</v>
      </c>
      <c r="AC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 t="str">
        <f>"$"</f>
        <v>$</v>
      </c>
    </row>
    <row r="1150" spans="1:38" x14ac:dyDescent="0.3">
      <c r="A1150" t="str">
        <f>"SO21000120"</f>
        <v>SO21000120</v>
      </c>
      <c r="B1150" t="str">
        <f>"E000331858"</f>
        <v>E000331858</v>
      </c>
      <c r="C1150" t="str">
        <f>"בוצעה"</f>
        <v>בוצעה</v>
      </c>
      <c r="E1150" s="3">
        <v>44269</v>
      </c>
      <c r="F1150" s="3">
        <v>44804</v>
      </c>
      <c r="G1150" t="str">
        <f>"700065"</f>
        <v>700065</v>
      </c>
      <c r="H1150" t="str">
        <f>"אלתא מערכות בע""מ"</f>
        <v>אלתא מערכות בע"מ</v>
      </c>
      <c r="I1150" t="str">
        <f>"רוני דידי"</f>
        <v>רוני דידי</v>
      </c>
      <c r="J1150" t="str">
        <f>"CB1100269"</f>
        <v>CB1100269</v>
      </c>
      <c r="K1150" s="1" t="str">
        <f>"WF-530   IP-68 PLUG LC-DUP./LC-DUP. 9/125 50M/0.5M"</f>
        <v>WF-530   IP-68 PLUG LC-DUP./LC-DUP. 9/125 50M/0.5M</v>
      </c>
      <c r="L1150">
        <v>1</v>
      </c>
      <c r="M1150" t="str">
        <f>"PR20000710"</f>
        <v>PR20000710</v>
      </c>
      <c r="N1150" t="str">
        <f>"MDN SHELTER 02"</f>
        <v>MDN SHELTER 02</v>
      </c>
      <c r="O1150">
        <v>0</v>
      </c>
      <c r="P1150" t="str">
        <f>"$"</f>
        <v>$</v>
      </c>
      <c r="Q1150" t="str">
        <f>"119"</f>
        <v>119</v>
      </c>
      <c r="R1150" t="str">
        <f>"פלטפורמות"</f>
        <v>פלטפורמות</v>
      </c>
      <c r="S1150" t="str">
        <f>"007"</f>
        <v>007</v>
      </c>
      <c r="T1150" t="str">
        <f>"עמר ליגל"</f>
        <v>עמר ליגל</v>
      </c>
      <c r="U1150">
        <v>0</v>
      </c>
      <c r="V1150">
        <v>0</v>
      </c>
      <c r="W1150">
        <v>0</v>
      </c>
      <c r="X1150">
        <v>0</v>
      </c>
      <c r="Z1150" t="str">
        <f>"Y"</f>
        <v>Y</v>
      </c>
      <c r="AA1150">
        <v>0</v>
      </c>
      <c r="AC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 t="str">
        <f>"$"</f>
        <v>$</v>
      </c>
    </row>
    <row r="1151" spans="1:38" x14ac:dyDescent="0.3">
      <c r="A1151" t="str">
        <f>"SO21000133"</f>
        <v>SO21000133</v>
      </c>
      <c r="B1151" t="str">
        <f>"E000335026"</f>
        <v>E000335026</v>
      </c>
      <c r="C1151" t="str">
        <f>"בוצעה"</f>
        <v>בוצעה</v>
      </c>
      <c r="E1151" s="3">
        <v>44273</v>
      </c>
      <c r="F1151" s="3">
        <v>44517</v>
      </c>
      <c r="G1151" t="str">
        <f>"700065"</f>
        <v>700065</v>
      </c>
      <c r="H1151" t="str">
        <f>"אלתא מערכות בע""מ"</f>
        <v>אלתא מערכות בע"מ</v>
      </c>
      <c r="I1151" t="str">
        <f>"רחמים זרוק"</f>
        <v>רחמים זרוק</v>
      </c>
      <c r="J1151" t="str">
        <f>"OP-AR02595"</f>
        <v>OP-AR02595</v>
      </c>
      <c r="K1151" s="1" t="str">
        <f>"תיקון רתמה 1001U544-001"</f>
        <v>תיקון רתמה 1001U544-001</v>
      </c>
      <c r="L1151">
        <v>1</v>
      </c>
      <c r="M1151" t="str">
        <f>"PR21000653"</f>
        <v>PR21000653</v>
      </c>
      <c r="N1151" t="str">
        <f>"תיקון"</f>
        <v>תיקון</v>
      </c>
      <c r="O1151">
        <v>773</v>
      </c>
      <c r="P1151" t="str">
        <f>"$"</f>
        <v>$</v>
      </c>
      <c r="Q1151" t="str">
        <f>"117"</f>
        <v>117</v>
      </c>
      <c r="R1151" t="str">
        <f>"רתמות"</f>
        <v>רתמות</v>
      </c>
      <c r="S1151" t="str">
        <f>"040"</f>
        <v>040</v>
      </c>
      <c r="T1151" t="str">
        <f>"עמר ליגל"</f>
        <v>עמר ליגל</v>
      </c>
      <c r="U1151">
        <v>0</v>
      </c>
      <c r="V1151">
        <v>0</v>
      </c>
      <c r="W1151">
        <v>773</v>
      </c>
      <c r="X1151">
        <v>773</v>
      </c>
      <c r="Z1151" t="str">
        <f>"Y"</f>
        <v>Y</v>
      </c>
      <c r="AA1151">
        <v>0</v>
      </c>
      <c r="AC1151">
        <v>0</v>
      </c>
      <c r="AE1151">
        <v>0</v>
      </c>
      <c r="AF1151">
        <v>0</v>
      </c>
      <c r="AG1151" s="2">
        <v>2563.27</v>
      </c>
      <c r="AH1151">
        <v>0</v>
      </c>
      <c r="AI1151" s="2">
        <v>2563.27</v>
      </c>
      <c r="AJ1151">
        <v>773</v>
      </c>
      <c r="AK1151">
        <v>773</v>
      </c>
      <c r="AL1151" t="str">
        <f>"$"</f>
        <v>$</v>
      </c>
    </row>
    <row r="1152" spans="1:38" x14ac:dyDescent="0.3">
      <c r="A1152" t="str">
        <f>"SO21000133"</f>
        <v>SO21000133</v>
      </c>
      <c r="B1152" t="str">
        <f>"E000335026"</f>
        <v>E000335026</v>
      </c>
      <c r="C1152" t="str">
        <f>"בוצעה"</f>
        <v>בוצעה</v>
      </c>
      <c r="E1152" s="3">
        <v>44273</v>
      </c>
      <c r="F1152" s="3">
        <v>44510</v>
      </c>
      <c r="G1152" t="str">
        <f>"700065"</f>
        <v>700065</v>
      </c>
      <c r="H1152" t="str">
        <f>"אלתא מערכות בע""מ"</f>
        <v>אלתא מערכות בע"מ</v>
      </c>
      <c r="I1152" t="str">
        <f>"רחמים זרוק"</f>
        <v>רחמים זרוק</v>
      </c>
      <c r="J1152" t="str">
        <f>"PA1001483"</f>
        <v>PA1001483</v>
      </c>
      <c r="K1152" s="1" t="str">
        <f>"‎MS17344R24C10PW‏ CIRC PLUG STRAIGHT 7 PIN 8# 24"</f>
        <v>‎MS17344R24C10PW‏ CIRC PLUG STRAIGHT 7 PIN 8# 24</v>
      </c>
      <c r="L1152">
        <v>2</v>
      </c>
      <c r="O1152">
        <v>0</v>
      </c>
      <c r="P1152" t="str">
        <f>"$"</f>
        <v>$</v>
      </c>
      <c r="Q1152" t="str">
        <f>"117"</f>
        <v>117</v>
      </c>
      <c r="R1152" t="str">
        <f>"רתמות"</f>
        <v>רתמות</v>
      </c>
      <c r="S1152" t="str">
        <f>"040"</f>
        <v>040</v>
      </c>
      <c r="T1152" t="str">
        <f>"עמר ליגל"</f>
        <v>עמר ליגל</v>
      </c>
      <c r="U1152">
        <v>0</v>
      </c>
      <c r="V1152">
        <v>0</v>
      </c>
      <c r="W1152">
        <v>0</v>
      </c>
      <c r="X1152">
        <v>0</v>
      </c>
      <c r="Z1152" t="str">
        <f>"Y"</f>
        <v>Y</v>
      </c>
      <c r="AA1152">
        <v>0</v>
      </c>
      <c r="AC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 t="str">
        <f>"$"</f>
        <v>$</v>
      </c>
    </row>
    <row r="1153" spans="1:38" x14ac:dyDescent="0.3">
      <c r="A1153" t="str">
        <f>"SO21000145"</f>
        <v>SO21000145</v>
      </c>
      <c r="B1153" t="str">
        <f>"E000336214"</f>
        <v>E000336214</v>
      </c>
      <c r="C1153" t="str">
        <f>"בוצעה"</f>
        <v>בוצעה</v>
      </c>
      <c r="E1153" s="3">
        <v>44290</v>
      </c>
      <c r="F1153" s="3">
        <v>44348</v>
      </c>
      <c r="G1153" t="str">
        <f>"700065"</f>
        <v>700065</v>
      </c>
      <c r="H1153" t="str">
        <f>"אלתא מערכות בע""מ"</f>
        <v>אלתא מערכות בע"מ</v>
      </c>
      <c r="I1153" t="str">
        <f>"ערן שלו"</f>
        <v>ערן שלו</v>
      </c>
      <c r="J1153" t="str">
        <f>"cust000826"</f>
        <v>cust000826</v>
      </c>
      <c r="K1153" s="1" t="str">
        <f>"לוח AUX BOX"</f>
        <v>לוח AUX BOX</v>
      </c>
      <c r="L1153">
        <v>1</v>
      </c>
      <c r="O1153">
        <v>0</v>
      </c>
      <c r="P1153" t="str">
        <f>"$"</f>
        <v>$</v>
      </c>
      <c r="Q1153" t="str">
        <f>"118"</f>
        <v>118</v>
      </c>
      <c r="R1153" t="str">
        <f>"מערכות"</f>
        <v>מערכות</v>
      </c>
      <c r="S1153" t="str">
        <f>"034"</f>
        <v>034</v>
      </c>
      <c r="T1153" t="str">
        <f>"עמר ליגל"</f>
        <v>עמר ליגל</v>
      </c>
      <c r="U1153">
        <v>0</v>
      </c>
      <c r="V1153">
        <v>0</v>
      </c>
      <c r="W1153">
        <v>0</v>
      </c>
      <c r="X1153">
        <v>0</v>
      </c>
      <c r="Z1153" t="str">
        <f>"Y"</f>
        <v>Y</v>
      </c>
      <c r="AA1153">
        <v>0</v>
      </c>
      <c r="AC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 t="str">
        <f>"$"</f>
        <v>$</v>
      </c>
    </row>
    <row r="1154" spans="1:38" x14ac:dyDescent="0.3">
      <c r="A1154" t="str">
        <f>"SO21000145"</f>
        <v>SO21000145</v>
      </c>
      <c r="B1154" t="str">
        <f>"E000336214"</f>
        <v>E000336214</v>
      </c>
      <c r="C1154" t="str">
        <f>"בוצעה"</f>
        <v>בוצעה</v>
      </c>
      <c r="E1154" s="3">
        <v>44290</v>
      </c>
      <c r="F1154" s="3">
        <v>44348</v>
      </c>
      <c r="G1154" t="str">
        <f>"700065"</f>
        <v>700065</v>
      </c>
      <c r="H1154" t="str">
        <f>"אלתא מערכות בע""מ"</f>
        <v>אלתא מערכות בע"מ</v>
      </c>
      <c r="I1154" t="str">
        <f>"ערן שלו"</f>
        <v>ערן שלו</v>
      </c>
      <c r="J1154" t="str">
        <f>"cust000826"</f>
        <v>cust000826</v>
      </c>
      <c r="K1154" s="1" t="str">
        <f>"לוח AUX BOX"</f>
        <v>לוח AUX BOX</v>
      </c>
      <c r="L1154">
        <v>1</v>
      </c>
      <c r="O1154">
        <v>0</v>
      </c>
      <c r="P1154" t="str">
        <f>"$"</f>
        <v>$</v>
      </c>
      <c r="Q1154" t="str">
        <f>"118"</f>
        <v>118</v>
      </c>
      <c r="R1154" t="str">
        <f>"מערכות"</f>
        <v>מערכות</v>
      </c>
      <c r="S1154" t="str">
        <f>"034"</f>
        <v>034</v>
      </c>
      <c r="T1154" t="str">
        <f>"עמר ליגל"</f>
        <v>עמר ליגל</v>
      </c>
      <c r="U1154">
        <v>0</v>
      </c>
      <c r="V1154">
        <v>0</v>
      </c>
      <c r="W1154">
        <v>0</v>
      </c>
      <c r="X1154">
        <v>0</v>
      </c>
      <c r="Z1154" t="str">
        <f>"Y"</f>
        <v>Y</v>
      </c>
      <c r="AA1154">
        <v>0</v>
      </c>
      <c r="AC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 t="str">
        <f>"$"</f>
        <v>$</v>
      </c>
    </row>
    <row r="1155" spans="1:38" x14ac:dyDescent="0.3">
      <c r="A1155" t="str">
        <f>"SO21000145"</f>
        <v>SO21000145</v>
      </c>
      <c r="B1155" t="str">
        <f>"E000336214"</f>
        <v>E000336214</v>
      </c>
      <c r="C1155" t="str">
        <f>"בוצעה"</f>
        <v>בוצעה</v>
      </c>
      <c r="E1155" s="3">
        <v>44290</v>
      </c>
      <c r="F1155" s="3">
        <v>44348</v>
      </c>
      <c r="G1155" t="str">
        <f>"700065"</f>
        <v>700065</v>
      </c>
      <c r="H1155" t="str">
        <f>"אלתא מערכות בע""מ"</f>
        <v>אלתא מערכות בע"מ</v>
      </c>
      <c r="I1155" t="str">
        <f>"ערן שלו"</f>
        <v>ערן שלו</v>
      </c>
      <c r="J1155" t="str">
        <f>"cust000826"</f>
        <v>cust000826</v>
      </c>
      <c r="K1155" s="1" t="str">
        <f>"לוח AUX BOX"</f>
        <v>לוח AUX BOX</v>
      </c>
      <c r="L1155">
        <v>1</v>
      </c>
      <c r="O1155">
        <v>0</v>
      </c>
      <c r="P1155" t="str">
        <f>"$"</f>
        <v>$</v>
      </c>
      <c r="Q1155" t="str">
        <f>"118"</f>
        <v>118</v>
      </c>
      <c r="R1155" t="str">
        <f>"מערכות"</f>
        <v>מערכות</v>
      </c>
      <c r="S1155" t="str">
        <f>"034"</f>
        <v>034</v>
      </c>
      <c r="T1155" t="str">
        <f>"עמר ליגל"</f>
        <v>עמר ליגל</v>
      </c>
      <c r="U1155">
        <v>0</v>
      </c>
      <c r="V1155">
        <v>0</v>
      </c>
      <c r="W1155">
        <v>0</v>
      </c>
      <c r="X1155">
        <v>0</v>
      </c>
      <c r="Z1155" t="str">
        <f>"Y"</f>
        <v>Y</v>
      </c>
      <c r="AA1155">
        <v>0</v>
      </c>
      <c r="AC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 t="str">
        <f>"$"</f>
        <v>$</v>
      </c>
    </row>
    <row r="1156" spans="1:38" x14ac:dyDescent="0.3">
      <c r="A1156" t="str">
        <f>"SO21000145"</f>
        <v>SO21000145</v>
      </c>
      <c r="B1156" t="str">
        <f>"E000336214"</f>
        <v>E000336214</v>
      </c>
      <c r="C1156" t="str">
        <f>"בוצעה"</f>
        <v>בוצעה</v>
      </c>
      <c r="E1156" s="3">
        <v>44290</v>
      </c>
      <c r="F1156" s="3">
        <v>44348</v>
      </c>
      <c r="G1156" t="str">
        <f>"700065"</f>
        <v>700065</v>
      </c>
      <c r="H1156" t="str">
        <f>"אלתא מערכות בע""מ"</f>
        <v>אלתא מערכות בע"מ</v>
      </c>
      <c r="I1156" t="str">
        <f>"ערן שלו"</f>
        <v>ערן שלו</v>
      </c>
      <c r="J1156" t="str">
        <f>"cust000826"</f>
        <v>cust000826</v>
      </c>
      <c r="K1156" s="1" t="str">
        <f>"לוח AUX BOX"</f>
        <v>לוח AUX BOX</v>
      </c>
      <c r="L1156">
        <v>1</v>
      </c>
      <c r="O1156">
        <v>0</v>
      </c>
      <c r="P1156" t="str">
        <f>"$"</f>
        <v>$</v>
      </c>
      <c r="Q1156" t="str">
        <f>"118"</f>
        <v>118</v>
      </c>
      <c r="R1156" t="str">
        <f>"מערכות"</f>
        <v>מערכות</v>
      </c>
      <c r="S1156" t="str">
        <f>"034"</f>
        <v>034</v>
      </c>
      <c r="T1156" t="str">
        <f>"עמר ליגל"</f>
        <v>עמר ליגל</v>
      </c>
      <c r="U1156">
        <v>0</v>
      </c>
      <c r="V1156">
        <v>0</v>
      </c>
      <c r="W1156">
        <v>0</v>
      </c>
      <c r="X1156">
        <v>0</v>
      </c>
      <c r="Z1156" t="str">
        <f>"Y"</f>
        <v>Y</v>
      </c>
      <c r="AA1156">
        <v>0</v>
      </c>
      <c r="AC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 t="str">
        <f>"$"</f>
        <v>$</v>
      </c>
    </row>
    <row r="1157" spans="1:38" x14ac:dyDescent="0.3">
      <c r="A1157" t="str">
        <f>"SO21000145"</f>
        <v>SO21000145</v>
      </c>
      <c r="B1157" t="str">
        <f>"E000336214"</f>
        <v>E000336214</v>
      </c>
      <c r="C1157" t="str">
        <f>"בוצעה"</f>
        <v>בוצעה</v>
      </c>
      <c r="E1157" s="3">
        <v>44290</v>
      </c>
      <c r="F1157" s="3">
        <v>44348</v>
      </c>
      <c r="G1157" t="str">
        <f>"700065"</f>
        <v>700065</v>
      </c>
      <c r="H1157" t="str">
        <f>"אלתא מערכות בע""מ"</f>
        <v>אלתא מערכות בע"מ</v>
      </c>
      <c r="I1157" t="str">
        <f>"ערן שלו"</f>
        <v>ערן שלו</v>
      </c>
      <c r="J1157" t="str">
        <f>"cust000826"</f>
        <v>cust000826</v>
      </c>
      <c r="K1157" s="1" t="str">
        <f>"לוח AUX BOX"</f>
        <v>לוח AUX BOX</v>
      </c>
      <c r="L1157">
        <v>1</v>
      </c>
      <c r="O1157">
        <v>0</v>
      </c>
      <c r="P1157" t="str">
        <f>"$"</f>
        <v>$</v>
      </c>
      <c r="Q1157" t="str">
        <f>"118"</f>
        <v>118</v>
      </c>
      <c r="R1157" t="str">
        <f>"מערכות"</f>
        <v>מערכות</v>
      </c>
      <c r="S1157" t="str">
        <f>"034"</f>
        <v>034</v>
      </c>
      <c r="T1157" t="str">
        <f>"עמר ליגל"</f>
        <v>עמר ליגל</v>
      </c>
      <c r="U1157">
        <v>0</v>
      </c>
      <c r="V1157">
        <v>0</v>
      </c>
      <c r="W1157">
        <v>0</v>
      </c>
      <c r="X1157">
        <v>0</v>
      </c>
      <c r="Z1157" t="str">
        <f>"Y"</f>
        <v>Y</v>
      </c>
      <c r="AA1157">
        <v>0</v>
      </c>
      <c r="AC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 t="str">
        <f>"$"</f>
        <v>$</v>
      </c>
    </row>
    <row r="1158" spans="1:38" x14ac:dyDescent="0.3">
      <c r="A1158" t="str">
        <f>"SO21000146"</f>
        <v>SO21000146</v>
      </c>
      <c r="B1158" t="str">
        <f>".פנימית."</f>
        <v>.פנימית.</v>
      </c>
      <c r="C1158" t="str">
        <f>"בוצעה"</f>
        <v>בוצעה</v>
      </c>
      <c r="E1158" s="3">
        <v>44290</v>
      </c>
      <c r="F1158" s="3">
        <v>44296</v>
      </c>
      <c r="G1158" t="str">
        <f>"700065"</f>
        <v>700065</v>
      </c>
      <c r="H1158" t="str">
        <f>"אלתא מערכות בע""מ"</f>
        <v>אלתא מערכות בע"מ</v>
      </c>
      <c r="I1158" t="str">
        <f>"רחמים זרוק"</f>
        <v>רחמים זרוק</v>
      </c>
      <c r="J1158" t="str">
        <f>"cust000447"</f>
        <v>cust000447</v>
      </c>
      <c r="K1158" s="1" t="str">
        <f>"1035E002-001 אלתא"</f>
        <v>1035E002-001 אלתא</v>
      </c>
      <c r="L1158">
        <v>1</v>
      </c>
      <c r="M1158" t="str">
        <f>"PR20000904"</f>
        <v>PR20000904</v>
      </c>
      <c r="N1158" t="str">
        <f>"הארכת כבל טל שמיים"</f>
        <v>הארכת כבל טל שמיים</v>
      </c>
      <c r="O1158">
        <v>0</v>
      </c>
      <c r="P1158" t="str">
        <f>"$"</f>
        <v>$</v>
      </c>
      <c r="Q1158" t="str">
        <f>"117"</f>
        <v>117</v>
      </c>
      <c r="R1158" t="str">
        <f>"רתמות"</f>
        <v>רתמות</v>
      </c>
      <c r="S1158" t="str">
        <f>"040"</f>
        <v>040</v>
      </c>
      <c r="T1158" t="str">
        <f>"עמר ליגל"</f>
        <v>עמר ליגל</v>
      </c>
      <c r="U1158">
        <v>0</v>
      </c>
      <c r="V1158">
        <v>0</v>
      </c>
      <c r="W1158">
        <v>0</v>
      </c>
      <c r="X1158">
        <v>0</v>
      </c>
      <c r="Z1158" t="str">
        <f>"Y"</f>
        <v>Y</v>
      </c>
      <c r="AA1158">
        <v>0</v>
      </c>
      <c r="AC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 t="str">
        <f>"$"</f>
        <v>$</v>
      </c>
    </row>
    <row r="1159" spans="1:38" x14ac:dyDescent="0.3">
      <c r="A1159" t="str">
        <f>"SO21000157"</f>
        <v>SO21000157</v>
      </c>
      <c r="B1159" t="str">
        <f>"E000336252"</f>
        <v>E000336252</v>
      </c>
      <c r="C1159" t="str">
        <f>"בוצעה"</f>
        <v>בוצעה</v>
      </c>
      <c r="E1159" s="3">
        <v>44297</v>
      </c>
      <c r="F1159" s="3">
        <v>44352</v>
      </c>
      <c r="G1159" t="str">
        <f>"700065"</f>
        <v>700065</v>
      </c>
      <c r="H1159" t="str">
        <f>"אלתא מערכות בע""מ"</f>
        <v>אלתא מערכות בע"מ</v>
      </c>
      <c r="I1159" t="str">
        <f>"רחמים זרוק"</f>
        <v>רחמים זרוק</v>
      </c>
      <c r="J1159" t="str">
        <f>"OP-AR02413"</f>
        <v>OP-AR02413</v>
      </c>
      <c r="K1159" s="1" t="str">
        <f>"1038C395-001   ETHERNET CABLE WV395 - COMPUTER RACK TO"</f>
        <v>1038C395-001   ETHERNET CABLE WV395 - COMPUTER RACK TO</v>
      </c>
      <c r="L1159">
        <v>8</v>
      </c>
      <c r="M1159" t="str">
        <f>"PR21000240"</f>
        <v>PR21000240</v>
      </c>
      <c r="N1159" t="str">
        <f>"T CABLE WV395 - COMPUTER RACK TO"</f>
        <v>T CABLE WV395 - COMPUTER RACK TO</v>
      </c>
      <c r="O1159">
        <v>360.05</v>
      </c>
      <c r="P1159" t="str">
        <f>"$"</f>
        <v>$</v>
      </c>
      <c r="Q1159" t="str">
        <f>"117"</f>
        <v>117</v>
      </c>
      <c r="R1159" t="str">
        <f>"רתמות"</f>
        <v>רתמות</v>
      </c>
      <c r="S1159" t="str">
        <f>"040"</f>
        <v>040</v>
      </c>
      <c r="T1159" t="str">
        <f>"עמר ליגל"</f>
        <v>עמר ליגל</v>
      </c>
      <c r="U1159">
        <v>0</v>
      </c>
      <c r="V1159">
        <v>0</v>
      </c>
      <c r="W1159">
        <v>360.05</v>
      </c>
      <c r="X1159" s="2">
        <v>2880.4</v>
      </c>
      <c r="Z1159" t="str">
        <f>"Y"</f>
        <v>Y</v>
      </c>
      <c r="AA1159">
        <v>0</v>
      </c>
      <c r="AC1159">
        <v>0</v>
      </c>
      <c r="AE1159">
        <v>0</v>
      </c>
      <c r="AF1159">
        <v>0</v>
      </c>
      <c r="AG1159" s="2">
        <v>1182.4000000000001</v>
      </c>
      <c r="AH1159">
        <v>0</v>
      </c>
      <c r="AI1159" s="2">
        <v>9459.23</v>
      </c>
      <c r="AJ1159" s="2">
        <v>2880.4</v>
      </c>
      <c r="AK1159" s="2">
        <v>2880.4</v>
      </c>
      <c r="AL1159" t="str">
        <f>"$"</f>
        <v>$</v>
      </c>
    </row>
    <row r="1160" spans="1:38" x14ac:dyDescent="0.3">
      <c r="A1160" t="str">
        <f>"SO21000157"</f>
        <v>SO21000157</v>
      </c>
      <c r="B1160" t="str">
        <f>"E000336252"</f>
        <v>E000336252</v>
      </c>
      <c r="C1160" t="str">
        <f>"בוצעה"</f>
        <v>בוצעה</v>
      </c>
      <c r="E1160" s="3">
        <v>44297</v>
      </c>
      <c r="F1160" s="3">
        <v>44352</v>
      </c>
      <c r="G1160" t="str">
        <f>"700065"</f>
        <v>700065</v>
      </c>
      <c r="H1160" t="str">
        <f>"אלתא מערכות בע""מ"</f>
        <v>אלתא מערכות בע"מ</v>
      </c>
      <c r="I1160" t="str">
        <f>"רחמים זרוק"</f>
        <v>רחמים זרוק</v>
      </c>
      <c r="J1160" t="str">
        <f>"OP-AR02414"</f>
        <v>OP-AR02414</v>
      </c>
      <c r="K1160" s="1" t="str">
        <f>"1038C397-001   ETHERNET CABLE WV397 - COMPUTER RACK TO"</f>
        <v>1038C397-001   ETHERNET CABLE WV397 - COMPUTER RACK TO</v>
      </c>
      <c r="L1160">
        <v>8</v>
      </c>
      <c r="M1160" t="str">
        <f>"PR21000240"</f>
        <v>PR21000240</v>
      </c>
      <c r="N1160" t="str">
        <f>"T CABLE WV395 - COMPUTER RACK TO"</f>
        <v>T CABLE WV395 - COMPUTER RACK TO</v>
      </c>
      <c r="O1160">
        <v>360.05</v>
      </c>
      <c r="P1160" t="str">
        <f>"$"</f>
        <v>$</v>
      </c>
      <c r="Q1160" t="str">
        <f>"117"</f>
        <v>117</v>
      </c>
      <c r="R1160" t="str">
        <f>"רתמות"</f>
        <v>רתמות</v>
      </c>
      <c r="S1160" t="str">
        <f>"040"</f>
        <v>040</v>
      </c>
      <c r="T1160" t="str">
        <f>"עמר ליגל"</f>
        <v>עמר ליגל</v>
      </c>
      <c r="U1160">
        <v>0</v>
      </c>
      <c r="V1160">
        <v>0</v>
      </c>
      <c r="W1160">
        <v>360.05</v>
      </c>
      <c r="X1160" s="2">
        <v>2880.4</v>
      </c>
      <c r="Z1160" t="str">
        <f>"Y"</f>
        <v>Y</v>
      </c>
      <c r="AA1160">
        <v>0</v>
      </c>
      <c r="AC1160">
        <v>0</v>
      </c>
      <c r="AE1160">
        <v>0</v>
      </c>
      <c r="AF1160">
        <v>0</v>
      </c>
      <c r="AG1160" s="2">
        <v>1182.4000000000001</v>
      </c>
      <c r="AH1160">
        <v>0</v>
      </c>
      <c r="AI1160" s="2">
        <v>9459.23</v>
      </c>
      <c r="AJ1160" s="2">
        <v>2880.4</v>
      </c>
      <c r="AK1160" s="2">
        <v>2880.4</v>
      </c>
      <c r="AL1160" t="str">
        <f>"$"</f>
        <v>$</v>
      </c>
    </row>
    <row r="1161" spans="1:38" x14ac:dyDescent="0.3">
      <c r="A1161" t="str">
        <f>"SO21000157"</f>
        <v>SO21000157</v>
      </c>
      <c r="B1161" t="str">
        <f>"E000336252"</f>
        <v>E000336252</v>
      </c>
      <c r="C1161" t="str">
        <f>"בוצעה"</f>
        <v>בוצעה</v>
      </c>
      <c r="E1161" s="3">
        <v>44297</v>
      </c>
      <c r="F1161" s="3">
        <v>44352</v>
      </c>
      <c r="G1161" t="str">
        <f>"700065"</f>
        <v>700065</v>
      </c>
      <c r="H1161" t="str">
        <f>"אלתא מערכות בע""מ"</f>
        <v>אלתא מערכות בע"מ</v>
      </c>
      <c r="I1161" t="str">
        <f>"רחמים זרוק"</f>
        <v>רחמים זרוק</v>
      </c>
      <c r="J1161" t="str">
        <f>"OP-AR02415"</f>
        <v>OP-AR02415</v>
      </c>
      <c r="K1161" s="1" t="str">
        <f>"1038C398-001   ETHERNET CABLE WV398 - COMPUTER RACK TO"</f>
        <v>1038C398-001   ETHERNET CABLE WV398 - COMPUTER RACK TO</v>
      </c>
      <c r="L1161">
        <v>6</v>
      </c>
      <c r="M1161" t="str">
        <f>"PR21000240"</f>
        <v>PR21000240</v>
      </c>
      <c r="N1161" t="str">
        <f>"T CABLE WV395 - COMPUTER RACK TO"</f>
        <v>T CABLE WV395 - COMPUTER RACK TO</v>
      </c>
      <c r="O1161">
        <v>259.8</v>
      </c>
      <c r="P1161" t="str">
        <f>"$"</f>
        <v>$</v>
      </c>
      <c r="Q1161" t="str">
        <f>"117"</f>
        <v>117</v>
      </c>
      <c r="R1161" t="str">
        <f>"רתמות"</f>
        <v>רתמות</v>
      </c>
      <c r="S1161" t="str">
        <f>"040"</f>
        <v>040</v>
      </c>
      <c r="T1161" t="str">
        <f>"עמר ליגל"</f>
        <v>עמר ליגל</v>
      </c>
      <c r="U1161">
        <v>0</v>
      </c>
      <c r="V1161">
        <v>0</v>
      </c>
      <c r="W1161">
        <v>259.8</v>
      </c>
      <c r="X1161" s="2">
        <v>1558.8</v>
      </c>
      <c r="Z1161" t="str">
        <f>"Y"</f>
        <v>Y</v>
      </c>
      <c r="AA1161">
        <v>0</v>
      </c>
      <c r="AC1161">
        <v>0</v>
      </c>
      <c r="AE1161">
        <v>0</v>
      </c>
      <c r="AF1161">
        <v>0</v>
      </c>
      <c r="AG1161">
        <v>853.18</v>
      </c>
      <c r="AH1161">
        <v>0</v>
      </c>
      <c r="AI1161" s="2">
        <v>5119.1000000000004</v>
      </c>
      <c r="AJ1161" s="2">
        <v>1558.8</v>
      </c>
      <c r="AK1161" s="2">
        <v>1558.8</v>
      </c>
      <c r="AL1161" t="str">
        <f>"$"</f>
        <v>$</v>
      </c>
    </row>
    <row r="1162" spans="1:38" x14ac:dyDescent="0.3">
      <c r="A1162" t="str">
        <f>"SO21000168"</f>
        <v>SO21000168</v>
      </c>
      <c r="B1162" t="str">
        <f>"E000335511"</f>
        <v>E000335511</v>
      </c>
      <c r="C1162" t="str">
        <f>"בוצעה"</f>
        <v>בוצעה</v>
      </c>
      <c r="E1162" s="3">
        <v>44299</v>
      </c>
      <c r="F1162" s="3">
        <v>44453</v>
      </c>
      <c r="G1162" t="str">
        <f>"700065"</f>
        <v>700065</v>
      </c>
      <c r="H1162" t="str">
        <f>"אלתא מערכות בע""מ"</f>
        <v>אלתא מערכות בע"מ</v>
      </c>
      <c r="I1162" t="str">
        <f>"רחמים זרוק"</f>
        <v>רחמים זרוק</v>
      </c>
      <c r="J1162" t="str">
        <f>"cust000825"</f>
        <v>cust000825</v>
      </c>
      <c r="K1162" s="1" t="str">
        <f>"1021L536-001 אלתא"</f>
        <v>1021L536-001 אלתא</v>
      </c>
      <c r="L1162">
        <v>1</v>
      </c>
      <c r="M1162" t="str">
        <f>"PR20000499"</f>
        <v>PR20000499</v>
      </c>
      <c r="N1162" t="str">
        <f>"CABLE ASSY 1W"</f>
        <v>CABLE ASSY 1W</v>
      </c>
      <c r="O1162">
        <v>0</v>
      </c>
      <c r="P1162" t="str">
        <f>"$"</f>
        <v>$</v>
      </c>
      <c r="Q1162" t="str">
        <f>"117"</f>
        <v>117</v>
      </c>
      <c r="R1162" t="str">
        <f>"רתמות"</f>
        <v>רתמות</v>
      </c>
      <c r="S1162" t="str">
        <f>"040"</f>
        <v>040</v>
      </c>
      <c r="T1162" t="str">
        <f>"עמר ליגל"</f>
        <v>עמר ליגל</v>
      </c>
      <c r="U1162">
        <v>0</v>
      </c>
      <c r="V1162">
        <v>0</v>
      </c>
      <c r="W1162">
        <v>0</v>
      </c>
      <c r="X1162">
        <v>0</v>
      </c>
      <c r="Z1162" t="str">
        <f>"Y"</f>
        <v>Y</v>
      </c>
      <c r="AA1162">
        <v>0</v>
      </c>
      <c r="AC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 t="str">
        <f>"$"</f>
        <v>$</v>
      </c>
    </row>
    <row r="1163" spans="1:38" x14ac:dyDescent="0.3">
      <c r="A1163" t="str">
        <f>"SO21000170"</f>
        <v>SO21000170</v>
      </c>
      <c r="B1163" t="str">
        <f>"E000336812"</f>
        <v>E000336812</v>
      </c>
      <c r="C1163" t="str">
        <f>"בוצעה"</f>
        <v>בוצעה</v>
      </c>
      <c r="E1163" s="3">
        <v>44300</v>
      </c>
      <c r="F1163" s="3">
        <v>44357</v>
      </c>
      <c r="G1163" t="str">
        <f>"700065"</f>
        <v>700065</v>
      </c>
      <c r="H1163" t="str">
        <f>"אלתא מערכות בע""מ"</f>
        <v>אלתא מערכות בע"מ</v>
      </c>
      <c r="I1163" t="str">
        <f>"ערן שלו"</f>
        <v>ערן שלו</v>
      </c>
      <c r="J1163" t="str">
        <f>"cust000886"</f>
        <v>cust000886</v>
      </c>
      <c r="K1163" s="1" t="str">
        <f>"שנאי 200KVA ספינות אלתא"</f>
        <v>שנאי 200KVA ספינות אלתא</v>
      </c>
      <c r="L1163">
        <v>0</v>
      </c>
      <c r="M1163" t="str">
        <f>"PR19000111"</f>
        <v>PR19000111</v>
      </c>
      <c r="N1163" t="str">
        <f>"10 שנאים ITU 200KVA"</f>
        <v>10 שנאים ITU 200KVA</v>
      </c>
      <c r="O1163">
        <v>0</v>
      </c>
      <c r="P1163" t="str">
        <f>"$"</f>
        <v>$</v>
      </c>
      <c r="Q1163" t="str">
        <f>"118"</f>
        <v>118</v>
      </c>
      <c r="R1163" t="str">
        <f>"מערכות"</f>
        <v>מערכות</v>
      </c>
      <c r="S1163" t="str">
        <f>"034"</f>
        <v>034</v>
      </c>
      <c r="T1163" t="str">
        <f>"עמר ליגל"</f>
        <v>עמר ליגל</v>
      </c>
      <c r="U1163">
        <v>0</v>
      </c>
      <c r="V1163">
        <v>0</v>
      </c>
      <c r="W1163">
        <v>0</v>
      </c>
      <c r="X1163">
        <v>0</v>
      </c>
      <c r="Z1163" t="str">
        <f>"Y"</f>
        <v>Y</v>
      </c>
      <c r="AA1163">
        <v>0</v>
      </c>
      <c r="AC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 t="str">
        <f>"$"</f>
        <v>$</v>
      </c>
    </row>
    <row r="1164" spans="1:38" x14ac:dyDescent="0.3">
      <c r="A1164" t="str">
        <f>"SO21000170"</f>
        <v>SO21000170</v>
      </c>
      <c r="B1164" t="str">
        <f>"E000336812"</f>
        <v>E000336812</v>
      </c>
      <c r="C1164" t="str">
        <f>"בוצעה"</f>
        <v>בוצעה</v>
      </c>
      <c r="E1164" s="3">
        <v>44300</v>
      </c>
      <c r="F1164" s="3">
        <v>44357</v>
      </c>
      <c r="G1164" t="str">
        <f>"700065"</f>
        <v>700065</v>
      </c>
      <c r="H1164" t="str">
        <f>"אלתא מערכות בע""מ"</f>
        <v>אלתא מערכות בע"מ</v>
      </c>
      <c r="I1164" t="str">
        <f>"ערן שלו"</f>
        <v>ערן שלו</v>
      </c>
      <c r="J1164" t="str">
        <f>"cust000886"</f>
        <v>cust000886</v>
      </c>
      <c r="K1164" s="1" t="str">
        <f>"שנאי 200KVA ספינות אלתא"</f>
        <v>שנאי 200KVA ספינות אלתא</v>
      </c>
      <c r="L1164">
        <v>0</v>
      </c>
      <c r="M1164" t="str">
        <f>"PR19000111"</f>
        <v>PR19000111</v>
      </c>
      <c r="N1164" t="str">
        <f>"10 שנאים ITU 200KVA"</f>
        <v>10 שנאים ITU 200KVA</v>
      </c>
      <c r="O1164">
        <v>0</v>
      </c>
      <c r="P1164" t="str">
        <f>"$"</f>
        <v>$</v>
      </c>
      <c r="Q1164" t="str">
        <f>"118"</f>
        <v>118</v>
      </c>
      <c r="R1164" t="str">
        <f>"מערכות"</f>
        <v>מערכות</v>
      </c>
      <c r="S1164" t="str">
        <f>"034"</f>
        <v>034</v>
      </c>
      <c r="T1164" t="str">
        <f>"עמר ליגל"</f>
        <v>עמר ליגל</v>
      </c>
      <c r="U1164">
        <v>0</v>
      </c>
      <c r="V1164">
        <v>0</v>
      </c>
      <c r="W1164">
        <v>0</v>
      </c>
      <c r="X1164">
        <v>0</v>
      </c>
      <c r="Z1164" t="str">
        <f>"Y"</f>
        <v>Y</v>
      </c>
      <c r="AA1164">
        <v>0</v>
      </c>
      <c r="AC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 t="str">
        <f>"$"</f>
        <v>$</v>
      </c>
    </row>
    <row r="1165" spans="1:38" x14ac:dyDescent="0.3">
      <c r="A1165" t="str">
        <f>"SO21000170"</f>
        <v>SO21000170</v>
      </c>
      <c r="B1165" t="str">
        <f>"E000336812"</f>
        <v>E000336812</v>
      </c>
      <c r="C1165" t="str">
        <f>"בוצעה"</f>
        <v>בוצעה</v>
      </c>
      <c r="E1165" s="3">
        <v>44300</v>
      </c>
      <c r="F1165" s="3">
        <v>44357</v>
      </c>
      <c r="G1165" t="str">
        <f>"700065"</f>
        <v>700065</v>
      </c>
      <c r="H1165" t="str">
        <f>"אלתא מערכות בע""מ"</f>
        <v>אלתא מערכות בע"מ</v>
      </c>
      <c r="I1165" t="str">
        <f>"ערן שלו"</f>
        <v>ערן שלו</v>
      </c>
      <c r="J1165" t="str">
        <f>"cust000886"</f>
        <v>cust000886</v>
      </c>
      <c r="K1165" s="1" t="str">
        <f>"שנאי 200KVA ספינות אלתא"</f>
        <v>שנאי 200KVA ספינות אלתא</v>
      </c>
      <c r="L1165">
        <v>1</v>
      </c>
      <c r="M1165" t="str">
        <f>"PR19000111"</f>
        <v>PR19000111</v>
      </c>
      <c r="N1165" t="str">
        <f>"10 שנאים ITU 200KVA"</f>
        <v>10 שנאים ITU 200KVA</v>
      </c>
      <c r="O1165">
        <v>0</v>
      </c>
      <c r="P1165" t="str">
        <f>"$"</f>
        <v>$</v>
      </c>
      <c r="Q1165" t="str">
        <f>"118"</f>
        <v>118</v>
      </c>
      <c r="R1165" t="str">
        <f>"מערכות"</f>
        <v>מערכות</v>
      </c>
      <c r="S1165" t="str">
        <f>"034"</f>
        <v>034</v>
      </c>
      <c r="T1165" t="str">
        <f>"עמר ליגל"</f>
        <v>עמר ליגל</v>
      </c>
      <c r="U1165">
        <v>0</v>
      </c>
      <c r="V1165">
        <v>0</v>
      </c>
      <c r="W1165">
        <v>0</v>
      </c>
      <c r="X1165">
        <v>0</v>
      </c>
      <c r="Z1165" t="str">
        <f>"Y"</f>
        <v>Y</v>
      </c>
      <c r="AA1165">
        <v>0</v>
      </c>
      <c r="AC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 t="str">
        <f>"$"</f>
        <v>$</v>
      </c>
    </row>
    <row r="1166" spans="1:38" x14ac:dyDescent="0.3">
      <c r="A1166" t="str">
        <f>"SO21000170"</f>
        <v>SO21000170</v>
      </c>
      <c r="B1166" t="str">
        <f>"E000336812"</f>
        <v>E000336812</v>
      </c>
      <c r="C1166" t="str">
        <f>"בוצעה"</f>
        <v>בוצעה</v>
      </c>
      <c r="E1166" s="3">
        <v>44300</v>
      </c>
      <c r="F1166" s="3">
        <v>44357</v>
      </c>
      <c r="G1166" t="str">
        <f>"700065"</f>
        <v>700065</v>
      </c>
      <c r="H1166" t="str">
        <f>"אלתא מערכות בע""מ"</f>
        <v>אלתא מערכות בע"מ</v>
      </c>
      <c r="I1166" t="str">
        <f>"ערן שלו"</f>
        <v>ערן שלו</v>
      </c>
      <c r="J1166" t="str">
        <f>"cust000886"</f>
        <v>cust000886</v>
      </c>
      <c r="K1166" s="1" t="str">
        <f>"שנאי 200KVA ספינות אלתא"</f>
        <v>שנאי 200KVA ספינות אלתא</v>
      </c>
      <c r="L1166">
        <v>1</v>
      </c>
      <c r="M1166" t="str">
        <f>"PR19000111"</f>
        <v>PR19000111</v>
      </c>
      <c r="N1166" t="str">
        <f>"10 שנאים ITU 200KVA"</f>
        <v>10 שנאים ITU 200KVA</v>
      </c>
      <c r="O1166">
        <v>0</v>
      </c>
      <c r="P1166" t="str">
        <f>"$"</f>
        <v>$</v>
      </c>
      <c r="Q1166" t="str">
        <f>"118"</f>
        <v>118</v>
      </c>
      <c r="R1166" t="str">
        <f>"מערכות"</f>
        <v>מערכות</v>
      </c>
      <c r="S1166" t="str">
        <f>"034"</f>
        <v>034</v>
      </c>
      <c r="T1166" t="str">
        <f>"עמר ליגל"</f>
        <v>עמר ליגל</v>
      </c>
      <c r="U1166">
        <v>0</v>
      </c>
      <c r="V1166">
        <v>0</v>
      </c>
      <c r="W1166">
        <v>0</v>
      </c>
      <c r="X1166">
        <v>0</v>
      </c>
      <c r="Z1166" t="str">
        <f>"Y"</f>
        <v>Y</v>
      </c>
      <c r="AA1166">
        <v>0</v>
      </c>
      <c r="AC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 t="str">
        <f>"$"</f>
        <v>$</v>
      </c>
    </row>
    <row r="1167" spans="1:38" x14ac:dyDescent="0.3">
      <c r="A1167" t="str">
        <f>"SO21000171"</f>
        <v>SO21000171</v>
      </c>
      <c r="B1167" t="str">
        <f>"E000336785"</f>
        <v>E000336785</v>
      </c>
      <c r="C1167" t="str">
        <f>"הרכבה חלקית"</f>
        <v>הרכבה חלקית</v>
      </c>
      <c r="E1167" s="3">
        <v>44304</v>
      </c>
      <c r="F1167" s="3">
        <v>44423</v>
      </c>
      <c r="G1167" t="str">
        <f>"700065"</f>
        <v>700065</v>
      </c>
      <c r="H1167" t="str">
        <f>"אלתא מערכות בע""מ"</f>
        <v>אלתא מערכות בע"מ</v>
      </c>
      <c r="I1167" t="str">
        <f>"רחמים זרוק"</f>
        <v>רחמים זרוק</v>
      </c>
      <c r="J1167" t="str">
        <f>"OP-AR02349"</f>
        <v>OP-AR02349</v>
      </c>
      <c r="K1167" s="1" t="str">
        <f>"2202B030-001     TRW20 CABLE ASSY"</f>
        <v>2202B030-001     TRW20 CABLE ASSY</v>
      </c>
      <c r="L1167">
        <v>5</v>
      </c>
      <c r="M1167" t="str">
        <f>"PR21000250"</f>
        <v>PR21000250</v>
      </c>
      <c r="N1167" t="str">
        <f>"CABLE ASSY PCW111"</f>
        <v>CABLE ASSY PCW111</v>
      </c>
      <c r="O1167">
        <v>246.58</v>
      </c>
      <c r="P1167" t="str">
        <f>"$"</f>
        <v>$</v>
      </c>
      <c r="Q1167" t="str">
        <f>"117"</f>
        <v>117</v>
      </c>
      <c r="R1167" t="str">
        <f>"רתמות"</f>
        <v>רתמות</v>
      </c>
      <c r="S1167" t="str">
        <f>"040"</f>
        <v>040</v>
      </c>
      <c r="T1167" t="str">
        <f>"עמר ליגל"</f>
        <v>עמר ליגל</v>
      </c>
      <c r="U1167">
        <v>0</v>
      </c>
      <c r="V1167">
        <v>0</v>
      </c>
      <c r="W1167">
        <v>246.58</v>
      </c>
      <c r="X1167" s="2">
        <v>1232.9000000000001</v>
      </c>
      <c r="Z1167" t="str">
        <f>"Y"</f>
        <v>Y</v>
      </c>
      <c r="AA1167">
        <v>0</v>
      </c>
      <c r="AC1167">
        <v>0</v>
      </c>
      <c r="AE1167">
        <v>0</v>
      </c>
      <c r="AF1167">
        <v>0</v>
      </c>
      <c r="AG1167">
        <v>809.03</v>
      </c>
      <c r="AH1167">
        <v>0</v>
      </c>
      <c r="AI1167" s="2">
        <v>4045.14</v>
      </c>
      <c r="AJ1167" s="2">
        <v>1232.9000000000001</v>
      </c>
      <c r="AK1167" s="2">
        <v>1232.9000000000001</v>
      </c>
      <c r="AL1167" t="str">
        <f>"$"</f>
        <v>$</v>
      </c>
    </row>
    <row r="1168" spans="1:38" x14ac:dyDescent="0.3">
      <c r="A1168" t="str">
        <f>"SO21000171"</f>
        <v>SO21000171</v>
      </c>
      <c r="B1168" t="str">
        <f>"E000336785"</f>
        <v>E000336785</v>
      </c>
      <c r="C1168" t="str">
        <f>"הרכבה חלקית"</f>
        <v>הרכבה חלקית</v>
      </c>
      <c r="E1168" s="3">
        <v>44304</v>
      </c>
      <c r="F1168" s="3">
        <v>44423</v>
      </c>
      <c r="G1168" t="str">
        <f>"700065"</f>
        <v>700065</v>
      </c>
      <c r="H1168" t="str">
        <f>"אלתא מערכות בע""מ"</f>
        <v>אלתא מערכות בע"מ</v>
      </c>
      <c r="I1168" t="str">
        <f>"רחמים זרוק"</f>
        <v>רחמים זרוק</v>
      </c>
      <c r="J1168" t="str">
        <f>"OP-AR02352"</f>
        <v>OP-AR02352</v>
      </c>
      <c r="K1168" s="1" t="str">
        <f>"2202B036-001    TRW23 CABLE ASSY"</f>
        <v>2202B036-001    TRW23 CABLE ASSY</v>
      </c>
      <c r="L1168">
        <v>5</v>
      </c>
      <c r="M1168" t="str">
        <f>"PR21000250"</f>
        <v>PR21000250</v>
      </c>
      <c r="N1168" t="str">
        <f>"CABLE ASSY PCW111"</f>
        <v>CABLE ASSY PCW111</v>
      </c>
      <c r="O1168">
        <v>149.52000000000001</v>
      </c>
      <c r="P1168" t="str">
        <f>"$"</f>
        <v>$</v>
      </c>
      <c r="Q1168" t="str">
        <f>"117"</f>
        <v>117</v>
      </c>
      <c r="R1168" t="str">
        <f>"רתמות"</f>
        <v>רתמות</v>
      </c>
      <c r="S1168" t="str">
        <f>"040"</f>
        <v>040</v>
      </c>
      <c r="T1168" t="str">
        <f>"עמר ליגל"</f>
        <v>עמר ליגל</v>
      </c>
      <c r="U1168">
        <v>0</v>
      </c>
      <c r="V1168">
        <v>0</v>
      </c>
      <c r="W1168">
        <v>149.52000000000001</v>
      </c>
      <c r="X1168">
        <v>747.6</v>
      </c>
      <c r="Z1168" t="str">
        <f>"Y"</f>
        <v>Y</v>
      </c>
      <c r="AA1168">
        <v>0</v>
      </c>
      <c r="AC1168">
        <v>0</v>
      </c>
      <c r="AE1168">
        <v>0</v>
      </c>
      <c r="AF1168">
        <v>0</v>
      </c>
      <c r="AG1168">
        <v>490.58</v>
      </c>
      <c r="AH1168">
        <v>0</v>
      </c>
      <c r="AI1168" s="2">
        <v>2452.88</v>
      </c>
      <c r="AJ1168">
        <v>747.6</v>
      </c>
      <c r="AK1168">
        <v>747.6</v>
      </c>
      <c r="AL1168" t="str">
        <f>"$"</f>
        <v>$</v>
      </c>
    </row>
    <row r="1169" spans="1:38" x14ac:dyDescent="0.3">
      <c r="A1169" t="str">
        <f>"SO21000171"</f>
        <v>SO21000171</v>
      </c>
      <c r="B1169" t="str">
        <f>"E000336785"</f>
        <v>E000336785</v>
      </c>
      <c r="C1169" t="str">
        <f>"הרכבה חלקית"</f>
        <v>הרכבה חלקית</v>
      </c>
      <c r="E1169" s="3">
        <v>44304</v>
      </c>
      <c r="F1169" s="3">
        <v>44423</v>
      </c>
      <c r="G1169" t="str">
        <f>"700065"</f>
        <v>700065</v>
      </c>
      <c r="H1169" t="str">
        <f>"אלתא מערכות בע""מ"</f>
        <v>אלתא מערכות בע"מ</v>
      </c>
      <c r="I1169" t="str">
        <f>"רחמים זרוק"</f>
        <v>רחמים זרוק</v>
      </c>
      <c r="J1169" t="str">
        <f>"OP-AR02353"</f>
        <v>OP-AR02353</v>
      </c>
      <c r="K1169" s="1" t="str">
        <f>"2203B026-001    FIO CABLE ASSY"</f>
        <v>2203B026-001    FIO CABLE ASSY</v>
      </c>
      <c r="L1169">
        <v>6</v>
      </c>
      <c r="M1169" t="str">
        <f>"PR21000250"</f>
        <v>PR21000250</v>
      </c>
      <c r="N1169" t="str">
        <f>"CABLE ASSY PCW111"</f>
        <v>CABLE ASSY PCW111</v>
      </c>
      <c r="O1169">
        <v>466.36</v>
      </c>
      <c r="P1169" t="str">
        <f>"$"</f>
        <v>$</v>
      </c>
      <c r="Q1169" t="str">
        <f>"117"</f>
        <v>117</v>
      </c>
      <c r="R1169" t="str">
        <f>"רתמות"</f>
        <v>רתמות</v>
      </c>
      <c r="S1169" t="str">
        <f>"040"</f>
        <v>040</v>
      </c>
      <c r="T1169" t="str">
        <f>"עמר ליגל"</f>
        <v>עמר ליגל</v>
      </c>
      <c r="U1169">
        <v>0</v>
      </c>
      <c r="V1169">
        <v>0</v>
      </c>
      <c r="W1169">
        <v>466.36</v>
      </c>
      <c r="X1169" s="2">
        <v>2798.16</v>
      </c>
      <c r="Z1169" t="str">
        <f>"Y"</f>
        <v>Y</v>
      </c>
      <c r="AA1169">
        <v>0</v>
      </c>
      <c r="AC1169">
        <v>0</v>
      </c>
      <c r="AE1169">
        <v>0</v>
      </c>
      <c r="AF1169">
        <v>0</v>
      </c>
      <c r="AG1169" s="2">
        <v>1530.13</v>
      </c>
      <c r="AH1169">
        <v>0</v>
      </c>
      <c r="AI1169" s="2">
        <v>9180.76</v>
      </c>
      <c r="AJ1169" s="2">
        <v>2798.16</v>
      </c>
      <c r="AK1169" s="2">
        <v>2798.16</v>
      </c>
      <c r="AL1169" t="str">
        <f>"$"</f>
        <v>$</v>
      </c>
    </row>
    <row r="1170" spans="1:38" x14ac:dyDescent="0.3">
      <c r="A1170" t="str">
        <f>"SO21000171"</f>
        <v>SO21000171</v>
      </c>
      <c r="B1170" t="str">
        <f>"E000336785"</f>
        <v>E000336785</v>
      </c>
      <c r="C1170" t="str">
        <f>"הרכבה חלקית"</f>
        <v>הרכבה חלקית</v>
      </c>
      <c r="E1170" s="3">
        <v>44304</v>
      </c>
      <c r="F1170" s="3">
        <v>44423</v>
      </c>
      <c r="G1170" t="str">
        <f>"700065"</f>
        <v>700065</v>
      </c>
      <c r="H1170" t="str">
        <f>"אלתא מערכות בע""מ"</f>
        <v>אלתא מערכות בע"מ</v>
      </c>
      <c r="I1170" t="str">
        <f>"רחמים זרוק"</f>
        <v>רחמים זרוק</v>
      </c>
      <c r="J1170" t="str">
        <f>"OP-AR02245"</f>
        <v>OP-AR02245</v>
      </c>
      <c r="K1170" s="1" t="str">
        <f>"2211B248-001   SELFTEST CABLE"</f>
        <v>2211B248-001   SELFTEST CABLE</v>
      </c>
      <c r="L1170">
        <v>3</v>
      </c>
      <c r="M1170" t="str">
        <f>"PR21000250"</f>
        <v>PR21000250</v>
      </c>
      <c r="N1170" t="str">
        <f>"CABLE ASSY PCW111"</f>
        <v>CABLE ASSY PCW111</v>
      </c>
      <c r="O1170">
        <v>593.44000000000005</v>
      </c>
      <c r="P1170" t="str">
        <f>"$"</f>
        <v>$</v>
      </c>
      <c r="Q1170" t="str">
        <f>"117"</f>
        <v>117</v>
      </c>
      <c r="R1170" t="str">
        <f>"רתמות"</f>
        <v>רתמות</v>
      </c>
      <c r="S1170" t="str">
        <f>"040"</f>
        <v>040</v>
      </c>
      <c r="T1170" t="str">
        <f>"עמר ליגל"</f>
        <v>עמר ליגל</v>
      </c>
      <c r="U1170">
        <v>0</v>
      </c>
      <c r="V1170">
        <v>0</v>
      </c>
      <c r="W1170">
        <v>593.44000000000005</v>
      </c>
      <c r="X1170" s="2">
        <v>1780.32</v>
      </c>
      <c r="Z1170" t="str">
        <f>"Y"</f>
        <v>Y</v>
      </c>
      <c r="AA1170">
        <v>0</v>
      </c>
      <c r="AC1170">
        <v>0</v>
      </c>
      <c r="AE1170">
        <v>0</v>
      </c>
      <c r="AF1170">
        <v>0</v>
      </c>
      <c r="AG1170" s="2">
        <v>1947.08</v>
      </c>
      <c r="AH1170">
        <v>0</v>
      </c>
      <c r="AI1170" s="2">
        <v>5841.23</v>
      </c>
      <c r="AJ1170" s="2">
        <v>1780.32</v>
      </c>
      <c r="AK1170" s="2">
        <v>1780.32</v>
      </c>
      <c r="AL1170" t="str">
        <f>"$"</f>
        <v>$</v>
      </c>
    </row>
    <row r="1171" spans="1:38" x14ac:dyDescent="0.3">
      <c r="A1171" t="str">
        <f>"SO21000171"</f>
        <v>SO21000171</v>
      </c>
      <c r="B1171" t="str">
        <f>"E000336785"</f>
        <v>E000336785</v>
      </c>
      <c r="C1171" t="str">
        <f>"הרכבה חלקית"</f>
        <v>הרכבה חלקית</v>
      </c>
      <c r="E1171" s="3">
        <v>44304</v>
      </c>
      <c r="F1171" s="3">
        <v>44423</v>
      </c>
      <c r="G1171" t="str">
        <f>"700065"</f>
        <v>700065</v>
      </c>
      <c r="H1171" t="str">
        <f>"אלתא מערכות בע""מ"</f>
        <v>אלתא מערכות בע"מ</v>
      </c>
      <c r="I1171" t="str">
        <f>"רחמים זרוק"</f>
        <v>רחמים זרוק</v>
      </c>
      <c r="J1171" t="str">
        <f>"OP-AR02350"</f>
        <v>OP-AR02350</v>
      </c>
      <c r="K1171" s="1" t="str">
        <f>"2202B032-001    TRW21 CABLE ASSY"</f>
        <v>2202B032-001    TRW21 CABLE ASSY</v>
      </c>
      <c r="L1171">
        <v>5</v>
      </c>
      <c r="M1171" t="str">
        <f>"PR21000250"</f>
        <v>PR21000250</v>
      </c>
      <c r="N1171" t="str">
        <f>"CABLE ASSY PCW111"</f>
        <v>CABLE ASSY PCW111</v>
      </c>
      <c r="O1171">
        <v>232.91</v>
      </c>
      <c r="P1171" t="str">
        <f>"$"</f>
        <v>$</v>
      </c>
      <c r="Q1171" t="str">
        <f>"117"</f>
        <v>117</v>
      </c>
      <c r="R1171" t="str">
        <f>"רתמות"</f>
        <v>רתמות</v>
      </c>
      <c r="S1171" t="str">
        <f>"040"</f>
        <v>040</v>
      </c>
      <c r="T1171" t="str">
        <f>"עמר ליגל"</f>
        <v>עמר ליגל</v>
      </c>
      <c r="U1171">
        <v>0</v>
      </c>
      <c r="V1171">
        <v>0</v>
      </c>
      <c r="W1171">
        <v>232.91</v>
      </c>
      <c r="X1171" s="2">
        <v>1164.55</v>
      </c>
      <c r="Z1171" t="str">
        <f>"Y"</f>
        <v>Y</v>
      </c>
      <c r="AA1171">
        <v>0</v>
      </c>
      <c r="AC1171">
        <v>0</v>
      </c>
      <c r="AE1171">
        <v>0</v>
      </c>
      <c r="AF1171">
        <v>0</v>
      </c>
      <c r="AG1171">
        <v>764.18</v>
      </c>
      <c r="AH1171">
        <v>0</v>
      </c>
      <c r="AI1171" s="2">
        <v>3820.89</v>
      </c>
      <c r="AJ1171" s="2">
        <v>1164.55</v>
      </c>
      <c r="AK1171" s="2">
        <v>1164.55</v>
      </c>
      <c r="AL1171" t="str">
        <f>"$"</f>
        <v>$</v>
      </c>
    </row>
    <row r="1172" spans="1:38" x14ac:dyDescent="0.3">
      <c r="A1172" t="str">
        <f>"SO21000171"</f>
        <v>SO21000171</v>
      </c>
      <c r="B1172" t="str">
        <f>"E000336785"</f>
        <v>E000336785</v>
      </c>
      <c r="C1172" t="str">
        <f>"הרכבה חלקית"</f>
        <v>הרכבה חלקית</v>
      </c>
      <c r="E1172" s="3">
        <v>44304</v>
      </c>
      <c r="F1172" s="3">
        <v>44423</v>
      </c>
      <c r="G1172" t="str">
        <f>"700065"</f>
        <v>700065</v>
      </c>
      <c r="H1172" t="str">
        <f>"אלתא מערכות בע""מ"</f>
        <v>אלתא מערכות בע"מ</v>
      </c>
      <c r="I1172" t="str">
        <f>"רחמים זרוק"</f>
        <v>רחמים זרוק</v>
      </c>
      <c r="J1172" t="str">
        <f>"OP-AR02351"</f>
        <v>OP-AR02351</v>
      </c>
      <c r="K1172" s="1" t="str">
        <f>"2202B034-001    TRW22 CABLE ASSY"</f>
        <v>2202B034-001    TRW22 CABLE ASSY</v>
      </c>
      <c r="L1172">
        <v>5</v>
      </c>
      <c r="M1172" t="str">
        <f>"PR21000250"</f>
        <v>PR21000250</v>
      </c>
      <c r="N1172" t="str">
        <f>"CABLE ASSY PCW111"</f>
        <v>CABLE ASSY PCW111</v>
      </c>
      <c r="O1172">
        <v>191.95</v>
      </c>
      <c r="P1172" t="str">
        <f>"$"</f>
        <v>$</v>
      </c>
      <c r="Q1172" t="str">
        <f>"117"</f>
        <v>117</v>
      </c>
      <c r="R1172" t="str">
        <f>"רתמות"</f>
        <v>רתמות</v>
      </c>
      <c r="S1172" t="str">
        <f>"040"</f>
        <v>040</v>
      </c>
      <c r="T1172" t="str">
        <f>"עמר ליגל"</f>
        <v>עמר ליגל</v>
      </c>
      <c r="U1172">
        <v>0</v>
      </c>
      <c r="V1172">
        <v>0</v>
      </c>
      <c r="W1172">
        <v>191.95</v>
      </c>
      <c r="X1172">
        <v>959.75</v>
      </c>
      <c r="Z1172" t="str">
        <f>"Y"</f>
        <v>Y</v>
      </c>
      <c r="AA1172">
        <v>0</v>
      </c>
      <c r="AC1172">
        <v>0</v>
      </c>
      <c r="AE1172">
        <v>0</v>
      </c>
      <c r="AF1172">
        <v>0</v>
      </c>
      <c r="AG1172">
        <v>629.79</v>
      </c>
      <c r="AH1172">
        <v>0</v>
      </c>
      <c r="AI1172" s="2">
        <v>3148.94</v>
      </c>
      <c r="AJ1172">
        <v>959.75</v>
      </c>
      <c r="AK1172">
        <v>959.75</v>
      </c>
      <c r="AL1172" t="str">
        <f>"$"</f>
        <v>$</v>
      </c>
    </row>
    <row r="1173" spans="1:38" x14ac:dyDescent="0.3">
      <c r="A1173" t="str">
        <f>"SO21000171"</f>
        <v>SO21000171</v>
      </c>
      <c r="B1173" t="str">
        <f>"E000336785"</f>
        <v>E000336785</v>
      </c>
      <c r="C1173" t="str">
        <f>"הרכבה חלקית"</f>
        <v>הרכבה חלקית</v>
      </c>
      <c r="E1173" s="3">
        <v>44304</v>
      </c>
      <c r="F1173" s="3">
        <v>44423</v>
      </c>
      <c r="G1173" t="str">
        <f>"700065"</f>
        <v>700065</v>
      </c>
      <c r="H1173" t="str">
        <f>"אלתא מערכות בע""מ"</f>
        <v>אלתא מערכות בע"מ</v>
      </c>
      <c r="I1173" t="str">
        <f>"רחמים זרוק"</f>
        <v>רחמים זרוק</v>
      </c>
      <c r="J1173" t="str">
        <f>"OP-AR02243"</f>
        <v>OP-AR02243</v>
      </c>
      <c r="K1173" s="1" t="str">
        <f>"2211B044-001   WSTRU CABLE ASSY"</f>
        <v>2211B044-001   WSTRU CABLE ASSY</v>
      </c>
      <c r="L1173">
        <v>3</v>
      </c>
      <c r="M1173" t="str">
        <f>"PR21000250"</f>
        <v>PR21000250</v>
      </c>
      <c r="N1173" t="str">
        <f>"CABLE ASSY PCW111"</f>
        <v>CABLE ASSY PCW111</v>
      </c>
      <c r="O1173">
        <v>324.72000000000003</v>
      </c>
      <c r="P1173" t="str">
        <f>"$"</f>
        <v>$</v>
      </c>
      <c r="Q1173" t="str">
        <f>"117"</f>
        <v>117</v>
      </c>
      <c r="R1173" t="str">
        <f>"רתמות"</f>
        <v>רתמות</v>
      </c>
      <c r="S1173" t="str">
        <f>"040"</f>
        <v>040</v>
      </c>
      <c r="T1173" t="str">
        <f>"עמר ליגל"</f>
        <v>עמר ליגל</v>
      </c>
      <c r="U1173">
        <v>0</v>
      </c>
      <c r="V1173">
        <v>0</v>
      </c>
      <c r="W1173">
        <v>324.72000000000003</v>
      </c>
      <c r="X1173">
        <v>974.16</v>
      </c>
      <c r="Z1173" t="str">
        <f>"Y"</f>
        <v>Y</v>
      </c>
      <c r="AA1173">
        <v>0</v>
      </c>
      <c r="AC1173">
        <v>0</v>
      </c>
      <c r="AE1173">
        <v>0</v>
      </c>
      <c r="AF1173">
        <v>0</v>
      </c>
      <c r="AG1173" s="2">
        <v>1065.4100000000001</v>
      </c>
      <c r="AH1173">
        <v>0</v>
      </c>
      <c r="AI1173" s="2">
        <v>3196.22</v>
      </c>
      <c r="AJ1173">
        <v>974.16</v>
      </c>
      <c r="AK1173">
        <v>974.16</v>
      </c>
      <c r="AL1173" t="str">
        <f>"$"</f>
        <v>$</v>
      </c>
    </row>
    <row r="1174" spans="1:38" x14ac:dyDescent="0.3">
      <c r="A1174" t="str">
        <f>"SO21000171"</f>
        <v>SO21000171</v>
      </c>
      <c r="B1174" t="str">
        <f>"E000336785"</f>
        <v>E000336785</v>
      </c>
      <c r="C1174" t="str">
        <f>"הרכבה חלקית"</f>
        <v>הרכבה חלקית</v>
      </c>
      <c r="E1174" s="3">
        <v>44304</v>
      </c>
      <c r="F1174" s="3">
        <v>44423</v>
      </c>
      <c r="G1174" t="str">
        <f>"700065"</f>
        <v>700065</v>
      </c>
      <c r="H1174" t="str">
        <f>"אלתא מערכות בע""מ"</f>
        <v>אלתא מערכות בע"מ</v>
      </c>
      <c r="I1174" t="str">
        <f>"רחמים זרוק"</f>
        <v>רחמים זרוק</v>
      </c>
      <c r="J1174" t="str">
        <f>"OP-AR02244"</f>
        <v>OP-AR02244</v>
      </c>
      <c r="K1174" s="1" t="str">
        <f>"2211B157-001   CFW07 CU ADAPTER SELFTEST CABLE A"</f>
        <v>2211B157-001   CFW07 CU ADAPTER SELFTEST CABLE A</v>
      </c>
      <c r="L1174">
        <v>3</v>
      </c>
      <c r="M1174" t="str">
        <f>"PR21000250"</f>
        <v>PR21000250</v>
      </c>
      <c r="N1174" t="str">
        <f>"CABLE ASSY PCW111"</f>
        <v>CABLE ASSY PCW111</v>
      </c>
      <c r="O1174">
        <v>694.65</v>
      </c>
      <c r="P1174" t="str">
        <f>"$"</f>
        <v>$</v>
      </c>
      <c r="Q1174" t="str">
        <f>"117"</f>
        <v>117</v>
      </c>
      <c r="R1174" t="str">
        <f>"רתמות"</f>
        <v>רתמות</v>
      </c>
      <c r="S1174" t="str">
        <f>"040"</f>
        <v>040</v>
      </c>
      <c r="T1174" t="str">
        <f>"עמר ליגל"</f>
        <v>עמר ליגל</v>
      </c>
      <c r="U1174">
        <v>0</v>
      </c>
      <c r="V1174">
        <v>0</v>
      </c>
      <c r="W1174">
        <v>694.65</v>
      </c>
      <c r="X1174" s="2">
        <v>2083.9499999999998</v>
      </c>
      <c r="Z1174" t="str">
        <f>"Y"</f>
        <v>Y</v>
      </c>
      <c r="AA1174">
        <v>0</v>
      </c>
      <c r="AC1174">
        <v>0</v>
      </c>
      <c r="AE1174">
        <v>0</v>
      </c>
      <c r="AF1174">
        <v>0</v>
      </c>
      <c r="AG1174" s="2">
        <v>2279.15</v>
      </c>
      <c r="AH1174">
        <v>0</v>
      </c>
      <c r="AI1174" s="2">
        <v>6837.44</v>
      </c>
      <c r="AJ1174" s="2">
        <v>2083.9499999999998</v>
      </c>
      <c r="AK1174" s="2">
        <v>2083.9499999999998</v>
      </c>
      <c r="AL1174" t="str">
        <f>"$"</f>
        <v>$</v>
      </c>
    </row>
    <row r="1175" spans="1:38" x14ac:dyDescent="0.3">
      <c r="A1175" t="str">
        <f>"SO21000171"</f>
        <v>SO21000171</v>
      </c>
      <c r="B1175" t="str">
        <f>"E000336785"</f>
        <v>E000336785</v>
      </c>
      <c r="C1175" t="str">
        <f>"הרכבה חלקית"</f>
        <v>הרכבה חלקית</v>
      </c>
      <c r="E1175" s="3">
        <v>44304</v>
      </c>
      <c r="F1175" s="3">
        <v>44423</v>
      </c>
      <c r="G1175" t="str">
        <f>"700065"</f>
        <v>700065</v>
      </c>
      <c r="H1175" t="str">
        <f>"אלתא מערכות בע""מ"</f>
        <v>אלתא מערכות בע"מ</v>
      </c>
      <c r="I1175" t="str">
        <f>"רחמים זרוק"</f>
        <v>רחמים זרוק</v>
      </c>
      <c r="J1175" t="str">
        <f>"OP-AR02451"</f>
        <v>OP-AR02451</v>
      </c>
      <c r="K1175" s="1" t="str">
        <f>"2104B684-001   CABLE ASSY PCW111"</f>
        <v>2104B684-001   CABLE ASSY PCW111</v>
      </c>
      <c r="L1175">
        <v>3</v>
      </c>
      <c r="M1175" t="str">
        <f>"PR21000250"</f>
        <v>PR21000250</v>
      </c>
      <c r="N1175" t="str">
        <f>"CABLE ASSY PCW111"</f>
        <v>CABLE ASSY PCW111</v>
      </c>
      <c r="O1175">
        <v>237.02</v>
      </c>
      <c r="P1175" t="str">
        <f>"$"</f>
        <v>$</v>
      </c>
      <c r="Q1175" t="str">
        <f>"117"</f>
        <v>117</v>
      </c>
      <c r="R1175" t="str">
        <f>"רתמות"</f>
        <v>רתמות</v>
      </c>
      <c r="S1175" t="str">
        <f>"040"</f>
        <v>040</v>
      </c>
      <c r="T1175" t="str">
        <f>"עמר ליגל"</f>
        <v>עמר ליגל</v>
      </c>
      <c r="U1175">
        <v>0</v>
      </c>
      <c r="V1175">
        <v>0</v>
      </c>
      <c r="W1175">
        <v>237.02</v>
      </c>
      <c r="X1175">
        <v>711.06</v>
      </c>
      <c r="Z1175" t="str">
        <f>"Y"</f>
        <v>Y</v>
      </c>
      <c r="AA1175">
        <v>0</v>
      </c>
      <c r="AC1175">
        <v>0</v>
      </c>
      <c r="AE1175">
        <v>0</v>
      </c>
      <c r="AF1175">
        <v>0</v>
      </c>
      <c r="AG1175">
        <v>777.66</v>
      </c>
      <c r="AH1175">
        <v>0</v>
      </c>
      <c r="AI1175" s="2">
        <v>2332.9899999999998</v>
      </c>
      <c r="AJ1175">
        <v>711.06</v>
      </c>
      <c r="AK1175">
        <v>711.06</v>
      </c>
      <c r="AL1175" t="str">
        <f>"$"</f>
        <v>$</v>
      </c>
    </row>
    <row r="1176" spans="1:38" x14ac:dyDescent="0.3">
      <c r="A1176" t="str">
        <f>"SO21000171"</f>
        <v>SO21000171</v>
      </c>
      <c r="B1176" t="str">
        <f>"E000336785"</f>
        <v>E000336785</v>
      </c>
      <c r="C1176" t="str">
        <f>"הרכבה חלקית"</f>
        <v>הרכבה חלקית</v>
      </c>
      <c r="E1176" s="3">
        <v>44304</v>
      </c>
      <c r="F1176" s="3">
        <v>44484</v>
      </c>
      <c r="G1176" t="str">
        <f>"700065"</f>
        <v>700065</v>
      </c>
      <c r="H1176" t="str">
        <f>"אלתא מערכות בע""מ"</f>
        <v>אלתא מערכות בע"מ</v>
      </c>
      <c r="I1176" t="str">
        <f>"רחמים זרוק"</f>
        <v>רחמים זרוק</v>
      </c>
      <c r="J1176" t="str">
        <f>"OP-AR02353"</f>
        <v>OP-AR02353</v>
      </c>
      <c r="K1176" s="1" t="str">
        <f>"2203B026-001    FIO CABLE ASSY"</f>
        <v>2203B026-001    FIO CABLE ASSY</v>
      </c>
      <c r="L1176">
        <v>1</v>
      </c>
      <c r="M1176" t="str">
        <f>"PR21000250"</f>
        <v>PR21000250</v>
      </c>
      <c r="N1176" t="str">
        <f>"CABLE ASSY PCW111"</f>
        <v>CABLE ASSY PCW111</v>
      </c>
      <c r="O1176">
        <v>466.36</v>
      </c>
      <c r="P1176" t="str">
        <f>"$"</f>
        <v>$</v>
      </c>
      <c r="Q1176" t="str">
        <f>"117"</f>
        <v>117</v>
      </c>
      <c r="R1176" t="str">
        <f>"רתמות"</f>
        <v>רתמות</v>
      </c>
      <c r="S1176" t="str">
        <f>"040"</f>
        <v>040</v>
      </c>
      <c r="T1176" t="str">
        <f>"עמר ליגל"</f>
        <v>עמר ליגל</v>
      </c>
      <c r="U1176">
        <v>0</v>
      </c>
      <c r="V1176">
        <v>0</v>
      </c>
      <c r="W1176">
        <v>466.36</v>
      </c>
      <c r="X1176">
        <v>466.36</v>
      </c>
      <c r="Z1176" t="str">
        <f>"Y"</f>
        <v>Y</v>
      </c>
      <c r="AA1176">
        <v>0</v>
      </c>
      <c r="AC1176">
        <v>0</v>
      </c>
      <c r="AE1176">
        <v>0</v>
      </c>
      <c r="AF1176">
        <v>0</v>
      </c>
      <c r="AG1176" s="2">
        <v>1530.13</v>
      </c>
      <c r="AH1176">
        <v>0</v>
      </c>
      <c r="AI1176" s="2">
        <v>1530.13</v>
      </c>
      <c r="AJ1176">
        <v>466.36</v>
      </c>
      <c r="AK1176">
        <v>466.36</v>
      </c>
      <c r="AL1176" t="str">
        <f>"$"</f>
        <v>$</v>
      </c>
    </row>
    <row r="1177" spans="1:38" x14ac:dyDescent="0.3">
      <c r="A1177" t="str">
        <f>"SO21000172"</f>
        <v>SO21000172</v>
      </c>
      <c r="B1177" t="str">
        <f>"E000336885"</f>
        <v>E000336885</v>
      </c>
      <c r="C1177" t="str">
        <f>"בוצעה"</f>
        <v>בוצעה</v>
      </c>
      <c r="E1177" s="3">
        <v>44304</v>
      </c>
      <c r="F1177" s="3">
        <v>44357</v>
      </c>
      <c r="G1177" t="str">
        <f>"700065"</f>
        <v>700065</v>
      </c>
      <c r="H1177" t="str">
        <f>"אלתא מערכות בע""מ"</f>
        <v>אלתא מערכות בע"מ</v>
      </c>
      <c r="I1177" t="str">
        <f>"רחמים זרוק"</f>
        <v>רחמים זרוק</v>
      </c>
      <c r="J1177" t="str">
        <f>"OP-AR02452"</f>
        <v>OP-AR02452</v>
      </c>
      <c r="K1177" s="1" t="str">
        <f>"1006C008-001    CABLE ASSY W2Y2"</f>
        <v>1006C008-001    CABLE ASSY W2Y2</v>
      </c>
      <c r="L1177">
        <v>1</v>
      </c>
      <c r="M1177" t="str">
        <f>"PR21000251"</f>
        <v>PR21000251</v>
      </c>
      <c r="N1177" t="str">
        <f>"CABLE ASSY W2Y2(PS HARNESS)"</f>
        <v>CABLE ASSY W2Y2(PS HARNESS)</v>
      </c>
      <c r="O1177">
        <v>209.35</v>
      </c>
      <c r="P1177" t="str">
        <f>"$"</f>
        <v>$</v>
      </c>
      <c r="Q1177" t="str">
        <f>"117"</f>
        <v>117</v>
      </c>
      <c r="R1177" t="str">
        <f>"רתמות"</f>
        <v>רתמות</v>
      </c>
      <c r="S1177" t="str">
        <f>"040"</f>
        <v>040</v>
      </c>
      <c r="T1177" t="str">
        <f>"גנם הודיה"</f>
        <v>גנם הודיה</v>
      </c>
      <c r="U1177">
        <v>0</v>
      </c>
      <c r="V1177">
        <v>0</v>
      </c>
      <c r="W1177">
        <v>209.35</v>
      </c>
      <c r="X1177">
        <v>209.35</v>
      </c>
      <c r="Z1177" t="str">
        <f>"Y"</f>
        <v>Y</v>
      </c>
      <c r="AA1177">
        <v>0</v>
      </c>
      <c r="AC1177">
        <v>0</v>
      </c>
      <c r="AE1177">
        <v>0</v>
      </c>
      <c r="AF1177">
        <v>0</v>
      </c>
      <c r="AG1177">
        <v>686.88</v>
      </c>
      <c r="AH1177">
        <v>0</v>
      </c>
      <c r="AI1177">
        <v>686.88</v>
      </c>
      <c r="AJ1177">
        <v>209.35</v>
      </c>
      <c r="AK1177">
        <v>209.35</v>
      </c>
      <c r="AL1177" t="str">
        <f>"$"</f>
        <v>$</v>
      </c>
    </row>
    <row r="1178" spans="1:38" x14ac:dyDescent="0.3">
      <c r="A1178" t="str">
        <f>"SO21000174"</f>
        <v>SO21000174</v>
      </c>
      <c r="B1178" t="str">
        <f>"E000336835"</f>
        <v>E000336835</v>
      </c>
      <c r="C1178" t="str">
        <f>"הרכבה חלקית"</f>
        <v>הרכבה חלקית</v>
      </c>
      <c r="E1178" s="3">
        <v>44306</v>
      </c>
      <c r="F1178" s="3">
        <v>44433</v>
      </c>
      <c r="G1178" t="str">
        <f>"700065"</f>
        <v>700065</v>
      </c>
      <c r="H1178" t="str">
        <f>"אלתא מערכות בע""מ"</f>
        <v>אלתא מערכות בע"מ</v>
      </c>
      <c r="I1178" t="str">
        <f>"רחמים זרוק"</f>
        <v>רחמים זרוק</v>
      </c>
      <c r="J1178" t="str">
        <f>"OP-AR02453"</f>
        <v>OP-AR02453</v>
      </c>
      <c r="K1178" s="1" t="str">
        <f>"1093Y436-001   HARNESS - J1 BOX TO J1 TOP BOARD"</f>
        <v>1093Y436-001   HARNESS - J1 BOX TO J1 TOP BOARD</v>
      </c>
      <c r="L1178">
        <v>13</v>
      </c>
      <c r="M1178" t="str">
        <f>"PR21000277"</f>
        <v>PR21000277</v>
      </c>
      <c r="N1178" t="str">
        <f>"HARNESS - J1 BOX TO J1 TOP BOARD"</f>
        <v>HARNESS - J1 BOX TO J1 TOP BOARD</v>
      </c>
      <c r="O1178">
        <v>295.99</v>
      </c>
      <c r="P1178" t="str">
        <f>"$"</f>
        <v>$</v>
      </c>
      <c r="Q1178" t="str">
        <f>"117"</f>
        <v>117</v>
      </c>
      <c r="R1178" t="str">
        <f>"רתמות"</f>
        <v>רתמות</v>
      </c>
      <c r="S1178" t="str">
        <f>"040"</f>
        <v>040</v>
      </c>
      <c r="T1178" t="str">
        <f>"עמר ליגל"</f>
        <v>עמר ליגל</v>
      </c>
      <c r="U1178">
        <v>0</v>
      </c>
      <c r="V1178">
        <v>0</v>
      </c>
      <c r="W1178">
        <v>295.99</v>
      </c>
      <c r="X1178" s="2">
        <v>3847.87</v>
      </c>
      <c r="Z1178" t="str">
        <f>"Y"</f>
        <v>Y</v>
      </c>
      <c r="AA1178">
        <v>0</v>
      </c>
      <c r="AC1178">
        <v>0</v>
      </c>
      <c r="AE1178">
        <v>0</v>
      </c>
      <c r="AF1178">
        <v>0</v>
      </c>
      <c r="AG1178">
        <v>966.41</v>
      </c>
      <c r="AH1178">
        <v>0</v>
      </c>
      <c r="AI1178" s="2">
        <v>12563.3</v>
      </c>
      <c r="AJ1178" s="2">
        <v>3847.87</v>
      </c>
      <c r="AK1178" s="2">
        <v>3847.87</v>
      </c>
      <c r="AL1178" t="str">
        <f>"$"</f>
        <v>$</v>
      </c>
    </row>
    <row r="1179" spans="1:38" x14ac:dyDescent="0.3">
      <c r="A1179" t="str">
        <f>"SO21000174"</f>
        <v>SO21000174</v>
      </c>
      <c r="B1179" t="str">
        <f>"E000336835"</f>
        <v>E000336835</v>
      </c>
      <c r="C1179" t="str">
        <f>"הרכבה חלקית"</f>
        <v>הרכבה חלקית</v>
      </c>
      <c r="E1179" s="3">
        <v>44306</v>
      </c>
      <c r="F1179" s="3">
        <v>44433</v>
      </c>
      <c r="G1179" t="str">
        <f>"700065"</f>
        <v>700065</v>
      </c>
      <c r="H1179" t="str">
        <f>"אלתא מערכות בע""מ"</f>
        <v>אלתא מערכות בע"מ</v>
      </c>
      <c r="I1179" t="str">
        <f>"רחמים זרוק"</f>
        <v>רחמים זרוק</v>
      </c>
      <c r="J1179" t="str">
        <f>"OP-AR02454"</f>
        <v>OP-AR02454</v>
      </c>
      <c r="K1179" s="1" t="str">
        <f>"1093Y437-002   HARNESS - J2 BOX TO FILTER"</f>
        <v>1093Y437-002   HARNESS - J2 BOX TO FILTER</v>
      </c>
      <c r="L1179">
        <v>15</v>
      </c>
      <c r="M1179" t="str">
        <f>"PR21000277"</f>
        <v>PR21000277</v>
      </c>
      <c r="N1179" t="str">
        <f>"HARNESS - J1 BOX TO J1 TOP BOARD"</f>
        <v>HARNESS - J1 BOX TO J1 TOP BOARD</v>
      </c>
      <c r="O1179">
        <v>89.04</v>
      </c>
      <c r="P1179" t="str">
        <f>"$"</f>
        <v>$</v>
      </c>
      <c r="Q1179" t="str">
        <f>"117"</f>
        <v>117</v>
      </c>
      <c r="R1179" t="str">
        <f>"רתמות"</f>
        <v>רתמות</v>
      </c>
      <c r="S1179" t="str">
        <f>"040"</f>
        <v>040</v>
      </c>
      <c r="T1179" t="str">
        <f>"עמר ליגל"</f>
        <v>עמר ליגל</v>
      </c>
      <c r="U1179">
        <v>0</v>
      </c>
      <c r="V1179">
        <v>0</v>
      </c>
      <c r="W1179">
        <v>89.04</v>
      </c>
      <c r="X1179" s="2">
        <v>1335.6</v>
      </c>
      <c r="Z1179" t="str">
        <f>"Y"</f>
        <v>Y</v>
      </c>
      <c r="AA1179">
        <v>0</v>
      </c>
      <c r="AC1179">
        <v>0</v>
      </c>
      <c r="AE1179">
        <v>0</v>
      </c>
      <c r="AF1179">
        <v>0</v>
      </c>
      <c r="AG1179">
        <v>290.72000000000003</v>
      </c>
      <c r="AH1179">
        <v>0</v>
      </c>
      <c r="AI1179" s="2">
        <v>4360.7299999999996</v>
      </c>
      <c r="AJ1179" s="2">
        <v>1335.6</v>
      </c>
      <c r="AK1179" s="2">
        <v>1335.6</v>
      </c>
      <c r="AL1179" t="str">
        <f>"$"</f>
        <v>$</v>
      </c>
    </row>
    <row r="1180" spans="1:38" x14ac:dyDescent="0.3">
      <c r="A1180" t="str">
        <f>"SO21000174"</f>
        <v>SO21000174</v>
      </c>
      <c r="B1180" t="str">
        <f>"E000336835"</f>
        <v>E000336835</v>
      </c>
      <c r="C1180" t="str">
        <f>"הרכבה חלקית"</f>
        <v>הרכבה חלקית</v>
      </c>
      <c r="E1180" s="3">
        <v>44306</v>
      </c>
      <c r="F1180" s="3">
        <v>44516</v>
      </c>
      <c r="G1180" t="str">
        <f>"700065"</f>
        <v>700065</v>
      </c>
      <c r="H1180" t="str">
        <f>"אלתא מערכות בע""מ"</f>
        <v>אלתא מערכות בע"מ</v>
      </c>
      <c r="I1180" t="str">
        <f>"רחמים זרוק"</f>
        <v>רחמים זרוק</v>
      </c>
      <c r="J1180" t="str">
        <f>"OP-AR02455"</f>
        <v>OP-AR02455</v>
      </c>
      <c r="K1180" s="1" t="str">
        <f>"1093Y438-002   HARNESS - POWER SUPPLY CONTROL TO TOP BO"</f>
        <v>1093Y438-002   HARNESS - POWER SUPPLY CONTROL TO TOP BO</v>
      </c>
      <c r="L1180">
        <v>11</v>
      </c>
      <c r="M1180" t="str">
        <f>"PR21000277"</f>
        <v>PR21000277</v>
      </c>
      <c r="N1180" t="str">
        <f>"HARNESS - J1 BOX TO J1 TOP BOARD"</f>
        <v>HARNESS - J1 BOX TO J1 TOP BOARD</v>
      </c>
      <c r="O1180">
        <v>212.59</v>
      </c>
      <c r="P1180" t="str">
        <f>"$"</f>
        <v>$</v>
      </c>
      <c r="Q1180" t="str">
        <f>"117"</f>
        <v>117</v>
      </c>
      <c r="R1180" t="str">
        <f>"רתמות"</f>
        <v>רתמות</v>
      </c>
      <c r="S1180" t="str">
        <f>"040"</f>
        <v>040</v>
      </c>
      <c r="T1180" t="str">
        <f>"עמר ליגל"</f>
        <v>עמר ליגל</v>
      </c>
      <c r="U1180">
        <v>0</v>
      </c>
      <c r="V1180">
        <v>0</v>
      </c>
      <c r="W1180">
        <v>212.59</v>
      </c>
      <c r="X1180" s="2">
        <v>2338.4899999999998</v>
      </c>
      <c r="Z1180" t="str">
        <f>"Y"</f>
        <v>Y</v>
      </c>
      <c r="AA1180">
        <v>0</v>
      </c>
      <c r="AC1180">
        <v>0</v>
      </c>
      <c r="AE1180">
        <v>0</v>
      </c>
      <c r="AF1180">
        <v>0</v>
      </c>
      <c r="AG1180">
        <v>694.11</v>
      </c>
      <c r="AH1180">
        <v>0</v>
      </c>
      <c r="AI1180" s="2">
        <v>7635.17</v>
      </c>
      <c r="AJ1180" s="2">
        <v>2338.4899999999998</v>
      </c>
      <c r="AK1180" s="2">
        <v>2338.4899999999998</v>
      </c>
      <c r="AL1180" t="str">
        <f>"$"</f>
        <v>$</v>
      </c>
    </row>
    <row r="1181" spans="1:38" x14ac:dyDescent="0.3">
      <c r="A1181" t="str">
        <f>"SO21000174"</f>
        <v>SO21000174</v>
      </c>
      <c r="B1181" t="str">
        <f>"E000336835"</f>
        <v>E000336835</v>
      </c>
      <c r="C1181" t="str">
        <f>"הרכבה חלקית"</f>
        <v>הרכבה חלקית</v>
      </c>
      <c r="E1181" s="3">
        <v>44306</v>
      </c>
      <c r="F1181" s="3">
        <v>44525</v>
      </c>
      <c r="G1181" t="str">
        <f>"700065"</f>
        <v>700065</v>
      </c>
      <c r="H1181" t="str">
        <f>"אלתא מערכות בע""מ"</f>
        <v>אלתא מערכות בע"מ</v>
      </c>
      <c r="I1181" t="str">
        <f>"רחמים זרוק"</f>
        <v>רחמים זרוק</v>
      </c>
      <c r="J1181" t="str">
        <f>"OP-AR02456"</f>
        <v>OP-AR02456</v>
      </c>
      <c r="K1181" s="1" t="str">
        <f>"1093Y439-001   HARNESS - POWER SUPPLY POWER OUTTO TOP B"</f>
        <v>1093Y439-001   HARNESS - POWER SUPPLY POWER OUTTO TOP B</v>
      </c>
      <c r="L1181">
        <v>15</v>
      </c>
      <c r="M1181" t="str">
        <f>"PR21000277"</f>
        <v>PR21000277</v>
      </c>
      <c r="N1181" t="str">
        <f>"HARNESS - J1 BOX TO J1 TOP BOARD"</f>
        <v>HARNESS - J1 BOX TO J1 TOP BOARD</v>
      </c>
      <c r="O1181">
        <v>146.84</v>
      </c>
      <c r="P1181" t="str">
        <f>"$"</f>
        <v>$</v>
      </c>
      <c r="Q1181" t="str">
        <f>"117"</f>
        <v>117</v>
      </c>
      <c r="R1181" t="str">
        <f>"רתמות"</f>
        <v>רתמות</v>
      </c>
      <c r="S1181" t="str">
        <f>"040"</f>
        <v>040</v>
      </c>
      <c r="T1181" t="str">
        <f>"עמר ליגל"</f>
        <v>עמר ליגל</v>
      </c>
      <c r="U1181">
        <v>0</v>
      </c>
      <c r="V1181">
        <v>0</v>
      </c>
      <c r="W1181">
        <v>146.84</v>
      </c>
      <c r="X1181" s="2">
        <v>2202.6</v>
      </c>
      <c r="Z1181" t="str">
        <f>"Y"</f>
        <v>Y</v>
      </c>
      <c r="AA1181">
        <v>0</v>
      </c>
      <c r="AC1181">
        <v>0</v>
      </c>
      <c r="AE1181">
        <v>0</v>
      </c>
      <c r="AF1181">
        <v>0</v>
      </c>
      <c r="AG1181">
        <v>479.43</v>
      </c>
      <c r="AH1181">
        <v>0</v>
      </c>
      <c r="AI1181" s="2">
        <v>7191.49</v>
      </c>
      <c r="AJ1181" s="2">
        <v>2202.6</v>
      </c>
      <c r="AK1181" s="2">
        <v>2202.6</v>
      </c>
      <c r="AL1181" t="str">
        <f>"$"</f>
        <v>$</v>
      </c>
    </row>
    <row r="1182" spans="1:38" x14ac:dyDescent="0.3">
      <c r="A1182" t="str">
        <f>"SO21000174"</f>
        <v>SO21000174</v>
      </c>
      <c r="B1182" t="str">
        <f>"E000336835"</f>
        <v>E000336835</v>
      </c>
      <c r="C1182" t="str">
        <f>"הרכבה חלקית"</f>
        <v>הרכבה חלקית</v>
      </c>
      <c r="E1182" s="3">
        <v>44306</v>
      </c>
      <c r="F1182" s="3">
        <v>44540</v>
      </c>
      <c r="G1182" t="str">
        <f>"700065"</f>
        <v>700065</v>
      </c>
      <c r="H1182" t="str">
        <f>"אלתא מערכות בע""מ"</f>
        <v>אלתא מערכות בע"מ</v>
      </c>
      <c r="I1182" t="str">
        <f>"רחמים זרוק"</f>
        <v>רחמים זרוק</v>
      </c>
      <c r="J1182" t="str">
        <f>"OP-AR02455"</f>
        <v>OP-AR02455</v>
      </c>
      <c r="K1182" s="1" t="str">
        <f>"1093Y438-002   HARNESS - POWER SUPPLY CONTROL TO TOP BO"</f>
        <v>1093Y438-002   HARNESS - POWER SUPPLY CONTROL TO TOP BO</v>
      </c>
      <c r="L1182">
        <v>6</v>
      </c>
      <c r="M1182" t="str">
        <f>"PR21000277"</f>
        <v>PR21000277</v>
      </c>
      <c r="N1182" t="str">
        <f>"HARNESS - J1 BOX TO J1 TOP BOARD"</f>
        <v>HARNESS - J1 BOX TO J1 TOP BOARD</v>
      </c>
      <c r="O1182">
        <v>212.59</v>
      </c>
      <c r="P1182" t="str">
        <f>"$"</f>
        <v>$</v>
      </c>
      <c r="Q1182" t="str">
        <f>"117"</f>
        <v>117</v>
      </c>
      <c r="R1182" t="str">
        <f>"רתמות"</f>
        <v>רתמות</v>
      </c>
      <c r="S1182" t="str">
        <f>"040"</f>
        <v>040</v>
      </c>
      <c r="T1182" t="str">
        <f>"עמר ליגל"</f>
        <v>עמר ליגל</v>
      </c>
      <c r="U1182">
        <v>0</v>
      </c>
      <c r="V1182">
        <v>0</v>
      </c>
      <c r="W1182">
        <v>212.59</v>
      </c>
      <c r="X1182" s="2">
        <v>1275.54</v>
      </c>
      <c r="Z1182" t="str">
        <f>"Y"</f>
        <v>Y</v>
      </c>
      <c r="AA1182">
        <v>0</v>
      </c>
      <c r="AC1182">
        <v>0</v>
      </c>
      <c r="AE1182">
        <v>0</v>
      </c>
      <c r="AF1182">
        <v>0</v>
      </c>
      <c r="AG1182">
        <v>694.11</v>
      </c>
      <c r="AH1182">
        <v>0</v>
      </c>
      <c r="AI1182" s="2">
        <v>4164.6400000000003</v>
      </c>
      <c r="AJ1182" s="2">
        <v>1275.54</v>
      </c>
      <c r="AK1182" s="2">
        <v>1275.54</v>
      </c>
      <c r="AL1182" t="str">
        <f>"$"</f>
        <v>$</v>
      </c>
    </row>
    <row r="1183" spans="1:38" x14ac:dyDescent="0.3">
      <c r="A1183" t="str">
        <f>"SO21000183"</f>
        <v>SO21000183</v>
      </c>
      <c r="B1183" t="str">
        <f>"E000336844"</f>
        <v>E000336844</v>
      </c>
      <c r="C1183" t="str">
        <f>"בוצעה"</f>
        <v>בוצעה</v>
      </c>
      <c r="E1183" s="3">
        <v>44307</v>
      </c>
      <c r="F1183" s="3">
        <v>44357</v>
      </c>
      <c r="G1183" t="str">
        <f>"700065"</f>
        <v>700065</v>
      </c>
      <c r="H1183" t="str">
        <f>"אלתא מערכות בע""מ"</f>
        <v>אלתא מערכות בע"מ</v>
      </c>
      <c r="I1183" t="str">
        <f>"ערן שלו"</f>
        <v>ערן שלו</v>
      </c>
      <c r="J1183" t="str">
        <f>"PS0400063"</f>
        <v>PS0400063</v>
      </c>
      <c r="K1183" s="1" t="str">
        <f>"TSI-EPC-48V-230Vac-Module MEDIA ( Stainless)"</f>
        <v>TSI-EPC-48V-230Vac-Module MEDIA ( Stainless)</v>
      </c>
      <c r="L1183">
        <v>1</v>
      </c>
      <c r="O1183" s="2">
        <v>3350</v>
      </c>
      <c r="P1183" t="str">
        <f>"$"</f>
        <v>$</v>
      </c>
      <c r="Q1183" t="str">
        <f>"118"</f>
        <v>118</v>
      </c>
      <c r="R1183" t="str">
        <f>"מערכות"</f>
        <v>מערכות</v>
      </c>
      <c r="S1183" t="str">
        <f>"034"</f>
        <v>034</v>
      </c>
      <c r="T1183" t="str">
        <f>"עמר ליגל"</f>
        <v>עמר ליגל</v>
      </c>
      <c r="U1183">
        <v>0</v>
      </c>
      <c r="V1183">
        <v>0</v>
      </c>
      <c r="W1183" s="2">
        <v>3350</v>
      </c>
      <c r="X1183" s="2">
        <v>3350</v>
      </c>
      <c r="Z1183" t="str">
        <f>"Y"</f>
        <v>Y</v>
      </c>
      <c r="AA1183">
        <v>0</v>
      </c>
      <c r="AC1183">
        <v>0</v>
      </c>
      <c r="AE1183">
        <v>0</v>
      </c>
      <c r="AF1183">
        <v>0</v>
      </c>
      <c r="AG1183" s="2">
        <v>10907.6</v>
      </c>
      <c r="AH1183">
        <v>0</v>
      </c>
      <c r="AI1183" s="2">
        <v>10907.6</v>
      </c>
      <c r="AJ1183" s="2">
        <v>3350</v>
      </c>
      <c r="AK1183" s="2">
        <v>3350</v>
      </c>
      <c r="AL1183" t="str">
        <f>"$"</f>
        <v>$</v>
      </c>
    </row>
    <row r="1184" spans="1:38" x14ac:dyDescent="0.3">
      <c r="A1184" t="str">
        <f>"SO21000183"</f>
        <v>SO21000183</v>
      </c>
      <c r="B1184" t="str">
        <f>"E000336844"</f>
        <v>E000336844</v>
      </c>
      <c r="C1184" t="str">
        <f>"בוצעה"</f>
        <v>בוצעה</v>
      </c>
      <c r="E1184" s="3">
        <v>44307</v>
      </c>
      <c r="F1184" s="3">
        <v>44357</v>
      </c>
      <c r="G1184" t="str">
        <f>"700065"</f>
        <v>700065</v>
      </c>
      <c r="H1184" t="str">
        <f>"אלתא מערכות בע""מ"</f>
        <v>אלתא מערכות בע"מ</v>
      </c>
      <c r="I1184" t="str">
        <f>"ערן שלו"</f>
        <v>ערן שלו</v>
      </c>
      <c r="J1184" t="str">
        <f>"PS0400063"</f>
        <v>PS0400063</v>
      </c>
      <c r="K1184" s="1" t="str">
        <f>"TSI-EPC-48V-230Vac-Module MEDIA ( Stainless)"</f>
        <v>TSI-EPC-48V-230Vac-Module MEDIA ( Stainless)</v>
      </c>
      <c r="L1184">
        <v>1</v>
      </c>
      <c r="O1184" s="2">
        <v>3350</v>
      </c>
      <c r="P1184" t="str">
        <f>"$"</f>
        <v>$</v>
      </c>
      <c r="Q1184" t="str">
        <f>"118"</f>
        <v>118</v>
      </c>
      <c r="R1184" t="str">
        <f>"מערכות"</f>
        <v>מערכות</v>
      </c>
      <c r="S1184" t="str">
        <f>"034"</f>
        <v>034</v>
      </c>
      <c r="T1184" t="str">
        <f>"עמר ליגל"</f>
        <v>עמר ליגל</v>
      </c>
      <c r="U1184">
        <v>0</v>
      </c>
      <c r="V1184">
        <v>0</v>
      </c>
      <c r="W1184" s="2">
        <v>3350</v>
      </c>
      <c r="X1184" s="2">
        <v>3350</v>
      </c>
      <c r="Z1184" t="str">
        <f>"Y"</f>
        <v>Y</v>
      </c>
      <c r="AA1184">
        <v>0</v>
      </c>
      <c r="AC1184">
        <v>0</v>
      </c>
      <c r="AE1184">
        <v>0</v>
      </c>
      <c r="AF1184">
        <v>0</v>
      </c>
      <c r="AG1184" s="2">
        <v>10907.6</v>
      </c>
      <c r="AH1184">
        <v>0</v>
      </c>
      <c r="AI1184" s="2">
        <v>10907.6</v>
      </c>
      <c r="AJ1184" s="2">
        <v>3350</v>
      </c>
      <c r="AK1184" s="2">
        <v>3350</v>
      </c>
      <c r="AL1184" t="str">
        <f>"$"</f>
        <v>$</v>
      </c>
    </row>
    <row r="1185" spans="1:38" x14ac:dyDescent="0.3">
      <c r="A1185" t="str">
        <f>"SO21000183"</f>
        <v>SO21000183</v>
      </c>
      <c r="B1185" t="str">
        <f>"E000336844"</f>
        <v>E000336844</v>
      </c>
      <c r="C1185" t="str">
        <f>"בוצעה"</f>
        <v>בוצעה</v>
      </c>
      <c r="E1185" s="3">
        <v>44307</v>
      </c>
      <c r="F1185" s="3">
        <v>44357</v>
      </c>
      <c r="G1185" t="str">
        <f>"700065"</f>
        <v>700065</v>
      </c>
      <c r="H1185" t="str">
        <f>"אלתא מערכות בע""מ"</f>
        <v>אלתא מערכות בע"מ</v>
      </c>
      <c r="I1185" t="str">
        <f>"ערן שלו"</f>
        <v>ערן שלו</v>
      </c>
      <c r="J1185" t="str">
        <f>"PS0400063"</f>
        <v>PS0400063</v>
      </c>
      <c r="K1185" s="1" t="str">
        <f>"TSI-EPC-48V-230Vac-Module MEDIA ( Stainless)"</f>
        <v>TSI-EPC-48V-230Vac-Module MEDIA ( Stainless)</v>
      </c>
      <c r="L1185">
        <v>1</v>
      </c>
      <c r="O1185" s="2">
        <v>3350</v>
      </c>
      <c r="P1185" t="str">
        <f>"$"</f>
        <v>$</v>
      </c>
      <c r="Q1185" t="str">
        <f>"118"</f>
        <v>118</v>
      </c>
      <c r="R1185" t="str">
        <f>"מערכות"</f>
        <v>מערכות</v>
      </c>
      <c r="S1185" t="str">
        <f>"034"</f>
        <v>034</v>
      </c>
      <c r="T1185" t="str">
        <f>"עמר ליגל"</f>
        <v>עמר ליגל</v>
      </c>
      <c r="U1185">
        <v>0</v>
      </c>
      <c r="V1185">
        <v>0</v>
      </c>
      <c r="W1185" s="2">
        <v>3350</v>
      </c>
      <c r="X1185" s="2">
        <v>3350</v>
      </c>
      <c r="Z1185" t="str">
        <f>"Y"</f>
        <v>Y</v>
      </c>
      <c r="AA1185">
        <v>0</v>
      </c>
      <c r="AC1185">
        <v>0</v>
      </c>
      <c r="AE1185">
        <v>0</v>
      </c>
      <c r="AF1185">
        <v>0</v>
      </c>
      <c r="AG1185" s="2">
        <v>10907.6</v>
      </c>
      <c r="AH1185">
        <v>0</v>
      </c>
      <c r="AI1185" s="2">
        <v>10907.6</v>
      </c>
      <c r="AJ1185" s="2">
        <v>3350</v>
      </c>
      <c r="AK1185" s="2">
        <v>3350</v>
      </c>
      <c r="AL1185" t="str">
        <f>"$"</f>
        <v>$</v>
      </c>
    </row>
    <row r="1186" spans="1:38" x14ac:dyDescent="0.3">
      <c r="A1186" t="str">
        <f>"SO21000184"</f>
        <v>SO21000184</v>
      </c>
      <c r="B1186" t="str">
        <f>"E000336430"</f>
        <v>E000336430</v>
      </c>
      <c r="C1186" t="str">
        <f>"בוצעה"</f>
        <v>בוצעה</v>
      </c>
      <c r="E1186" s="3">
        <v>44307</v>
      </c>
      <c r="F1186" s="3">
        <v>44486</v>
      </c>
      <c r="G1186" t="str">
        <f>"700065"</f>
        <v>700065</v>
      </c>
      <c r="H1186" t="str">
        <f>"אלתא מערכות בע""מ"</f>
        <v>אלתא מערכות בע"מ</v>
      </c>
      <c r="I1186" t="str">
        <f>"ערן שלו"</f>
        <v>ערן שלו</v>
      </c>
      <c r="J1186" t="str">
        <f>"OP-PD02882"</f>
        <v>OP-PD02882</v>
      </c>
      <c r="K1186" s="1" t="str">
        <f>"ISOLATION TRANSFORMER UNIT 200KVA"</f>
        <v>ISOLATION TRANSFORMER UNIT 200KVA</v>
      </c>
      <c r="L1186">
        <v>2</v>
      </c>
      <c r="M1186" t="str">
        <f>"PR20000776"</f>
        <v>PR20000776</v>
      </c>
      <c r="N1186" t="str">
        <f>"14 שנאים ITU 200KVA"</f>
        <v>14 שנאים ITU 200KVA</v>
      </c>
      <c r="O1186" s="2">
        <v>35340</v>
      </c>
      <c r="P1186" t="str">
        <f>"$"</f>
        <v>$</v>
      </c>
      <c r="Q1186" t="str">
        <f>"118"</f>
        <v>118</v>
      </c>
      <c r="R1186" t="str">
        <f>"מערכות"</f>
        <v>מערכות</v>
      </c>
      <c r="S1186" t="str">
        <f>"034"</f>
        <v>034</v>
      </c>
      <c r="T1186" t="str">
        <f>"עמר ליגל"</f>
        <v>עמר ליגל</v>
      </c>
      <c r="U1186">
        <v>0</v>
      </c>
      <c r="V1186">
        <v>0</v>
      </c>
      <c r="W1186" s="2">
        <v>35340</v>
      </c>
      <c r="X1186" s="2">
        <v>70680</v>
      </c>
      <c r="Z1186" t="str">
        <f>"Y"</f>
        <v>Y</v>
      </c>
      <c r="AA1186">
        <v>0</v>
      </c>
      <c r="AC1186">
        <v>0</v>
      </c>
      <c r="AE1186">
        <v>0</v>
      </c>
      <c r="AF1186">
        <v>0</v>
      </c>
      <c r="AG1186" s="2">
        <v>115067.04</v>
      </c>
      <c r="AH1186">
        <v>0</v>
      </c>
      <c r="AI1186" s="2">
        <v>230134.08</v>
      </c>
      <c r="AJ1186" s="2">
        <v>70680</v>
      </c>
      <c r="AK1186" s="2">
        <v>70680</v>
      </c>
      <c r="AL1186" t="str">
        <f>"$"</f>
        <v>$</v>
      </c>
    </row>
    <row r="1187" spans="1:38" x14ac:dyDescent="0.3">
      <c r="A1187" t="str">
        <f>"SO21000184"</f>
        <v>SO21000184</v>
      </c>
      <c r="B1187" t="str">
        <f>"E000336430"</f>
        <v>E000336430</v>
      </c>
      <c r="C1187" t="str">
        <f>"בוצעה"</f>
        <v>בוצעה</v>
      </c>
      <c r="E1187" s="3">
        <v>44307</v>
      </c>
      <c r="F1187" s="3">
        <v>44650</v>
      </c>
      <c r="G1187" t="str">
        <f>"700065"</f>
        <v>700065</v>
      </c>
      <c r="H1187" t="str">
        <f>"אלתא מערכות בע""מ"</f>
        <v>אלתא מערכות בע"מ</v>
      </c>
      <c r="I1187" t="str">
        <f>"ערן שלו"</f>
        <v>ערן שלו</v>
      </c>
      <c r="J1187" t="str">
        <f>"OP-PD02882"</f>
        <v>OP-PD02882</v>
      </c>
      <c r="K1187" s="1" t="str">
        <f>"ISOLATION TRANSFORMER UNIT 200KVA"</f>
        <v>ISOLATION TRANSFORMER UNIT 200KVA</v>
      </c>
      <c r="L1187">
        <v>2</v>
      </c>
      <c r="M1187" t="str">
        <f>"PR20000776"</f>
        <v>PR20000776</v>
      </c>
      <c r="N1187" t="str">
        <f>"14 שנאים ITU 200KVA"</f>
        <v>14 שנאים ITU 200KVA</v>
      </c>
      <c r="O1187" s="2">
        <v>35340</v>
      </c>
      <c r="P1187" t="str">
        <f>"$"</f>
        <v>$</v>
      </c>
      <c r="Q1187" t="str">
        <f>"118"</f>
        <v>118</v>
      </c>
      <c r="R1187" t="str">
        <f>"מערכות"</f>
        <v>מערכות</v>
      </c>
      <c r="S1187" t="str">
        <f>"034"</f>
        <v>034</v>
      </c>
      <c r="T1187" t="str">
        <f>"עמר ליגל"</f>
        <v>עמר ליגל</v>
      </c>
      <c r="U1187">
        <v>0</v>
      </c>
      <c r="V1187">
        <v>0</v>
      </c>
      <c r="W1187" s="2">
        <v>35340</v>
      </c>
      <c r="X1187" s="2">
        <v>70680</v>
      </c>
      <c r="Z1187" t="str">
        <f>"Y"</f>
        <v>Y</v>
      </c>
      <c r="AA1187">
        <v>0</v>
      </c>
      <c r="AC1187">
        <v>0</v>
      </c>
      <c r="AE1187">
        <v>0</v>
      </c>
      <c r="AF1187">
        <v>0</v>
      </c>
      <c r="AG1187" s="2">
        <v>115067.04</v>
      </c>
      <c r="AH1187">
        <v>0</v>
      </c>
      <c r="AI1187" s="2">
        <v>230134.08</v>
      </c>
      <c r="AJ1187" s="2">
        <v>70680</v>
      </c>
      <c r="AK1187" s="2">
        <v>70680</v>
      </c>
      <c r="AL1187" t="str">
        <f>"$"</f>
        <v>$</v>
      </c>
    </row>
    <row r="1188" spans="1:38" x14ac:dyDescent="0.3">
      <c r="A1188" t="str">
        <f>"SO21000184"</f>
        <v>SO21000184</v>
      </c>
      <c r="B1188" t="str">
        <f>"E000336430"</f>
        <v>E000336430</v>
      </c>
      <c r="C1188" t="str">
        <f>"בוצעה"</f>
        <v>בוצעה</v>
      </c>
      <c r="E1188" s="3">
        <v>44307</v>
      </c>
      <c r="F1188" s="3">
        <v>44560</v>
      </c>
      <c r="G1188" t="str">
        <f>"700065"</f>
        <v>700065</v>
      </c>
      <c r="H1188" t="str">
        <f>"אלתא מערכות בע""מ"</f>
        <v>אלתא מערכות בע"מ</v>
      </c>
      <c r="I1188" t="str">
        <f>"ערן שלו"</f>
        <v>ערן שלו</v>
      </c>
      <c r="J1188" t="str">
        <f>"OP-PD02882"</f>
        <v>OP-PD02882</v>
      </c>
      <c r="K1188" s="1" t="str">
        <f>"ISOLATION TRANSFORMER UNIT 200KVA"</f>
        <v>ISOLATION TRANSFORMER UNIT 200KVA</v>
      </c>
      <c r="L1188">
        <v>1</v>
      </c>
      <c r="M1188" t="str">
        <f>"PR20000776"</f>
        <v>PR20000776</v>
      </c>
      <c r="N1188" t="str">
        <f>"14 שנאים ITU 200KVA"</f>
        <v>14 שנאים ITU 200KVA</v>
      </c>
      <c r="O1188" s="2">
        <v>35340</v>
      </c>
      <c r="P1188" t="str">
        <f>"$"</f>
        <v>$</v>
      </c>
      <c r="Q1188" t="str">
        <f>"118"</f>
        <v>118</v>
      </c>
      <c r="R1188" t="str">
        <f>"מערכות"</f>
        <v>מערכות</v>
      </c>
      <c r="S1188" t="str">
        <f>"034"</f>
        <v>034</v>
      </c>
      <c r="T1188" t="str">
        <f>"עמר ליגל"</f>
        <v>עמר ליגל</v>
      </c>
      <c r="U1188">
        <v>0</v>
      </c>
      <c r="V1188">
        <v>0</v>
      </c>
      <c r="W1188" s="2">
        <v>35340</v>
      </c>
      <c r="X1188" s="2">
        <v>35340</v>
      </c>
      <c r="Z1188" t="str">
        <f>"Y"</f>
        <v>Y</v>
      </c>
      <c r="AA1188">
        <v>0</v>
      </c>
      <c r="AC1188">
        <v>0</v>
      </c>
      <c r="AE1188">
        <v>0</v>
      </c>
      <c r="AF1188">
        <v>0</v>
      </c>
      <c r="AG1188" s="2">
        <v>115067.04</v>
      </c>
      <c r="AH1188">
        <v>0</v>
      </c>
      <c r="AI1188" s="2">
        <v>115067.04</v>
      </c>
      <c r="AJ1188" s="2">
        <v>35340</v>
      </c>
      <c r="AK1188" s="2">
        <v>35340</v>
      </c>
      <c r="AL1188" t="str">
        <f>"$"</f>
        <v>$</v>
      </c>
    </row>
    <row r="1189" spans="1:38" x14ac:dyDescent="0.3">
      <c r="A1189" t="str">
        <f>"SO21000184"</f>
        <v>SO21000184</v>
      </c>
      <c r="B1189" t="str">
        <f>"E000336430"</f>
        <v>E000336430</v>
      </c>
      <c r="C1189" t="str">
        <f>"בוצעה"</f>
        <v>בוצעה</v>
      </c>
      <c r="E1189" s="3">
        <v>44307</v>
      </c>
      <c r="F1189" s="3">
        <v>44819</v>
      </c>
      <c r="G1189" t="str">
        <f>"700065"</f>
        <v>700065</v>
      </c>
      <c r="H1189" t="str">
        <f>"אלתא מערכות בע""מ"</f>
        <v>אלתא מערכות בע"מ</v>
      </c>
      <c r="I1189" t="str">
        <f>"ערן שלו"</f>
        <v>ערן שלו</v>
      </c>
      <c r="J1189" t="str">
        <f>"OP-PD02882"</f>
        <v>OP-PD02882</v>
      </c>
      <c r="K1189" s="1" t="str">
        <f>"ISOLATION TRANSFORMER UNIT 200KVA"</f>
        <v>ISOLATION TRANSFORMER UNIT 200KVA</v>
      </c>
      <c r="L1189">
        <v>2</v>
      </c>
      <c r="M1189" t="str">
        <f>"PR20000776"</f>
        <v>PR20000776</v>
      </c>
      <c r="N1189" t="str">
        <f>"14 שנאים ITU 200KVA"</f>
        <v>14 שנאים ITU 200KVA</v>
      </c>
      <c r="O1189" s="2">
        <v>35340</v>
      </c>
      <c r="P1189" t="str">
        <f>"$"</f>
        <v>$</v>
      </c>
      <c r="Q1189" t="str">
        <f>"118"</f>
        <v>118</v>
      </c>
      <c r="R1189" t="str">
        <f>"מערכות"</f>
        <v>מערכות</v>
      </c>
      <c r="S1189" t="str">
        <f>"034"</f>
        <v>034</v>
      </c>
      <c r="T1189" t="str">
        <f>"עמר ליגל"</f>
        <v>עמר ליגל</v>
      </c>
      <c r="U1189">
        <v>0</v>
      </c>
      <c r="V1189">
        <v>0</v>
      </c>
      <c r="W1189" s="2">
        <v>35340</v>
      </c>
      <c r="X1189" s="2">
        <v>70680</v>
      </c>
      <c r="Z1189" t="str">
        <f>"Y"</f>
        <v>Y</v>
      </c>
      <c r="AA1189">
        <v>0</v>
      </c>
      <c r="AC1189">
        <v>0</v>
      </c>
      <c r="AE1189">
        <v>0</v>
      </c>
      <c r="AF1189">
        <v>0</v>
      </c>
      <c r="AG1189" s="2">
        <v>115067.04</v>
      </c>
      <c r="AH1189">
        <v>0</v>
      </c>
      <c r="AI1189" s="2">
        <v>230134.08</v>
      </c>
      <c r="AJ1189" s="2">
        <v>70680</v>
      </c>
      <c r="AK1189" s="2">
        <v>70680</v>
      </c>
      <c r="AL1189" t="str">
        <f>"$"</f>
        <v>$</v>
      </c>
    </row>
    <row r="1190" spans="1:38" x14ac:dyDescent="0.3">
      <c r="A1190" t="str">
        <f>"SO21000184"</f>
        <v>SO21000184</v>
      </c>
      <c r="B1190" t="str">
        <f>"E000336430"</f>
        <v>E000336430</v>
      </c>
      <c r="C1190" t="str">
        <f>"בוצעה"</f>
        <v>בוצעה</v>
      </c>
      <c r="E1190" s="3">
        <v>44307</v>
      </c>
      <c r="F1190" s="3">
        <v>44819</v>
      </c>
      <c r="G1190" t="str">
        <f>"700065"</f>
        <v>700065</v>
      </c>
      <c r="H1190" t="str">
        <f>"אלתא מערכות בע""מ"</f>
        <v>אלתא מערכות בע"מ</v>
      </c>
      <c r="I1190" t="str">
        <f>"ערן שלו"</f>
        <v>ערן שלו</v>
      </c>
      <c r="J1190" t="str">
        <f>"OP-PD02882"</f>
        <v>OP-PD02882</v>
      </c>
      <c r="K1190" s="1" t="str">
        <f>"ISOLATION TRANSFORMER UNIT 200KVA"</f>
        <v>ISOLATION TRANSFORMER UNIT 200KVA</v>
      </c>
      <c r="L1190">
        <v>2</v>
      </c>
      <c r="M1190" t="str">
        <f>"PR20000776"</f>
        <v>PR20000776</v>
      </c>
      <c r="N1190" t="str">
        <f>"14 שנאים ITU 200KVA"</f>
        <v>14 שנאים ITU 200KVA</v>
      </c>
      <c r="O1190" s="2">
        <v>35340</v>
      </c>
      <c r="P1190" t="str">
        <f>"$"</f>
        <v>$</v>
      </c>
      <c r="Q1190" t="str">
        <f>"118"</f>
        <v>118</v>
      </c>
      <c r="R1190" t="str">
        <f>"מערכות"</f>
        <v>מערכות</v>
      </c>
      <c r="S1190" t="str">
        <f>"034"</f>
        <v>034</v>
      </c>
      <c r="T1190" t="str">
        <f>"עמר ליגל"</f>
        <v>עמר ליגל</v>
      </c>
      <c r="U1190">
        <v>0</v>
      </c>
      <c r="V1190">
        <v>0</v>
      </c>
      <c r="W1190" s="2">
        <v>35340</v>
      </c>
      <c r="X1190" s="2">
        <v>70680</v>
      </c>
      <c r="Z1190" t="str">
        <f>"Y"</f>
        <v>Y</v>
      </c>
      <c r="AA1190">
        <v>0</v>
      </c>
      <c r="AC1190">
        <v>0</v>
      </c>
      <c r="AE1190">
        <v>0</v>
      </c>
      <c r="AF1190">
        <v>0</v>
      </c>
      <c r="AG1190" s="2">
        <v>115067.04</v>
      </c>
      <c r="AH1190">
        <v>0</v>
      </c>
      <c r="AI1190" s="2">
        <v>230134.08</v>
      </c>
      <c r="AJ1190" s="2">
        <v>70680</v>
      </c>
      <c r="AK1190" s="2">
        <v>70680</v>
      </c>
      <c r="AL1190" t="str">
        <f>"$"</f>
        <v>$</v>
      </c>
    </row>
    <row r="1191" spans="1:38" x14ac:dyDescent="0.3">
      <c r="A1191" t="str">
        <f>"SO21000184"</f>
        <v>SO21000184</v>
      </c>
      <c r="B1191" t="str">
        <f>"E000336430"</f>
        <v>E000336430</v>
      </c>
      <c r="C1191" t="str">
        <f>"בוצעה"</f>
        <v>בוצעה</v>
      </c>
      <c r="E1191" s="3">
        <v>44307</v>
      </c>
      <c r="F1191" s="3">
        <v>44819</v>
      </c>
      <c r="G1191" t="str">
        <f>"700065"</f>
        <v>700065</v>
      </c>
      <c r="H1191" t="str">
        <f>"אלתא מערכות בע""מ"</f>
        <v>אלתא מערכות בע"מ</v>
      </c>
      <c r="I1191" t="str">
        <f>"ערן שלו"</f>
        <v>ערן שלו</v>
      </c>
      <c r="J1191" t="str">
        <f>"OP-PD02882"</f>
        <v>OP-PD02882</v>
      </c>
      <c r="K1191" s="1" t="str">
        <f>"ISOLATION TRANSFORMER UNIT 200KVA"</f>
        <v>ISOLATION TRANSFORMER UNIT 200KVA</v>
      </c>
      <c r="L1191">
        <v>2</v>
      </c>
      <c r="M1191" t="str">
        <f>"PR20000776"</f>
        <v>PR20000776</v>
      </c>
      <c r="N1191" t="str">
        <f>"14 שנאים ITU 200KVA"</f>
        <v>14 שנאים ITU 200KVA</v>
      </c>
      <c r="O1191" s="2">
        <v>35340</v>
      </c>
      <c r="P1191" t="str">
        <f>"$"</f>
        <v>$</v>
      </c>
      <c r="Q1191" t="str">
        <f>"118"</f>
        <v>118</v>
      </c>
      <c r="R1191" t="str">
        <f>"מערכות"</f>
        <v>מערכות</v>
      </c>
      <c r="S1191" t="str">
        <f>"034"</f>
        <v>034</v>
      </c>
      <c r="T1191" t="str">
        <f>"עמר ליגל"</f>
        <v>עמר ליגל</v>
      </c>
      <c r="U1191">
        <v>0</v>
      </c>
      <c r="V1191">
        <v>0</v>
      </c>
      <c r="W1191" s="2">
        <v>35340</v>
      </c>
      <c r="X1191" s="2">
        <v>70680</v>
      </c>
      <c r="Z1191" t="str">
        <f>"Y"</f>
        <v>Y</v>
      </c>
      <c r="AA1191">
        <v>0</v>
      </c>
      <c r="AC1191">
        <v>0</v>
      </c>
      <c r="AE1191">
        <v>0</v>
      </c>
      <c r="AF1191">
        <v>0</v>
      </c>
      <c r="AG1191" s="2">
        <v>115067.04</v>
      </c>
      <c r="AH1191">
        <v>0</v>
      </c>
      <c r="AI1191" s="2">
        <v>230134.08</v>
      </c>
      <c r="AJ1191" s="2">
        <v>70680</v>
      </c>
      <c r="AK1191" s="2">
        <v>70680</v>
      </c>
      <c r="AL1191" t="str">
        <f>"$"</f>
        <v>$</v>
      </c>
    </row>
    <row r="1192" spans="1:38" x14ac:dyDescent="0.3">
      <c r="A1192" t="str">
        <f>"SO21000184"</f>
        <v>SO21000184</v>
      </c>
      <c r="B1192" t="str">
        <f>"E000336430"</f>
        <v>E000336430</v>
      </c>
      <c r="C1192" t="str">
        <f>"בוצעה"</f>
        <v>בוצעה</v>
      </c>
      <c r="E1192" s="3">
        <v>44307</v>
      </c>
      <c r="F1192" s="3">
        <v>44486</v>
      </c>
      <c r="G1192" t="str">
        <f>"700065"</f>
        <v>700065</v>
      </c>
      <c r="H1192" t="str">
        <f>"אלתא מערכות בע""מ"</f>
        <v>אלתא מערכות בע"מ</v>
      </c>
      <c r="I1192" t="str">
        <f>"ערן שלו"</f>
        <v>ערן שלו</v>
      </c>
      <c r="J1192" t="str">
        <f>"OP-PD02883"</f>
        <v>OP-PD02883</v>
      </c>
      <c r="K1192" s="1" t="str">
        <f>"ISOLATION TRANSFORMER UNIT 70KVA"</f>
        <v>ISOLATION TRANSFORMER UNIT 70KVA</v>
      </c>
      <c r="L1192">
        <v>1</v>
      </c>
      <c r="M1192" t="str">
        <f>"PR20000775"</f>
        <v>PR20000775</v>
      </c>
      <c r="N1192" t="str">
        <f>"7 שנאים ITU 70 KVA"</f>
        <v>7 שנאים ITU 70 KVA</v>
      </c>
      <c r="O1192" s="2">
        <v>17670</v>
      </c>
      <c r="P1192" t="str">
        <f>"$"</f>
        <v>$</v>
      </c>
      <c r="Q1192" t="str">
        <f>"118"</f>
        <v>118</v>
      </c>
      <c r="R1192" t="str">
        <f>"מערכות"</f>
        <v>מערכות</v>
      </c>
      <c r="S1192" t="str">
        <f>"034"</f>
        <v>034</v>
      </c>
      <c r="T1192" t="str">
        <f>"עמר ליגל"</f>
        <v>עמר ליגל</v>
      </c>
      <c r="U1192">
        <v>0</v>
      </c>
      <c r="V1192">
        <v>0</v>
      </c>
      <c r="W1192" s="2">
        <v>17670</v>
      </c>
      <c r="X1192" s="2">
        <v>17670</v>
      </c>
      <c r="Z1192" t="str">
        <f>"Y"</f>
        <v>Y</v>
      </c>
      <c r="AA1192">
        <v>0</v>
      </c>
      <c r="AC1192">
        <v>0</v>
      </c>
      <c r="AE1192">
        <v>0</v>
      </c>
      <c r="AF1192">
        <v>0</v>
      </c>
      <c r="AG1192" s="2">
        <v>57533.52</v>
      </c>
      <c r="AH1192">
        <v>0</v>
      </c>
      <c r="AI1192" s="2">
        <v>57533.52</v>
      </c>
      <c r="AJ1192" s="2">
        <v>17670</v>
      </c>
      <c r="AK1192" s="2">
        <v>17670</v>
      </c>
      <c r="AL1192" t="str">
        <f>"$"</f>
        <v>$</v>
      </c>
    </row>
    <row r="1193" spans="1:38" x14ac:dyDescent="0.3">
      <c r="A1193" t="str">
        <f>"SO21000184"</f>
        <v>SO21000184</v>
      </c>
      <c r="B1193" t="str">
        <f>"E000336430"</f>
        <v>E000336430</v>
      </c>
      <c r="C1193" t="str">
        <f>"בוצעה"</f>
        <v>בוצעה</v>
      </c>
      <c r="E1193" s="3">
        <v>44307</v>
      </c>
      <c r="F1193" s="3">
        <v>44620</v>
      </c>
      <c r="G1193" t="str">
        <f>"700065"</f>
        <v>700065</v>
      </c>
      <c r="H1193" t="str">
        <f>"אלתא מערכות בע""מ"</f>
        <v>אלתא מערכות בע"מ</v>
      </c>
      <c r="I1193" t="str">
        <f>"ערן שלו"</f>
        <v>ערן שלו</v>
      </c>
      <c r="J1193" t="str">
        <f>"OP-PD02883"</f>
        <v>OP-PD02883</v>
      </c>
      <c r="K1193" s="1" t="str">
        <f>"ISOLATION TRANSFORMER UNIT 70KVA"</f>
        <v>ISOLATION TRANSFORMER UNIT 70KVA</v>
      </c>
      <c r="L1193">
        <v>1</v>
      </c>
      <c r="M1193" t="str">
        <f>"PR20000775"</f>
        <v>PR20000775</v>
      </c>
      <c r="N1193" t="str">
        <f>"7 שנאים ITU 70 KVA"</f>
        <v>7 שנאים ITU 70 KVA</v>
      </c>
      <c r="O1193" s="2">
        <v>17670</v>
      </c>
      <c r="P1193" t="str">
        <f>"$"</f>
        <v>$</v>
      </c>
      <c r="Q1193" t="str">
        <f>"118"</f>
        <v>118</v>
      </c>
      <c r="R1193" t="str">
        <f>"מערכות"</f>
        <v>מערכות</v>
      </c>
      <c r="S1193" t="str">
        <f>"034"</f>
        <v>034</v>
      </c>
      <c r="T1193" t="str">
        <f>"עמר ליגל"</f>
        <v>עמר ליגל</v>
      </c>
      <c r="U1193">
        <v>0</v>
      </c>
      <c r="V1193">
        <v>0</v>
      </c>
      <c r="W1193" s="2">
        <v>17670</v>
      </c>
      <c r="X1193" s="2">
        <v>17670</v>
      </c>
      <c r="Z1193" t="str">
        <f>"Y"</f>
        <v>Y</v>
      </c>
      <c r="AA1193">
        <v>0</v>
      </c>
      <c r="AC1193">
        <v>0</v>
      </c>
      <c r="AE1193">
        <v>0</v>
      </c>
      <c r="AF1193">
        <v>0</v>
      </c>
      <c r="AG1193" s="2">
        <v>57533.52</v>
      </c>
      <c r="AH1193">
        <v>0</v>
      </c>
      <c r="AI1193" s="2">
        <v>57533.52</v>
      </c>
      <c r="AJ1193" s="2">
        <v>17670</v>
      </c>
      <c r="AK1193" s="2">
        <v>17670</v>
      </c>
      <c r="AL1193" t="str">
        <f>"$"</f>
        <v>$</v>
      </c>
    </row>
    <row r="1194" spans="1:38" x14ac:dyDescent="0.3">
      <c r="A1194" t="str">
        <f>"SO21000184"</f>
        <v>SO21000184</v>
      </c>
      <c r="B1194" t="str">
        <f>"E000336430"</f>
        <v>E000336430</v>
      </c>
      <c r="C1194" t="str">
        <f>"בוצעה"</f>
        <v>בוצעה</v>
      </c>
      <c r="E1194" s="3">
        <v>44307</v>
      </c>
      <c r="F1194" s="3">
        <v>44486</v>
      </c>
      <c r="G1194" t="str">
        <f>"700065"</f>
        <v>700065</v>
      </c>
      <c r="H1194" t="str">
        <f>"אלתא מערכות בע""מ"</f>
        <v>אלתא מערכות בע"מ</v>
      </c>
      <c r="I1194" t="str">
        <f>"ערן שלו"</f>
        <v>ערן שלו</v>
      </c>
      <c r="J1194" t="str">
        <f>"OP-PD02883"</f>
        <v>OP-PD02883</v>
      </c>
      <c r="K1194" s="1" t="str">
        <f>"ISOLATION TRANSFORMER UNIT 70KVA"</f>
        <v>ISOLATION TRANSFORMER UNIT 70KVA</v>
      </c>
      <c r="L1194">
        <v>1</v>
      </c>
      <c r="M1194" t="str">
        <f>"PR20000775"</f>
        <v>PR20000775</v>
      </c>
      <c r="N1194" t="str">
        <f>"7 שנאים ITU 70 KVA"</f>
        <v>7 שנאים ITU 70 KVA</v>
      </c>
      <c r="O1194" s="2">
        <v>17670</v>
      </c>
      <c r="P1194" t="str">
        <f>"$"</f>
        <v>$</v>
      </c>
      <c r="Q1194" t="str">
        <f>"118"</f>
        <v>118</v>
      </c>
      <c r="R1194" t="str">
        <f>"מערכות"</f>
        <v>מערכות</v>
      </c>
      <c r="S1194" t="str">
        <f>"034"</f>
        <v>034</v>
      </c>
      <c r="T1194" t="str">
        <f>"עמר ליגל"</f>
        <v>עמר ליגל</v>
      </c>
      <c r="U1194">
        <v>0</v>
      </c>
      <c r="V1194">
        <v>0</v>
      </c>
      <c r="W1194" s="2">
        <v>17670</v>
      </c>
      <c r="X1194" s="2">
        <v>17670</v>
      </c>
      <c r="Z1194" t="str">
        <f>"Y"</f>
        <v>Y</v>
      </c>
      <c r="AA1194">
        <v>0</v>
      </c>
      <c r="AC1194">
        <v>0</v>
      </c>
      <c r="AE1194">
        <v>0</v>
      </c>
      <c r="AF1194">
        <v>0</v>
      </c>
      <c r="AG1194" s="2">
        <v>57533.52</v>
      </c>
      <c r="AH1194">
        <v>0</v>
      </c>
      <c r="AI1194" s="2">
        <v>57533.52</v>
      </c>
      <c r="AJ1194" s="2">
        <v>17670</v>
      </c>
      <c r="AK1194" s="2">
        <v>17670</v>
      </c>
      <c r="AL1194" t="str">
        <f>"$"</f>
        <v>$</v>
      </c>
    </row>
    <row r="1195" spans="1:38" x14ac:dyDescent="0.3">
      <c r="A1195" t="str">
        <f>"SO21000184"</f>
        <v>SO21000184</v>
      </c>
      <c r="B1195" t="str">
        <f>"E000336430"</f>
        <v>E000336430</v>
      </c>
      <c r="C1195" t="str">
        <f>"בוצעה"</f>
        <v>בוצעה</v>
      </c>
      <c r="E1195" s="3">
        <v>44307</v>
      </c>
      <c r="F1195" s="3">
        <v>44650</v>
      </c>
      <c r="G1195" t="str">
        <f>"700065"</f>
        <v>700065</v>
      </c>
      <c r="H1195" t="str">
        <f>"אלתא מערכות בע""מ"</f>
        <v>אלתא מערכות בע"מ</v>
      </c>
      <c r="I1195" t="str">
        <f>"ערן שלו"</f>
        <v>ערן שלו</v>
      </c>
      <c r="J1195" t="str">
        <f>"OP-PD02883"</f>
        <v>OP-PD02883</v>
      </c>
      <c r="K1195" s="1" t="str">
        <f>"ISOLATION TRANSFORMER UNIT 70KVA"</f>
        <v>ISOLATION TRANSFORMER UNIT 70KVA</v>
      </c>
      <c r="L1195">
        <v>1</v>
      </c>
      <c r="M1195" t="str">
        <f>"PR20000775"</f>
        <v>PR20000775</v>
      </c>
      <c r="N1195" t="str">
        <f>"7 שנאים ITU 70 KVA"</f>
        <v>7 שנאים ITU 70 KVA</v>
      </c>
      <c r="O1195" s="2">
        <v>17670</v>
      </c>
      <c r="P1195" t="str">
        <f>"$"</f>
        <v>$</v>
      </c>
      <c r="Q1195" t="str">
        <f>"118"</f>
        <v>118</v>
      </c>
      <c r="R1195" t="str">
        <f>"מערכות"</f>
        <v>מערכות</v>
      </c>
      <c r="S1195" t="str">
        <f>"034"</f>
        <v>034</v>
      </c>
      <c r="T1195" t="str">
        <f>"עמר ליגל"</f>
        <v>עמר ליגל</v>
      </c>
      <c r="U1195">
        <v>0</v>
      </c>
      <c r="V1195">
        <v>0</v>
      </c>
      <c r="W1195" s="2">
        <v>17670</v>
      </c>
      <c r="X1195" s="2">
        <v>17670</v>
      </c>
      <c r="Z1195" t="str">
        <f>"Y"</f>
        <v>Y</v>
      </c>
      <c r="AA1195">
        <v>0</v>
      </c>
      <c r="AC1195">
        <v>0</v>
      </c>
      <c r="AE1195">
        <v>0</v>
      </c>
      <c r="AF1195">
        <v>0</v>
      </c>
      <c r="AG1195" s="2">
        <v>57533.52</v>
      </c>
      <c r="AH1195">
        <v>0</v>
      </c>
      <c r="AI1195" s="2">
        <v>57533.52</v>
      </c>
      <c r="AJ1195" s="2">
        <v>17670</v>
      </c>
      <c r="AK1195" s="2">
        <v>17670</v>
      </c>
      <c r="AL1195" t="str">
        <f>"$"</f>
        <v>$</v>
      </c>
    </row>
    <row r="1196" spans="1:38" x14ac:dyDescent="0.3">
      <c r="A1196" t="str">
        <f>"SO21000184"</f>
        <v>SO21000184</v>
      </c>
      <c r="B1196" t="str">
        <f>"E000336430"</f>
        <v>E000336430</v>
      </c>
      <c r="C1196" t="str">
        <f>"בוצעה"</f>
        <v>בוצעה</v>
      </c>
      <c r="E1196" s="3">
        <v>44307</v>
      </c>
      <c r="F1196" s="3">
        <v>44650</v>
      </c>
      <c r="G1196" t="str">
        <f>"700065"</f>
        <v>700065</v>
      </c>
      <c r="H1196" t="str">
        <f>"אלתא מערכות בע""מ"</f>
        <v>אלתא מערכות בע"מ</v>
      </c>
      <c r="I1196" t="str">
        <f>"ערן שלו"</f>
        <v>ערן שלו</v>
      </c>
      <c r="J1196" t="str">
        <f>"OP-PD02883"</f>
        <v>OP-PD02883</v>
      </c>
      <c r="K1196" s="1" t="str">
        <f>"ISOLATION TRANSFORMER UNIT 70KVA"</f>
        <v>ISOLATION TRANSFORMER UNIT 70KVA</v>
      </c>
      <c r="L1196">
        <v>1</v>
      </c>
      <c r="M1196" t="str">
        <f>"PR20000775"</f>
        <v>PR20000775</v>
      </c>
      <c r="N1196" t="str">
        <f>"7 שנאים ITU 70 KVA"</f>
        <v>7 שנאים ITU 70 KVA</v>
      </c>
      <c r="O1196" s="2">
        <v>17670</v>
      </c>
      <c r="P1196" t="str">
        <f>"$"</f>
        <v>$</v>
      </c>
      <c r="Q1196" t="str">
        <f>"118"</f>
        <v>118</v>
      </c>
      <c r="R1196" t="str">
        <f>"מערכות"</f>
        <v>מערכות</v>
      </c>
      <c r="S1196" t="str">
        <f>"034"</f>
        <v>034</v>
      </c>
      <c r="T1196" t="str">
        <f>"עמר ליגל"</f>
        <v>עמר ליגל</v>
      </c>
      <c r="U1196">
        <v>0</v>
      </c>
      <c r="V1196">
        <v>0</v>
      </c>
      <c r="W1196" s="2">
        <v>17670</v>
      </c>
      <c r="X1196" s="2">
        <v>17670</v>
      </c>
      <c r="Z1196" t="str">
        <f>"Y"</f>
        <v>Y</v>
      </c>
      <c r="AA1196">
        <v>0</v>
      </c>
      <c r="AC1196">
        <v>0</v>
      </c>
      <c r="AE1196">
        <v>0</v>
      </c>
      <c r="AF1196">
        <v>0</v>
      </c>
      <c r="AG1196" s="2">
        <v>57533.52</v>
      </c>
      <c r="AH1196">
        <v>0</v>
      </c>
      <c r="AI1196" s="2">
        <v>57533.52</v>
      </c>
      <c r="AJ1196" s="2">
        <v>17670</v>
      </c>
      <c r="AK1196" s="2">
        <v>17670</v>
      </c>
      <c r="AL1196" t="str">
        <f>"$"</f>
        <v>$</v>
      </c>
    </row>
    <row r="1197" spans="1:38" x14ac:dyDescent="0.3">
      <c r="A1197" t="str">
        <f>"SO21000184"</f>
        <v>SO21000184</v>
      </c>
      <c r="B1197" t="str">
        <f>"E000336430"</f>
        <v>E000336430</v>
      </c>
      <c r="C1197" t="str">
        <f>"בוצעה"</f>
        <v>בוצעה</v>
      </c>
      <c r="E1197" s="3">
        <v>44307</v>
      </c>
      <c r="F1197" s="3">
        <v>44650</v>
      </c>
      <c r="G1197" t="str">
        <f>"700065"</f>
        <v>700065</v>
      </c>
      <c r="H1197" t="str">
        <f>"אלתא מערכות בע""מ"</f>
        <v>אלתא מערכות בע"מ</v>
      </c>
      <c r="I1197" t="str">
        <f>"ערן שלו"</f>
        <v>ערן שלו</v>
      </c>
      <c r="J1197" t="str">
        <f>"OP-PD02883"</f>
        <v>OP-PD02883</v>
      </c>
      <c r="K1197" s="1" t="str">
        <f>"ISOLATION TRANSFORMER UNIT 70KVA"</f>
        <v>ISOLATION TRANSFORMER UNIT 70KVA</v>
      </c>
      <c r="L1197">
        <v>1</v>
      </c>
      <c r="M1197" t="str">
        <f>"PR20000775"</f>
        <v>PR20000775</v>
      </c>
      <c r="N1197" t="str">
        <f>"7 שנאים ITU 70 KVA"</f>
        <v>7 שנאים ITU 70 KVA</v>
      </c>
      <c r="O1197" s="2">
        <v>17670</v>
      </c>
      <c r="P1197" t="str">
        <f>"$"</f>
        <v>$</v>
      </c>
      <c r="Q1197" t="str">
        <f>"118"</f>
        <v>118</v>
      </c>
      <c r="R1197" t="str">
        <f>"מערכות"</f>
        <v>מערכות</v>
      </c>
      <c r="S1197" t="str">
        <f>"034"</f>
        <v>034</v>
      </c>
      <c r="T1197" t="str">
        <f>"עמר ליגל"</f>
        <v>עמר ליגל</v>
      </c>
      <c r="U1197">
        <v>0</v>
      </c>
      <c r="V1197">
        <v>0</v>
      </c>
      <c r="W1197" s="2">
        <v>17670</v>
      </c>
      <c r="X1197" s="2">
        <v>17670</v>
      </c>
      <c r="Z1197" t="str">
        <f>"Y"</f>
        <v>Y</v>
      </c>
      <c r="AA1197">
        <v>0</v>
      </c>
      <c r="AC1197">
        <v>0</v>
      </c>
      <c r="AE1197">
        <v>0</v>
      </c>
      <c r="AF1197">
        <v>0</v>
      </c>
      <c r="AG1197" s="2">
        <v>57533.52</v>
      </c>
      <c r="AH1197">
        <v>0</v>
      </c>
      <c r="AI1197" s="2">
        <v>57533.52</v>
      </c>
      <c r="AJ1197" s="2">
        <v>17670</v>
      </c>
      <c r="AK1197" s="2">
        <v>17670</v>
      </c>
      <c r="AL1197" t="str">
        <f>"$"</f>
        <v>$</v>
      </c>
    </row>
    <row r="1198" spans="1:38" x14ac:dyDescent="0.3">
      <c r="A1198" t="str">
        <f>"SO21000184"</f>
        <v>SO21000184</v>
      </c>
      <c r="B1198" t="str">
        <f>"E000336430"</f>
        <v>E000336430</v>
      </c>
      <c r="C1198" t="str">
        <f>"בוצעה"</f>
        <v>בוצעה</v>
      </c>
      <c r="E1198" s="3">
        <v>44307</v>
      </c>
      <c r="F1198" s="3">
        <v>44803</v>
      </c>
      <c r="G1198" t="str">
        <f>"700065"</f>
        <v>700065</v>
      </c>
      <c r="H1198" t="str">
        <f>"אלתא מערכות בע""מ"</f>
        <v>אלתא מערכות בע"מ</v>
      </c>
      <c r="I1198" t="str">
        <f>"ערן שלו"</f>
        <v>ערן שלו</v>
      </c>
      <c r="J1198" t="str">
        <f>"OP-PD02881"</f>
        <v>OP-PD02881</v>
      </c>
      <c r="K1198" s="1" t="str">
        <f>"POWER DISTRIBUTION BOARD 09-SOCD"</f>
        <v>POWER DISTRIBUTION BOARD 09-SOCD</v>
      </c>
      <c r="L1198">
        <v>1</v>
      </c>
      <c r="M1198" t="str">
        <f>"PR22000127"</f>
        <v>PR22000127</v>
      </c>
      <c r="N1198" t="str">
        <f>"ייצור לוח PDB 09 - SOCD סט שישי"</f>
        <v>ייצור לוח PDB 09 - SOCD סט שישי</v>
      </c>
      <c r="O1198" s="2">
        <v>39999.300000000003</v>
      </c>
      <c r="P1198" t="str">
        <f>"$"</f>
        <v>$</v>
      </c>
      <c r="Q1198" t="str">
        <f>"118"</f>
        <v>118</v>
      </c>
      <c r="R1198" t="str">
        <f>"מערכות"</f>
        <v>מערכות</v>
      </c>
      <c r="S1198" t="str">
        <f>"034"</f>
        <v>034</v>
      </c>
      <c r="T1198" t="str">
        <f>"עמר ליגל"</f>
        <v>עמר ליגל</v>
      </c>
      <c r="U1198">
        <v>0</v>
      </c>
      <c r="V1198">
        <v>0</v>
      </c>
      <c r="W1198" s="2">
        <v>39999.300000000003</v>
      </c>
      <c r="X1198" s="2">
        <v>39999.300000000003</v>
      </c>
      <c r="Z1198" t="str">
        <f>"Y"</f>
        <v>Y</v>
      </c>
      <c r="AA1198">
        <v>0</v>
      </c>
      <c r="AC1198">
        <v>0</v>
      </c>
      <c r="AE1198">
        <v>0</v>
      </c>
      <c r="AF1198">
        <v>0</v>
      </c>
      <c r="AG1198" s="2">
        <v>130237.72</v>
      </c>
      <c r="AH1198">
        <v>0</v>
      </c>
      <c r="AI1198" s="2">
        <v>130237.72</v>
      </c>
      <c r="AJ1198" s="2">
        <v>39999.300000000003</v>
      </c>
      <c r="AK1198" s="2">
        <v>39999.300000000003</v>
      </c>
      <c r="AL1198" t="str">
        <f>"$"</f>
        <v>$</v>
      </c>
    </row>
    <row r="1199" spans="1:38" x14ac:dyDescent="0.3">
      <c r="A1199" t="str">
        <f>"SO21000184"</f>
        <v>SO21000184</v>
      </c>
      <c r="B1199" t="str">
        <f>"E000336430"</f>
        <v>E000336430</v>
      </c>
      <c r="C1199" t="str">
        <f>"בוצעה"</f>
        <v>בוצעה</v>
      </c>
      <c r="E1199" s="3">
        <v>44307</v>
      </c>
      <c r="F1199" s="3">
        <v>44864</v>
      </c>
      <c r="G1199" t="str">
        <f>"700065"</f>
        <v>700065</v>
      </c>
      <c r="H1199" t="str">
        <f>"אלתא מערכות בע""מ"</f>
        <v>אלתא מערכות בע"מ</v>
      </c>
      <c r="I1199" t="str">
        <f>"ערן שלו"</f>
        <v>ערן שלו</v>
      </c>
      <c r="J1199" t="str">
        <f>"OP-PD02881"</f>
        <v>OP-PD02881</v>
      </c>
      <c r="K1199" s="1" t="str">
        <f>"POWER DISTRIBUTION BOARD 09-SOCD"</f>
        <v>POWER DISTRIBUTION BOARD 09-SOCD</v>
      </c>
      <c r="L1199">
        <v>1</v>
      </c>
      <c r="M1199" t="str">
        <f>"PR22000128"</f>
        <v>PR22000128</v>
      </c>
      <c r="N1199" t="str">
        <f>"ייצור לוח DB 09  SOCD סט שביעי.."</f>
        <v>ייצור לוח DB 09  SOCD סט שביעי..</v>
      </c>
      <c r="O1199" s="2">
        <v>39999.300000000003</v>
      </c>
      <c r="P1199" t="str">
        <f>"$"</f>
        <v>$</v>
      </c>
      <c r="Q1199" t="str">
        <f>"118"</f>
        <v>118</v>
      </c>
      <c r="R1199" t="str">
        <f>"מערכות"</f>
        <v>מערכות</v>
      </c>
      <c r="S1199" t="str">
        <f>"034"</f>
        <v>034</v>
      </c>
      <c r="T1199" t="str">
        <f>"עמר ליגל"</f>
        <v>עמר ליגל</v>
      </c>
      <c r="U1199">
        <v>0</v>
      </c>
      <c r="V1199">
        <v>0</v>
      </c>
      <c r="W1199" s="2">
        <v>39999.300000000003</v>
      </c>
      <c r="X1199" s="2">
        <v>39999.300000000003</v>
      </c>
      <c r="Z1199" t="str">
        <f>"Y"</f>
        <v>Y</v>
      </c>
      <c r="AA1199">
        <v>0</v>
      </c>
      <c r="AC1199">
        <v>0</v>
      </c>
      <c r="AE1199">
        <v>0</v>
      </c>
      <c r="AF1199">
        <v>0</v>
      </c>
      <c r="AG1199" s="2">
        <v>130237.72</v>
      </c>
      <c r="AH1199">
        <v>0</v>
      </c>
      <c r="AI1199" s="2">
        <v>130237.72</v>
      </c>
      <c r="AJ1199" s="2">
        <v>39999.300000000003</v>
      </c>
      <c r="AK1199" s="2">
        <v>39999.300000000003</v>
      </c>
      <c r="AL1199" t="str">
        <f>"$"</f>
        <v>$</v>
      </c>
    </row>
    <row r="1200" spans="1:38" x14ac:dyDescent="0.3">
      <c r="A1200" t="str">
        <f>"SO21000184"</f>
        <v>SO21000184</v>
      </c>
      <c r="B1200" t="str">
        <f>"E000336430"</f>
        <v>E000336430</v>
      </c>
      <c r="C1200" t="str">
        <f>"בוצעה"</f>
        <v>בוצעה</v>
      </c>
      <c r="E1200" s="3">
        <v>44307</v>
      </c>
      <c r="F1200" s="3">
        <v>44742</v>
      </c>
      <c r="G1200" t="str">
        <f>"700065"</f>
        <v>700065</v>
      </c>
      <c r="H1200" t="str">
        <f>"אלתא מערכות בע""מ"</f>
        <v>אלתא מערכות בע"מ</v>
      </c>
      <c r="I1200" t="str">
        <f>"ערן שלו"</f>
        <v>ערן שלו</v>
      </c>
      <c r="J1200" t="str">
        <f>"OP-PD02881"</f>
        <v>OP-PD02881</v>
      </c>
      <c r="K1200" s="1" t="str">
        <f>"POWER DISTRIBUTION BOARD 09-SOCD"</f>
        <v>POWER DISTRIBUTION BOARD 09-SOCD</v>
      </c>
      <c r="L1200">
        <v>1</v>
      </c>
      <c r="M1200" t="str">
        <f>"PR22000124"</f>
        <v>PR22000124</v>
      </c>
      <c r="N1200" t="str">
        <f>"ייצור לוח PDB 09 - SOCD סט חמישי"</f>
        <v>ייצור לוח PDB 09 - SOCD סט חמישי</v>
      </c>
      <c r="O1200" s="2">
        <v>39999.300000000003</v>
      </c>
      <c r="P1200" t="str">
        <f>"$"</f>
        <v>$</v>
      </c>
      <c r="Q1200" t="str">
        <f>"118"</f>
        <v>118</v>
      </c>
      <c r="R1200" t="str">
        <f>"מערכות"</f>
        <v>מערכות</v>
      </c>
      <c r="S1200" t="str">
        <f>"034"</f>
        <v>034</v>
      </c>
      <c r="T1200" t="str">
        <f>"עמר ליגל"</f>
        <v>עמר ליגל</v>
      </c>
      <c r="U1200">
        <v>0</v>
      </c>
      <c r="V1200">
        <v>0</v>
      </c>
      <c r="W1200" s="2">
        <v>39999.300000000003</v>
      </c>
      <c r="X1200" s="2">
        <v>39999.300000000003</v>
      </c>
      <c r="Z1200" t="str">
        <f>"Y"</f>
        <v>Y</v>
      </c>
      <c r="AA1200">
        <v>0</v>
      </c>
      <c r="AC1200">
        <v>0</v>
      </c>
      <c r="AE1200">
        <v>0</v>
      </c>
      <c r="AF1200">
        <v>0</v>
      </c>
      <c r="AG1200" s="2">
        <v>130237.72</v>
      </c>
      <c r="AH1200">
        <v>0</v>
      </c>
      <c r="AI1200" s="2">
        <v>130237.72</v>
      </c>
      <c r="AJ1200" s="2">
        <v>39999.300000000003</v>
      </c>
      <c r="AK1200" s="2">
        <v>39999.300000000003</v>
      </c>
      <c r="AL1200" t="str">
        <f>"$"</f>
        <v>$</v>
      </c>
    </row>
    <row r="1201" spans="1:38" x14ac:dyDescent="0.3">
      <c r="A1201" t="str">
        <f>"SO21000184"</f>
        <v>SO21000184</v>
      </c>
      <c r="B1201" t="str">
        <f>"E000336430"</f>
        <v>E000336430</v>
      </c>
      <c r="C1201" t="str">
        <f>"בוצעה"</f>
        <v>בוצעה</v>
      </c>
      <c r="E1201" s="3">
        <v>44307</v>
      </c>
      <c r="F1201" s="3">
        <v>44620</v>
      </c>
      <c r="G1201" t="str">
        <f>"700065"</f>
        <v>700065</v>
      </c>
      <c r="H1201" t="str">
        <f>"אלתא מערכות בע""מ"</f>
        <v>אלתא מערכות בע"מ</v>
      </c>
      <c r="I1201" t="str">
        <f>"ערן שלו"</f>
        <v>ערן שלו</v>
      </c>
      <c r="J1201" t="str">
        <f>"OP-PD02881"</f>
        <v>OP-PD02881</v>
      </c>
      <c r="K1201" s="1" t="str">
        <f>"POWER DISTRIBUTION BOARD 09-SOCD"</f>
        <v>POWER DISTRIBUTION BOARD 09-SOCD</v>
      </c>
      <c r="L1201">
        <v>1</v>
      </c>
      <c r="M1201" t="str">
        <f>"PR20000777"</f>
        <v>PR20000777</v>
      </c>
      <c r="N1201" t="str">
        <f>"ייצור 4 לוחות PDB 09 - SOCD"</f>
        <v>ייצור 4 לוחות PDB 09 - SOCD</v>
      </c>
      <c r="O1201" s="2">
        <v>39999.300000000003</v>
      </c>
      <c r="P1201" t="str">
        <f>"$"</f>
        <v>$</v>
      </c>
      <c r="Q1201" t="str">
        <f>"118"</f>
        <v>118</v>
      </c>
      <c r="R1201" t="str">
        <f>"מערכות"</f>
        <v>מערכות</v>
      </c>
      <c r="S1201" t="str">
        <f>"034"</f>
        <v>034</v>
      </c>
      <c r="T1201" t="str">
        <f>"עמר ליגל"</f>
        <v>עמר ליגל</v>
      </c>
      <c r="U1201">
        <v>0</v>
      </c>
      <c r="V1201">
        <v>0</v>
      </c>
      <c r="W1201" s="2">
        <v>39999.300000000003</v>
      </c>
      <c r="X1201" s="2">
        <v>39999.300000000003</v>
      </c>
      <c r="Z1201" t="str">
        <f>"Y"</f>
        <v>Y</v>
      </c>
      <c r="AA1201">
        <v>0</v>
      </c>
      <c r="AC1201">
        <v>0</v>
      </c>
      <c r="AE1201">
        <v>0</v>
      </c>
      <c r="AF1201">
        <v>0</v>
      </c>
      <c r="AG1201" s="2">
        <v>130237.72</v>
      </c>
      <c r="AH1201">
        <v>0</v>
      </c>
      <c r="AI1201" s="2">
        <v>130237.72</v>
      </c>
      <c r="AJ1201" s="2">
        <v>39999.300000000003</v>
      </c>
      <c r="AK1201" s="2">
        <v>39999.300000000003</v>
      </c>
      <c r="AL1201" t="str">
        <f>"$"</f>
        <v>$</v>
      </c>
    </row>
    <row r="1202" spans="1:38" x14ac:dyDescent="0.3">
      <c r="A1202" t="str">
        <f>"SO21000184"</f>
        <v>SO21000184</v>
      </c>
      <c r="B1202" t="str">
        <f>"E000336430"</f>
        <v>E000336430</v>
      </c>
      <c r="C1202" t="str">
        <f>"בוצעה"</f>
        <v>בוצעה</v>
      </c>
      <c r="E1202" s="3">
        <v>44307</v>
      </c>
      <c r="F1202" s="3">
        <v>44530</v>
      </c>
      <c r="G1202" t="str">
        <f>"700065"</f>
        <v>700065</v>
      </c>
      <c r="H1202" t="str">
        <f>"אלתא מערכות בע""מ"</f>
        <v>אלתא מערכות בע"מ</v>
      </c>
      <c r="I1202" t="str">
        <f>"ערן שלו"</f>
        <v>ערן שלו</v>
      </c>
      <c r="J1202" t="str">
        <f>"OP-PD02881"</f>
        <v>OP-PD02881</v>
      </c>
      <c r="K1202" s="1" t="str">
        <f>"POWER DISTRIBUTION BOARD 09-SOCD"</f>
        <v>POWER DISTRIBUTION BOARD 09-SOCD</v>
      </c>
      <c r="L1202">
        <v>1</v>
      </c>
      <c r="M1202" t="str">
        <f>"PR20000777"</f>
        <v>PR20000777</v>
      </c>
      <c r="N1202" t="str">
        <f>"ייצור 4 לוחות PDB 09 - SOCD"</f>
        <v>ייצור 4 לוחות PDB 09 - SOCD</v>
      </c>
      <c r="O1202" s="2">
        <v>39999.300000000003</v>
      </c>
      <c r="P1202" t="str">
        <f>"$"</f>
        <v>$</v>
      </c>
      <c r="Q1202" t="str">
        <f>"118"</f>
        <v>118</v>
      </c>
      <c r="R1202" t="str">
        <f>"מערכות"</f>
        <v>מערכות</v>
      </c>
      <c r="S1202" t="str">
        <f>"034"</f>
        <v>034</v>
      </c>
      <c r="T1202" t="str">
        <f>"עמר ליגל"</f>
        <v>עמר ליגל</v>
      </c>
      <c r="U1202">
        <v>0</v>
      </c>
      <c r="V1202">
        <v>0</v>
      </c>
      <c r="W1202" s="2">
        <v>39999.300000000003</v>
      </c>
      <c r="X1202" s="2">
        <v>39999.300000000003</v>
      </c>
      <c r="Z1202" t="str">
        <f>"Y"</f>
        <v>Y</v>
      </c>
      <c r="AA1202">
        <v>0</v>
      </c>
      <c r="AC1202">
        <v>0</v>
      </c>
      <c r="AE1202">
        <v>0</v>
      </c>
      <c r="AF1202">
        <v>0</v>
      </c>
      <c r="AG1202" s="2">
        <v>130237.72</v>
      </c>
      <c r="AH1202">
        <v>0</v>
      </c>
      <c r="AI1202" s="2">
        <v>130237.72</v>
      </c>
      <c r="AJ1202" s="2">
        <v>39999.300000000003</v>
      </c>
      <c r="AK1202" s="2">
        <v>39999.300000000003</v>
      </c>
      <c r="AL1202" t="str">
        <f>"$"</f>
        <v>$</v>
      </c>
    </row>
    <row r="1203" spans="1:38" x14ac:dyDescent="0.3">
      <c r="A1203" t="str">
        <f>"SO21000184"</f>
        <v>SO21000184</v>
      </c>
      <c r="B1203" t="str">
        <f>"E000336430"</f>
        <v>E000336430</v>
      </c>
      <c r="C1203" t="str">
        <f>"בוצעה"</f>
        <v>בוצעה</v>
      </c>
      <c r="E1203" s="3">
        <v>44307</v>
      </c>
      <c r="F1203" s="3">
        <v>44681</v>
      </c>
      <c r="G1203" t="str">
        <f>"700065"</f>
        <v>700065</v>
      </c>
      <c r="H1203" t="str">
        <f>"אלתא מערכות בע""מ"</f>
        <v>אלתא מערכות בע"מ</v>
      </c>
      <c r="I1203" t="str">
        <f>"ערן שלו"</f>
        <v>ערן שלו</v>
      </c>
      <c r="J1203" t="str">
        <f>"OP-PD02881"</f>
        <v>OP-PD02881</v>
      </c>
      <c r="K1203" s="1" t="str">
        <f>"POWER DISTRIBUTION BOARD 09-SOCD"</f>
        <v>POWER DISTRIBUTION BOARD 09-SOCD</v>
      </c>
      <c r="L1203">
        <v>1</v>
      </c>
      <c r="M1203" t="str">
        <f>"PR20000777"</f>
        <v>PR20000777</v>
      </c>
      <c r="N1203" t="str">
        <f>"ייצור 4 לוחות PDB 09 - SOCD"</f>
        <v>ייצור 4 לוחות PDB 09 - SOCD</v>
      </c>
      <c r="O1203" s="2">
        <v>39999.300000000003</v>
      </c>
      <c r="P1203" t="str">
        <f>"$"</f>
        <v>$</v>
      </c>
      <c r="Q1203" t="str">
        <f>"118"</f>
        <v>118</v>
      </c>
      <c r="R1203" t="str">
        <f>"מערכות"</f>
        <v>מערכות</v>
      </c>
      <c r="S1203" t="str">
        <f>"034"</f>
        <v>034</v>
      </c>
      <c r="T1203" t="str">
        <f>"עמר ליגל"</f>
        <v>עמר ליגל</v>
      </c>
      <c r="U1203">
        <v>0</v>
      </c>
      <c r="V1203">
        <v>0</v>
      </c>
      <c r="W1203" s="2">
        <v>39999.300000000003</v>
      </c>
      <c r="X1203" s="2">
        <v>39999.300000000003</v>
      </c>
      <c r="Z1203" t="str">
        <f>"Y"</f>
        <v>Y</v>
      </c>
      <c r="AA1203">
        <v>0</v>
      </c>
      <c r="AC1203">
        <v>0</v>
      </c>
      <c r="AE1203">
        <v>0</v>
      </c>
      <c r="AF1203">
        <v>0</v>
      </c>
      <c r="AG1203" s="2">
        <v>130237.72</v>
      </c>
      <c r="AH1203">
        <v>0</v>
      </c>
      <c r="AI1203" s="2">
        <v>130237.72</v>
      </c>
      <c r="AJ1203" s="2">
        <v>39999.300000000003</v>
      </c>
      <c r="AK1203" s="2">
        <v>39999.300000000003</v>
      </c>
      <c r="AL1203" t="str">
        <f>"$"</f>
        <v>$</v>
      </c>
    </row>
    <row r="1204" spans="1:38" x14ac:dyDescent="0.3">
      <c r="A1204" t="str">
        <f>"SO21000184"</f>
        <v>SO21000184</v>
      </c>
      <c r="B1204" t="str">
        <f>"E000336430"</f>
        <v>E000336430</v>
      </c>
      <c r="C1204" t="str">
        <f>"בוצעה"</f>
        <v>בוצעה</v>
      </c>
      <c r="E1204" s="3">
        <v>44307</v>
      </c>
      <c r="F1204" s="3">
        <v>44530</v>
      </c>
      <c r="G1204" t="str">
        <f>"700065"</f>
        <v>700065</v>
      </c>
      <c r="H1204" t="str">
        <f>"אלתא מערכות בע""מ"</f>
        <v>אלתא מערכות בע"מ</v>
      </c>
      <c r="I1204" t="str">
        <f>"ערן שלו"</f>
        <v>ערן שלו</v>
      </c>
      <c r="J1204" t="str">
        <f>"OP-PD02880"</f>
        <v>OP-PD02880</v>
      </c>
      <c r="K1204" s="1" t="str">
        <f>"POWER DISTRIBUTION BOARD 06/07-SOCD"</f>
        <v>POWER DISTRIBUTION BOARD 06/07-SOCD</v>
      </c>
      <c r="L1204">
        <v>2</v>
      </c>
      <c r="M1204" t="str">
        <f>"PR20000778"</f>
        <v>PR20000778</v>
      </c>
      <c r="N1204" t="str">
        <f>"ייצור 8 לוחות PDB 6/07  SOCD"</f>
        <v>ייצור 8 לוחות PDB 6/07  SOCD</v>
      </c>
      <c r="O1204" s="2">
        <v>47244</v>
      </c>
      <c r="P1204" t="str">
        <f>"$"</f>
        <v>$</v>
      </c>
      <c r="Q1204" t="str">
        <f>"118"</f>
        <v>118</v>
      </c>
      <c r="R1204" t="str">
        <f>"מערכות"</f>
        <v>מערכות</v>
      </c>
      <c r="S1204" t="str">
        <f>"034"</f>
        <v>034</v>
      </c>
      <c r="T1204" t="str">
        <f>"עמר ליגל"</f>
        <v>עמר ליגל</v>
      </c>
      <c r="U1204">
        <v>0</v>
      </c>
      <c r="V1204">
        <v>0</v>
      </c>
      <c r="W1204" s="2">
        <v>47244</v>
      </c>
      <c r="X1204" s="2">
        <v>94488</v>
      </c>
      <c r="Z1204" t="str">
        <f>"Y"</f>
        <v>Y</v>
      </c>
      <c r="AA1204">
        <v>0</v>
      </c>
      <c r="AC1204">
        <v>0</v>
      </c>
      <c r="AE1204">
        <v>0</v>
      </c>
      <c r="AF1204">
        <v>0</v>
      </c>
      <c r="AG1204" s="2">
        <v>153826.46</v>
      </c>
      <c r="AH1204">
        <v>0</v>
      </c>
      <c r="AI1204" s="2">
        <v>307652.93</v>
      </c>
      <c r="AJ1204" s="2">
        <v>94488</v>
      </c>
      <c r="AK1204" s="2">
        <v>94488</v>
      </c>
      <c r="AL1204" t="str">
        <f>"$"</f>
        <v>$</v>
      </c>
    </row>
    <row r="1205" spans="1:38" x14ac:dyDescent="0.3">
      <c r="A1205" t="str">
        <f>"SO21000184"</f>
        <v>SO21000184</v>
      </c>
      <c r="B1205" t="str">
        <f>"E000336430"</f>
        <v>E000336430</v>
      </c>
      <c r="C1205" t="str">
        <f>"בוצעה"</f>
        <v>בוצעה</v>
      </c>
      <c r="E1205" s="3">
        <v>44307</v>
      </c>
      <c r="F1205" s="3">
        <v>44681</v>
      </c>
      <c r="G1205" t="str">
        <f>"700065"</f>
        <v>700065</v>
      </c>
      <c r="H1205" t="str">
        <f>"אלתא מערכות בע""מ"</f>
        <v>אלתא מערכות בע"מ</v>
      </c>
      <c r="I1205" t="str">
        <f>"ערן שלו"</f>
        <v>ערן שלו</v>
      </c>
      <c r="J1205" t="str">
        <f>"OP-PD02880"</f>
        <v>OP-PD02880</v>
      </c>
      <c r="K1205" s="1" t="str">
        <f>"POWER DISTRIBUTION BOARD 06/07-SOCD"</f>
        <v>POWER DISTRIBUTION BOARD 06/07-SOCD</v>
      </c>
      <c r="L1205">
        <v>2</v>
      </c>
      <c r="M1205" t="str">
        <f>"PR20000778"</f>
        <v>PR20000778</v>
      </c>
      <c r="N1205" t="str">
        <f>"ייצור 8 לוחות PDB 6/07  SOCD"</f>
        <v>ייצור 8 לוחות PDB 6/07  SOCD</v>
      </c>
      <c r="O1205" s="2">
        <v>47244</v>
      </c>
      <c r="P1205" t="str">
        <f>"$"</f>
        <v>$</v>
      </c>
      <c r="Q1205" t="str">
        <f>"118"</f>
        <v>118</v>
      </c>
      <c r="R1205" t="str">
        <f>"מערכות"</f>
        <v>מערכות</v>
      </c>
      <c r="S1205" t="str">
        <f>"034"</f>
        <v>034</v>
      </c>
      <c r="T1205" t="str">
        <f>"עמר ליגל"</f>
        <v>עמר ליגל</v>
      </c>
      <c r="U1205">
        <v>0</v>
      </c>
      <c r="V1205">
        <v>0</v>
      </c>
      <c r="W1205" s="2">
        <v>47244</v>
      </c>
      <c r="X1205" s="2">
        <v>94488</v>
      </c>
      <c r="Z1205" t="str">
        <f>"Y"</f>
        <v>Y</v>
      </c>
      <c r="AA1205">
        <v>0</v>
      </c>
      <c r="AC1205">
        <v>0</v>
      </c>
      <c r="AE1205">
        <v>0</v>
      </c>
      <c r="AF1205">
        <v>0</v>
      </c>
      <c r="AG1205" s="2">
        <v>153826.46</v>
      </c>
      <c r="AH1205">
        <v>0</v>
      </c>
      <c r="AI1205" s="2">
        <v>307652.93</v>
      </c>
      <c r="AJ1205" s="2">
        <v>94488</v>
      </c>
      <c r="AK1205" s="2">
        <v>94488</v>
      </c>
      <c r="AL1205" t="str">
        <f>"$"</f>
        <v>$</v>
      </c>
    </row>
    <row r="1206" spans="1:38" x14ac:dyDescent="0.3">
      <c r="A1206" t="str">
        <f>"SO21000184"</f>
        <v>SO21000184</v>
      </c>
      <c r="B1206" t="str">
        <f>"E000336430"</f>
        <v>E000336430</v>
      </c>
      <c r="C1206" t="str">
        <f>"בוצעה"</f>
        <v>בוצעה</v>
      </c>
      <c r="E1206" s="3">
        <v>44307</v>
      </c>
      <c r="F1206" s="3">
        <v>44803</v>
      </c>
      <c r="G1206" t="str">
        <f>"700065"</f>
        <v>700065</v>
      </c>
      <c r="H1206" t="str">
        <f>"אלתא מערכות בע""מ"</f>
        <v>אלתא מערכות בע"מ</v>
      </c>
      <c r="I1206" t="str">
        <f>"ערן שלו"</f>
        <v>ערן שלו</v>
      </c>
      <c r="J1206" t="str">
        <f>"OP-PD02880"</f>
        <v>OP-PD02880</v>
      </c>
      <c r="K1206" s="1" t="str">
        <f>"POWER DISTRIBUTION BOARD 06/07-SOCD"</f>
        <v>POWER DISTRIBUTION BOARD 06/07-SOCD</v>
      </c>
      <c r="L1206">
        <v>2</v>
      </c>
      <c r="M1206" t="str">
        <f>"PR22000130"</f>
        <v>PR22000130</v>
      </c>
      <c r="N1206" t="str">
        <f>"ייצור 2 לוחות PDB 6/7 סט שישי"</f>
        <v>ייצור 2 לוחות PDB 6/7 סט שישי</v>
      </c>
      <c r="O1206" s="2">
        <v>47244</v>
      </c>
      <c r="P1206" t="str">
        <f>"$"</f>
        <v>$</v>
      </c>
      <c r="Q1206" t="str">
        <f>"118"</f>
        <v>118</v>
      </c>
      <c r="R1206" t="str">
        <f>"מערכות"</f>
        <v>מערכות</v>
      </c>
      <c r="S1206" t="str">
        <f>"034"</f>
        <v>034</v>
      </c>
      <c r="T1206" t="str">
        <f>"עמר ליגל"</f>
        <v>עמר ליגל</v>
      </c>
      <c r="U1206">
        <v>0</v>
      </c>
      <c r="V1206">
        <v>0</v>
      </c>
      <c r="W1206" s="2">
        <v>47244</v>
      </c>
      <c r="X1206" s="2">
        <v>94488</v>
      </c>
      <c r="Z1206" t="str">
        <f>"Y"</f>
        <v>Y</v>
      </c>
      <c r="AA1206">
        <v>0</v>
      </c>
      <c r="AC1206">
        <v>0</v>
      </c>
      <c r="AE1206">
        <v>0</v>
      </c>
      <c r="AF1206">
        <v>0</v>
      </c>
      <c r="AG1206" s="2">
        <v>153826.46</v>
      </c>
      <c r="AH1206">
        <v>0</v>
      </c>
      <c r="AI1206" s="2">
        <v>307652.93</v>
      </c>
      <c r="AJ1206" s="2">
        <v>94488</v>
      </c>
      <c r="AK1206" s="2">
        <v>94488</v>
      </c>
      <c r="AL1206" t="str">
        <f>"$"</f>
        <v>$</v>
      </c>
    </row>
    <row r="1207" spans="1:38" x14ac:dyDescent="0.3">
      <c r="A1207" t="str">
        <f>"SO21000184"</f>
        <v>SO21000184</v>
      </c>
      <c r="B1207" t="str">
        <f>"E000336430"</f>
        <v>E000336430</v>
      </c>
      <c r="C1207" t="str">
        <f>"בוצעה"</f>
        <v>בוצעה</v>
      </c>
      <c r="E1207" s="3">
        <v>44307</v>
      </c>
      <c r="F1207" s="3">
        <v>44864</v>
      </c>
      <c r="G1207" t="str">
        <f>"700065"</f>
        <v>700065</v>
      </c>
      <c r="H1207" t="str">
        <f>"אלתא מערכות בע""מ"</f>
        <v>אלתא מערכות בע"מ</v>
      </c>
      <c r="I1207" t="str">
        <f>"ערן שלו"</f>
        <v>ערן שלו</v>
      </c>
      <c r="J1207" t="str">
        <f>"OP-PD02880"</f>
        <v>OP-PD02880</v>
      </c>
      <c r="K1207" s="1" t="str">
        <f>"POWER DISTRIBUTION BOARD 06/07-SOCD"</f>
        <v>POWER DISTRIBUTION BOARD 06/07-SOCD</v>
      </c>
      <c r="L1207">
        <v>2</v>
      </c>
      <c r="M1207" t="str">
        <f>"PR22000131"</f>
        <v>PR22000131</v>
      </c>
      <c r="N1207" t="str">
        <f>"ייצור 2 לוחות PDB 6/7 סט שביעי"</f>
        <v>ייצור 2 לוחות PDB 6/7 סט שביעי</v>
      </c>
      <c r="O1207" s="2">
        <v>47244</v>
      </c>
      <c r="P1207" t="str">
        <f>"$"</f>
        <v>$</v>
      </c>
      <c r="Q1207" t="str">
        <f>"118"</f>
        <v>118</v>
      </c>
      <c r="R1207" t="str">
        <f>"מערכות"</f>
        <v>מערכות</v>
      </c>
      <c r="S1207" t="str">
        <f>"034"</f>
        <v>034</v>
      </c>
      <c r="T1207" t="str">
        <f>"עמר ליגל"</f>
        <v>עמר ליגל</v>
      </c>
      <c r="U1207">
        <v>0</v>
      </c>
      <c r="V1207">
        <v>0</v>
      </c>
      <c r="W1207" s="2">
        <v>47244</v>
      </c>
      <c r="X1207" s="2">
        <v>94488</v>
      </c>
      <c r="Z1207" t="str">
        <f>"Y"</f>
        <v>Y</v>
      </c>
      <c r="AA1207">
        <v>0</v>
      </c>
      <c r="AC1207">
        <v>0</v>
      </c>
      <c r="AE1207">
        <v>0</v>
      </c>
      <c r="AF1207">
        <v>0</v>
      </c>
      <c r="AG1207" s="2">
        <v>153826.46</v>
      </c>
      <c r="AH1207">
        <v>0</v>
      </c>
      <c r="AI1207" s="2">
        <v>307652.93</v>
      </c>
      <c r="AJ1207" s="2">
        <v>94488</v>
      </c>
      <c r="AK1207" s="2">
        <v>94488</v>
      </c>
      <c r="AL1207" t="str">
        <f>"$"</f>
        <v>$</v>
      </c>
    </row>
    <row r="1208" spans="1:38" x14ac:dyDescent="0.3">
      <c r="A1208" t="str">
        <f>"SO21000184"</f>
        <v>SO21000184</v>
      </c>
      <c r="B1208" t="str">
        <f>"E000336430"</f>
        <v>E000336430</v>
      </c>
      <c r="C1208" t="str">
        <f>"בוצעה"</f>
        <v>בוצעה</v>
      </c>
      <c r="E1208" s="3">
        <v>44307</v>
      </c>
      <c r="F1208" s="3">
        <v>44620</v>
      </c>
      <c r="G1208" t="str">
        <f>"700065"</f>
        <v>700065</v>
      </c>
      <c r="H1208" t="str">
        <f>"אלתא מערכות בע""מ"</f>
        <v>אלתא מערכות בע"מ</v>
      </c>
      <c r="I1208" t="str">
        <f>"ערן שלו"</f>
        <v>ערן שלו</v>
      </c>
      <c r="J1208" t="str">
        <f>"OP-PD02880"</f>
        <v>OP-PD02880</v>
      </c>
      <c r="K1208" s="1" t="str">
        <f>"POWER DISTRIBUTION BOARD 06/07-SOCD"</f>
        <v>POWER DISTRIBUTION BOARD 06/07-SOCD</v>
      </c>
      <c r="L1208">
        <v>2</v>
      </c>
      <c r="M1208" t="str">
        <f>"PR20000778"</f>
        <v>PR20000778</v>
      </c>
      <c r="N1208" t="str">
        <f>"ייצור 8 לוחות PDB 6/07  SOCD"</f>
        <v>ייצור 8 לוחות PDB 6/07  SOCD</v>
      </c>
      <c r="O1208" s="2">
        <v>47244</v>
      </c>
      <c r="P1208" t="str">
        <f>"$"</f>
        <v>$</v>
      </c>
      <c r="Q1208" t="str">
        <f>"118"</f>
        <v>118</v>
      </c>
      <c r="R1208" t="str">
        <f>"מערכות"</f>
        <v>מערכות</v>
      </c>
      <c r="S1208" t="str">
        <f>"034"</f>
        <v>034</v>
      </c>
      <c r="T1208" t="str">
        <f>"עמר ליגל"</f>
        <v>עמר ליגל</v>
      </c>
      <c r="U1208">
        <v>0</v>
      </c>
      <c r="V1208">
        <v>0</v>
      </c>
      <c r="W1208" s="2">
        <v>47244</v>
      </c>
      <c r="X1208" s="2">
        <v>94488</v>
      </c>
      <c r="Z1208" t="str">
        <f>"Y"</f>
        <v>Y</v>
      </c>
      <c r="AA1208">
        <v>0</v>
      </c>
      <c r="AC1208">
        <v>0</v>
      </c>
      <c r="AE1208">
        <v>0</v>
      </c>
      <c r="AF1208">
        <v>0</v>
      </c>
      <c r="AG1208" s="2">
        <v>153826.46</v>
      </c>
      <c r="AH1208">
        <v>0</v>
      </c>
      <c r="AI1208" s="2">
        <v>307652.93</v>
      </c>
      <c r="AJ1208" s="2">
        <v>94488</v>
      </c>
      <c r="AK1208" s="2">
        <v>94488</v>
      </c>
      <c r="AL1208" t="str">
        <f>"$"</f>
        <v>$</v>
      </c>
    </row>
    <row r="1209" spans="1:38" x14ac:dyDescent="0.3">
      <c r="A1209" t="str">
        <f>"SO21000184"</f>
        <v>SO21000184</v>
      </c>
      <c r="B1209" t="str">
        <f>"E000336430"</f>
        <v>E000336430</v>
      </c>
      <c r="C1209" t="str">
        <f>"בוצעה"</f>
        <v>בוצעה</v>
      </c>
      <c r="E1209" s="3">
        <v>44307</v>
      </c>
      <c r="F1209" s="3">
        <v>44742</v>
      </c>
      <c r="G1209" t="str">
        <f>"700065"</f>
        <v>700065</v>
      </c>
      <c r="H1209" t="str">
        <f>"אלתא מערכות בע""מ"</f>
        <v>אלתא מערכות בע"מ</v>
      </c>
      <c r="I1209" t="str">
        <f>"ערן שלו"</f>
        <v>ערן שלו</v>
      </c>
      <c r="J1209" t="str">
        <f>"OP-PD02880"</f>
        <v>OP-PD02880</v>
      </c>
      <c r="K1209" s="1" t="str">
        <f>"POWER DISTRIBUTION BOARD 06/07-SOCD"</f>
        <v>POWER DISTRIBUTION BOARD 06/07-SOCD</v>
      </c>
      <c r="L1209">
        <v>2</v>
      </c>
      <c r="M1209" t="str">
        <f>"PR22000129"</f>
        <v>PR22000129</v>
      </c>
      <c r="N1209" t="str">
        <f>"ייצור 2 לוחות PDB 6/7 סט חמישי"</f>
        <v>ייצור 2 לוחות PDB 6/7 סט חמישי</v>
      </c>
      <c r="O1209" s="2">
        <v>47244</v>
      </c>
      <c r="P1209" t="str">
        <f>"$"</f>
        <v>$</v>
      </c>
      <c r="Q1209" t="str">
        <f>"118"</f>
        <v>118</v>
      </c>
      <c r="R1209" t="str">
        <f>"מערכות"</f>
        <v>מערכות</v>
      </c>
      <c r="S1209" t="str">
        <f>"034"</f>
        <v>034</v>
      </c>
      <c r="T1209" t="str">
        <f>"עמר ליגל"</f>
        <v>עמר ליגל</v>
      </c>
      <c r="U1209">
        <v>0</v>
      </c>
      <c r="V1209">
        <v>0</v>
      </c>
      <c r="W1209" s="2">
        <v>47244</v>
      </c>
      <c r="X1209" s="2">
        <v>94488</v>
      </c>
      <c r="Z1209" t="str">
        <f>"Y"</f>
        <v>Y</v>
      </c>
      <c r="AA1209">
        <v>0</v>
      </c>
      <c r="AC1209">
        <v>0</v>
      </c>
      <c r="AE1209">
        <v>0</v>
      </c>
      <c r="AF1209">
        <v>0</v>
      </c>
      <c r="AG1209" s="2">
        <v>153826.46</v>
      </c>
      <c r="AH1209">
        <v>0</v>
      </c>
      <c r="AI1209" s="2">
        <v>307652.93</v>
      </c>
      <c r="AJ1209" s="2">
        <v>94488</v>
      </c>
      <c r="AK1209" s="2">
        <v>94488</v>
      </c>
      <c r="AL1209" t="str">
        <f>"$"</f>
        <v>$</v>
      </c>
    </row>
    <row r="1210" spans="1:38" x14ac:dyDescent="0.3">
      <c r="A1210" t="str">
        <f>"SO21000184"</f>
        <v>SO21000184</v>
      </c>
      <c r="B1210" t="str">
        <f>"E000336430"</f>
        <v>E000336430</v>
      </c>
      <c r="C1210" t="str">
        <f>"בוצעה"</f>
        <v>בוצעה</v>
      </c>
      <c r="E1210" s="3">
        <v>44307</v>
      </c>
      <c r="F1210" s="3">
        <v>44650</v>
      </c>
      <c r="G1210" t="str">
        <f>"700065"</f>
        <v>700065</v>
      </c>
      <c r="H1210" t="str">
        <f>"אלתא מערכות בע""מ"</f>
        <v>אלתא מערכות בע"מ</v>
      </c>
      <c r="I1210" t="str">
        <f>"ערן שלו"</f>
        <v>ערן שלו</v>
      </c>
      <c r="J1210" t="str">
        <f>"OP-PD02882"</f>
        <v>OP-PD02882</v>
      </c>
      <c r="K1210" s="1" t="str">
        <f>"ISOLATION TRANSFORMER UNIT 200KVA"</f>
        <v>ISOLATION TRANSFORMER UNIT 200KVA</v>
      </c>
      <c r="L1210">
        <v>1</v>
      </c>
      <c r="M1210" t="str">
        <f>"PR20000776"</f>
        <v>PR20000776</v>
      </c>
      <c r="N1210" t="str">
        <f>"14 שנאים ITU 200KVA"</f>
        <v>14 שנאים ITU 200KVA</v>
      </c>
      <c r="O1210" s="2">
        <v>35340</v>
      </c>
      <c r="P1210" t="str">
        <f>"$"</f>
        <v>$</v>
      </c>
      <c r="Q1210" t="str">
        <f>"118"</f>
        <v>118</v>
      </c>
      <c r="R1210" t="str">
        <f>"מערכות"</f>
        <v>מערכות</v>
      </c>
      <c r="S1210" t="str">
        <f>"034"</f>
        <v>034</v>
      </c>
      <c r="T1210" t="str">
        <f>"עמר ליגל"</f>
        <v>עמר ליגל</v>
      </c>
      <c r="U1210">
        <v>0</v>
      </c>
      <c r="V1210">
        <v>0</v>
      </c>
      <c r="W1210" s="2">
        <v>35340</v>
      </c>
      <c r="X1210" s="2">
        <v>35340</v>
      </c>
      <c r="Z1210" t="str">
        <f>"Y"</f>
        <v>Y</v>
      </c>
      <c r="AA1210">
        <v>0</v>
      </c>
      <c r="AC1210">
        <v>0</v>
      </c>
      <c r="AE1210">
        <v>0</v>
      </c>
      <c r="AF1210">
        <v>0</v>
      </c>
      <c r="AG1210" s="2">
        <v>115067.04</v>
      </c>
      <c r="AH1210">
        <v>0</v>
      </c>
      <c r="AI1210" s="2">
        <v>115067.04</v>
      </c>
      <c r="AJ1210" s="2">
        <v>35340</v>
      </c>
      <c r="AK1210" s="2">
        <v>35340</v>
      </c>
      <c r="AL1210" t="str">
        <f>"$"</f>
        <v>$</v>
      </c>
    </row>
    <row r="1211" spans="1:38" x14ac:dyDescent="0.3">
      <c r="A1211" t="str">
        <f>"SO21000191"</f>
        <v>SO21000191</v>
      </c>
      <c r="B1211" t="str">
        <f>"E000335450"</f>
        <v>E000335450</v>
      </c>
      <c r="C1211" t="str">
        <f>"בוצעה"</f>
        <v>בוצעה</v>
      </c>
      <c r="E1211" s="3">
        <v>44311</v>
      </c>
      <c r="F1211" s="3">
        <v>44407</v>
      </c>
      <c r="G1211" t="str">
        <f>"700065"</f>
        <v>700065</v>
      </c>
      <c r="H1211" t="str">
        <f>"אלתא מערכות בע""מ"</f>
        <v>אלתא מערכות בע"מ</v>
      </c>
      <c r="I1211" t="str">
        <f>"ערן שלו"</f>
        <v>ערן שלו</v>
      </c>
      <c r="J1211" t="str">
        <f>"PS0300006"</f>
        <v>PS0300006</v>
      </c>
      <c r="K1211" s="1" t="str">
        <f>"TSI-EPC - 380Vac-Module BRAVO"</f>
        <v>TSI-EPC - 380Vac-Module BRAVO</v>
      </c>
      <c r="L1211">
        <v>1</v>
      </c>
      <c r="M1211" t="str">
        <f>"PR21000411"</f>
        <v>PR21000411</v>
      </c>
      <c r="N1211" t="str">
        <f>"R- Modular Inverter Module Bravo"</f>
        <v>R- Modular Inverter Module Bravo</v>
      </c>
      <c r="O1211" s="2">
        <v>1833</v>
      </c>
      <c r="P1211" t="str">
        <f>"$"</f>
        <v>$</v>
      </c>
      <c r="Q1211" t="str">
        <f>"118"</f>
        <v>118</v>
      </c>
      <c r="R1211" t="str">
        <f>"מערכות"</f>
        <v>מערכות</v>
      </c>
      <c r="S1211" t="str">
        <f>"034"</f>
        <v>034</v>
      </c>
      <c r="T1211" t="str">
        <f>"עמר ליגל"</f>
        <v>עמר ליגל</v>
      </c>
      <c r="U1211">
        <v>0</v>
      </c>
      <c r="V1211">
        <v>0</v>
      </c>
      <c r="W1211" s="2">
        <v>1833</v>
      </c>
      <c r="X1211" s="2">
        <v>1833</v>
      </c>
      <c r="Z1211" t="str">
        <f>"Y"</f>
        <v>Y</v>
      </c>
      <c r="AA1211">
        <v>0</v>
      </c>
      <c r="AC1211">
        <v>0</v>
      </c>
      <c r="AE1211">
        <v>0</v>
      </c>
      <c r="AF1211">
        <v>0</v>
      </c>
      <c r="AG1211" s="2">
        <v>5966.42</v>
      </c>
      <c r="AH1211">
        <v>0</v>
      </c>
      <c r="AI1211" s="2">
        <v>5966.42</v>
      </c>
      <c r="AJ1211" s="2">
        <v>1833</v>
      </c>
      <c r="AK1211" s="2">
        <v>1833</v>
      </c>
      <c r="AL1211" t="str">
        <f>"$"</f>
        <v>$</v>
      </c>
    </row>
    <row r="1212" spans="1:38" x14ac:dyDescent="0.3">
      <c r="A1212" t="str">
        <f>"SO21000195"</f>
        <v>SO21000195</v>
      </c>
      <c r="B1212" t="str">
        <f>"E000336131"</f>
        <v>E000336131</v>
      </c>
      <c r="C1212" t="str">
        <f>"בוצעה"</f>
        <v>בוצעה</v>
      </c>
      <c r="E1212" s="3">
        <v>44313</v>
      </c>
      <c r="F1212" s="3">
        <v>44382</v>
      </c>
      <c r="G1212" t="str">
        <f>"700065"</f>
        <v>700065</v>
      </c>
      <c r="H1212" t="str">
        <f>"אלתא מערכות בע""מ"</f>
        <v>אלתא מערכות בע"מ</v>
      </c>
      <c r="I1212" t="str">
        <f>"ערן שלו"</f>
        <v>ערן שלו</v>
      </c>
      <c r="J1212" t="str">
        <f>"OP-AR02380"</f>
        <v>OP-AR02380</v>
      </c>
      <c r="K1212" s="1" t="str">
        <f>"1039P201-001   WC002L LAB CABLE"</f>
        <v>1039P201-001   WC002L LAB CABLE</v>
      </c>
      <c r="L1212">
        <v>1</v>
      </c>
      <c r="M1212" t="str">
        <f>"PR21000276"</f>
        <v>PR21000276</v>
      </c>
      <c r="N1212" t="str">
        <f>"WC002L LAB CABLE"</f>
        <v>WC002L LAB CABLE</v>
      </c>
      <c r="O1212">
        <v>929.19</v>
      </c>
      <c r="P1212" t="str">
        <f>"$"</f>
        <v>$</v>
      </c>
      <c r="Q1212" t="str">
        <f>"117"</f>
        <v>117</v>
      </c>
      <c r="R1212" t="str">
        <f>"רתמות"</f>
        <v>רתמות</v>
      </c>
      <c r="S1212" t="str">
        <f>"034"</f>
        <v>034</v>
      </c>
      <c r="T1212" t="str">
        <f>"עמר ליגל"</f>
        <v>עמר ליגל</v>
      </c>
      <c r="U1212">
        <v>0</v>
      </c>
      <c r="V1212">
        <v>0</v>
      </c>
      <c r="W1212">
        <v>929.19</v>
      </c>
      <c r="X1212">
        <v>929.19</v>
      </c>
      <c r="Z1212" t="str">
        <f>"Y"</f>
        <v>Y</v>
      </c>
      <c r="AA1212">
        <v>0</v>
      </c>
      <c r="AC1212">
        <v>0</v>
      </c>
      <c r="AE1212">
        <v>0</v>
      </c>
      <c r="AF1212">
        <v>0</v>
      </c>
      <c r="AG1212" s="2">
        <v>3024.51</v>
      </c>
      <c r="AH1212">
        <v>0</v>
      </c>
      <c r="AI1212" s="2">
        <v>3024.51</v>
      </c>
      <c r="AJ1212">
        <v>929.19</v>
      </c>
      <c r="AK1212">
        <v>929.19</v>
      </c>
      <c r="AL1212" t="str">
        <f>"$"</f>
        <v>$</v>
      </c>
    </row>
    <row r="1213" spans="1:38" x14ac:dyDescent="0.3">
      <c r="A1213" t="str">
        <f>"SO21000195"</f>
        <v>SO21000195</v>
      </c>
      <c r="B1213" t="str">
        <f>"E000336131"</f>
        <v>E000336131</v>
      </c>
      <c r="C1213" t="str">
        <f>"בוצעה"</f>
        <v>בוצעה</v>
      </c>
      <c r="E1213" s="3">
        <v>44313</v>
      </c>
      <c r="F1213" s="3">
        <v>44382</v>
      </c>
      <c r="G1213" t="str">
        <f>"700065"</f>
        <v>700065</v>
      </c>
      <c r="H1213" t="str">
        <f>"אלתא מערכות בע""מ"</f>
        <v>אלתא מערכות בע"מ</v>
      </c>
      <c r="I1213" t="str">
        <f>"ערן שלו"</f>
        <v>ערן שלו</v>
      </c>
      <c r="J1213" t="str">
        <f>"OP-AR02381"</f>
        <v>OP-AR02381</v>
      </c>
      <c r="K1213" s="1" t="str">
        <f>"1039P205-001   WR001L LAB COAX CABLE"</f>
        <v>1039P205-001   WR001L LAB COAX CABLE</v>
      </c>
      <c r="L1213">
        <v>1</v>
      </c>
      <c r="M1213" t="str">
        <f>"PR21000276"</f>
        <v>PR21000276</v>
      </c>
      <c r="N1213" t="str">
        <f>"WC002L LAB CABLE"</f>
        <v>WC002L LAB CABLE</v>
      </c>
      <c r="O1213" s="2">
        <v>1244.8</v>
      </c>
      <c r="P1213" t="str">
        <f>"$"</f>
        <v>$</v>
      </c>
      <c r="Q1213" t="str">
        <f>"117"</f>
        <v>117</v>
      </c>
      <c r="R1213" t="str">
        <f>"רתמות"</f>
        <v>רתמות</v>
      </c>
      <c r="S1213" t="str">
        <f>"034"</f>
        <v>034</v>
      </c>
      <c r="T1213" t="str">
        <f>"עמר ליגל"</f>
        <v>עמר ליגל</v>
      </c>
      <c r="U1213">
        <v>0</v>
      </c>
      <c r="V1213">
        <v>0</v>
      </c>
      <c r="W1213" s="2">
        <v>1244.8</v>
      </c>
      <c r="X1213" s="2">
        <v>1244.8</v>
      </c>
      <c r="Z1213" t="str">
        <f>"Y"</f>
        <v>Y</v>
      </c>
      <c r="AA1213">
        <v>0</v>
      </c>
      <c r="AC1213">
        <v>0</v>
      </c>
      <c r="AE1213">
        <v>0</v>
      </c>
      <c r="AF1213">
        <v>0</v>
      </c>
      <c r="AG1213" s="2">
        <v>4051.82</v>
      </c>
      <c r="AH1213">
        <v>0</v>
      </c>
      <c r="AI1213" s="2">
        <v>4051.82</v>
      </c>
      <c r="AJ1213" s="2">
        <v>1244.8</v>
      </c>
      <c r="AK1213" s="2">
        <v>1244.8</v>
      </c>
      <c r="AL1213" t="str">
        <f>"$"</f>
        <v>$</v>
      </c>
    </row>
    <row r="1214" spans="1:38" x14ac:dyDescent="0.3">
      <c r="A1214" t="str">
        <f>"SO21000195"</f>
        <v>SO21000195</v>
      </c>
      <c r="B1214" t="str">
        <f>"E000336131"</f>
        <v>E000336131</v>
      </c>
      <c r="C1214" t="str">
        <f>"בוצעה"</f>
        <v>בוצעה</v>
      </c>
      <c r="E1214" s="3">
        <v>44313</v>
      </c>
      <c r="F1214" s="3">
        <v>44382</v>
      </c>
      <c r="G1214" t="str">
        <f>"700065"</f>
        <v>700065</v>
      </c>
      <c r="H1214" t="str">
        <f>"אלתא מערכות בע""מ"</f>
        <v>אלתא מערכות בע"מ</v>
      </c>
      <c r="I1214" t="str">
        <f>"ערן שלו"</f>
        <v>ערן שלו</v>
      </c>
      <c r="J1214" t="str">
        <f>"OP-AR02382"</f>
        <v>OP-AR02382</v>
      </c>
      <c r="K1214" s="1" t="str">
        <f>"1039P206-001   WR002L LAB RF CABLE"</f>
        <v>1039P206-001   WR002L LAB RF CABLE</v>
      </c>
      <c r="L1214">
        <v>1</v>
      </c>
      <c r="M1214" t="str">
        <f>"PR21000276"</f>
        <v>PR21000276</v>
      </c>
      <c r="N1214" t="str">
        <f>"WC002L LAB CABLE"</f>
        <v>WC002L LAB CABLE</v>
      </c>
      <c r="O1214" s="2">
        <v>1463.27</v>
      </c>
      <c r="P1214" t="str">
        <f>"$"</f>
        <v>$</v>
      </c>
      <c r="Q1214" t="str">
        <f>"117"</f>
        <v>117</v>
      </c>
      <c r="R1214" t="str">
        <f>"רתמות"</f>
        <v>רתמות</v>
      </c>
      <c r="S1214" t="str">
        <f>"034"</f>
        <v>034</v>
      </c>
      <c r="T1214" t="str">
        <f>"עמר ליגל"</f>
        <v>עמר ליגל</v>
      </c>
      <c r="U1214">
        <v>0</v>
      </c>
      <c r="V1214">
        <v>0</v>
      </c>
      <c r="W1214" s="2">
        <v>1463.27</v>
      </c>
      <c r="X1214" s="2">
        <v>1463.27</v>
      </c>
      <c r="Z1214" t="str">
        <f>"Y"</f>
        <v>Y</v>
      </c>
      <c r="AA1214">
        <v>0</v>
      </c>
      <c r="AC1214">
        <v>0</v>
      </c>
      <c r="AE1214">
        <v>0</v>
      </c>
      <c r="AF1214">
        <v>0</v>
      </c>
      <c r="AG1214" s="2">
        <v>4762.9399999999996</v>
      </c>
      <c r="AH1214">
        <v>0</v>
      </c>
      <c r="AI1214" s="2">
        <v>4762.9399999999996</v>
      </c>
      <c r="AJ1214" s="2">
        <v>1463.27</v>
      </c>
      <c r="AK1214" s="2">
        <v>1463.27</v>
      </c>
      <c r="AL1214" t="str">
        <f>"$"</f>
        <v>$</v>
      </c>
    </row>
    <row r="1215" spans="1:38" x14ac:dyDescent="0.3">
      <c r="A1215" t="str">
        <f>"SO21000195"</f>
        <v>SO21000195</v>
      </c>
      <c r="B1215" t="str">
        <f>"E000336131"</f>
        <v>E000336131</v>
      </c>
      <c r="C1215" t="str">
        <f>"בוצעה"</f>
        <v>בוצעה</v>
      </c>
      <c r="E1215" s="3">
        <v>44313</v>
      </c>
      <c r="F1215" s="3">
        <v>44382</v>
      </c>
      <c r="G1215" t="str">
        <f>"700065"</f>
        <v>700065</v>
      </c>
      <c r="H1215" t="str">
        <f>"אלתא מערכות בע""מ"</f>
        <v>אלתא מערכות בע"מ</v>
      </c>
      <c r="I1215" t="str">
        <f>"ערן שלו"</f>
        <v>ערן שלו</v>
      </c>
      <c r="J1215" t="str">
        <f>"OP-AR02383"</f>
        <v>OP-AR02383</v>
      </c>
      <c r="K1215" s="1" t="str">
        <f>"1039P207-001   WP010L LAB POWER CABLE"</f>
        <v>1039P207-001   WP010L LAB POWER CABLE</v>
      </c>
      <c r="L1215">
        <v>1</v>
      </c>
      <c r="M1215" t="str">
        <f>"PR21000276"</f>
        <v>PR21000276</v>
      </c>
      <c r="N1215" t="str">
        <f>"WC002L LAB CABLE"</f>
        <v>WC002L LAB CABLE</v>
      </c>
      <c r="O1215">
        <v>206.35</v>
      </c>
      <c r="P1215" t="str">
        <f>"$"</f>
        <v>$</v>
      </c>
      <c r="Q1215" t="str">
        <f>"117"</f>
        <v>117</v>
      </c>
      <c r="R1215" t="str">
        <f>"רתמות"</f>
        <v>רתמות</v>
      </c>
      <c r="S1215" t="str">
        <f>"034"</f>
        <v>034</v>
      </c>
      <c r="T1215" t="str">
        <f>"עמר ליגל"</f>
        <v>עמר ליגל</v>
      </c>
      <c r="U1215">
        <v>0</v>
      </c>
      <c r="V1215">
        <v>0</v>
      </c>
      <c r="W1215">
        <v>206.35</v>
      </c>
      <c r="X1215">
        <v>206.35</v>
      </c>
      <c r="Z1215" t="str">
        <f>"Y"</f>
        <v>Y</v>
      </c>
      <c r="AA1215">
        <v>0</v>
      </c>
      <c r="AC1215">
        <v>0</v>
      </c>
      <c r="AE1215">
        <v>0</v>
      </c>
      <c r="AF1215">
        <v>0</v>
      </c>
      <c r="AG1215">
        <v>671.67</v>
      </c>
      <c r="AH1215">
        <v>0</v>
      </c>
      <c r="AI1215">
        <v>671.67</v>
      </c>
      <c r="AJ1215">
        <v>206.35</v>
      </c>
      <c r="AK1215">
        <v>206.35</v>
      </c>
      <c r="AL1215" t="str">
        <f>"$"</f>
        <v>$</v>
      </c>
    </row>
    <row r="1216" spans="1:38" x14ac:dyDescent="0.3">
      <c r="A1216" t="str">
        <f>"SO21000195"</f>
        <v>SO21000195</v>
      </c>
      <c r="B1216" t="str">
        <f>"E000336131"</f>
        <v>E000336131</v>
      </c>
      <c r="C1216" t="str">
        <f>"בוצעה"</f>
        <v>בוצעה</v>
      </c>
      <c r="E1216" s="3">
        <v>44313</v>
      </c>
      <c r="F1216" s="3">
        <v>44382</v>
      </c>
      <c r="G1216" t="str">
        <f>"700065"</f>
        <v>700065</v>
      </c>
      <c r="H1216" t="str">
        <f>"אלתא מערכות בע""מ"</f>
        <v>אלתא מערכות בע"מ</v>
      </c>
      <c r="I1216" t="str">
        <f>"ערן שלו"</f>
        <v>ערן שלו</v>
      </c>
      <c r="J1216" t="str">
        <f>"OP-AR02384"</f>
        <v>OP-AR02384</v>
      </c>
      <c r="K1216" s="1" t="str">
        <f>"1039P208-001   WP007L LAB POWER CABLE"</f>
        <v>1039P208-001   WP007L LAB POWER CABLE</v>
      </c>
      <c r="L1216">
        <v>1</v>
      </c>
      <c r="M1216" t="str">
        <f>"PR21000276"</f>
        <v>PR21000276</v>
      </c>
      <c r="N1216" t="str">
        <f>"WC002L LAB CABLE"</f>
        <v>WC002L LAB CABLE</v>
      </c>
      <c r="O1216">
        <v>212.4</v>
      </c>
      <c r="P1216" t="str">
        <f>"$"</f>
        <v>$</v>
      </c>
      <c r="Q1216" t="str">
        <f>"117"</f>
        <v>117</v>
      </c>
      <c r="R1216" t="str">
        <f>"רתמות"</f>
        <v>רתמות</v>
      </c>
      <c r="S1216" t="str">
        <f>"034"</f>
        <v>034</v>
      </c>
      <c r="T1216" t="str">
        <f>"עמר ליגל"</f>
        <v>עמר ליגל</v>
      </c>
      <c r="U1216">
        <v>0</v>
      </c>
      <c r="V1216">
        <v>0</v>
      </c>
      <c r="W1216">
        <v>212.4</v>
      </c>
      <c r="X1216">
        <v>212.4</v>
      </c>
      <c r="Z1216" t="str">
        <f>"Y"</f>
        <v>Y</v>
      </c>
      <c r="AA1216">
        <v>0</v>
      </c>
      <c r="AC1216">
        <v>0</v>
      </c>
      <c r="AE1216">
        <v>0</v>
      </c>
      <c r="AF1216">
        <v>0</v>
      </c>
      <c r="AG1216">
        <v>691.36</v>
      </c>
      <c r="AH1216">
        <v>0</v>
      </c>
      <c r="AI1216">
        <v>691.36</v>
      </c>
      <c r="AJ1216">
        <v>212.4</v>
      </c>
      <c r="AK1216">
        <v>212.4</v>
      </c>
      <c r="AL1216" t="str">
        <f>"$"</f>
        <v>$</v>
      </c>
    </row>
    <row r="1217" spans="1:38" x14ac:dyDescent="0.3">
      <c r="A1217" t="str">
        <f>"SO21000195"</f>
        <v>SO21000195</v>
      </c>
      <c r="B1217" t="str">
        <f>"E000336131"</f>
        <v>E000336131</v>
      </c>
      <c r="C1217" t="str">
        <f>"בוצעה"</f>
        <v>בוצעה</v>
      </c>
      <c r="E1217" s="3">
        <v>44313</v>
      </c>
      <c r="F1217" s="3">
        <v>44382</v>
      </c>
      <c r="G1217" t="str">
        <f>"700065"</f>
        <v>700065</v>
      </c>
      <c r="H1217" t="str">
        <f>"אלתא מערכות בע""מ"</f>
        <v>אלתא מערכות בע"מ</v>
      </c>
      <c r="I1217" t="str">
        <f>"ערן שלו"</f>
        <v>ערן שלו</v>
      </c>
      <c r="J1217" t="str">
        <f>"OP-AR02385"</f>
        <v>OP-AR02385</v>
      </c>
      <c r="K1217" s="1" t="str">
        <f>"1039P209-001   WP005L LAB POWER CABLE"</f>
        <v>1039P209-001   WP005L LAB POWER CABLE</v>
      </c>
      <c r="L1217">
        <v>1</v>
      </c>
      <c r="M1217" t="str">
        <f>"PR21000276"</f>
        <v>PR21000276</v>
      </c>
      <c r="N1217" t="str">
        <f>"WC002L LAB CABLE"</f>
        <v>WC002L LAB CABLE</v>
      </c>
      <c r="O1217">
        <v>274.82</v>
      </c>
      <c r="P1217" t="str">
        <f>"$"</f>
        <v>$</v>
      </c>
      <c r="Q1217" t="str">
        <f>"117"</f>
        <v>117</v>
      </c>
      <c r="R1217" t="str">
        <f>"רתמות"</f>
        <v>רתמות</v>
      </c>
      <c r="S1217" t="str">
        <f>"034"</f>
        <v>034</v>
      </c>
      <c r="T1217" t="str">
        <f>"עמר ליגל"</f>
        <v>עמר ליגל</v>
      </c>
      <c r="U1217">
        <v>0</v>
      </c>
      <c r="V1217">
        <v>0</v>
      </c>
      <c r="W1217">
        <v>274.82</v>
      </c>
      <c r="X1217">
        <v>274.82</v>
      </c>
      <c r="Z1217" t="str">
        <f>"Y"</f>
        <v>Y</v>
      </c>
      <c r="AA1217">
        <v>0</v>
      </c>
      <c r="AC1217">
        <v>0</v>
      </c>
      <c r="AE1217">
        <v>0</v>
      </c>
      <c r="AF1217">
        <v>0</v>
      </c>
      <c r="AG1217">
        <v>894.54</v>
      </c>
      <c r="AH1217">
        <v>0</v>
      </c>
      <c r="AI1217">
        <v>894.54</v>
      </c>
      <c r="AJ1217">
        <v>274.82</v>
      </c>
      <c r="AK1217">
        <v>274.82</v>
      </c>
      <c r="AL1217" t="str">
        <f>"$"</f>
        <v>$</v>
      </c>
    </row>
    <row r="1218" spans="1:38" x14ac:dyDescent="0.3">
      <c r="A1218" t="str">
        <f>"SO21000195"</f>
        <v>SO21000195</v>
      </c>
      <c r="B1218" t="str">
        <f>"E000336131"</f>
        <v>E000336131</v>
      </c>
      <c r="C1218" t="str">
        <f>"בוצעה"</f>
        <v>בוצעה</v>
      </c>
      <c r="E1218" s="3">
        <v>44313</v>
      </c>
      <c r="F1218" s="3">
        <v>44382</v>
      </c>
      <c r="G1218" t="str">
        <f>"700065"</f>
        <v>700065</v>
      </c>
      <c r="H1218" t="str">
        <f>"אלתא מערכות בע""מ"</f>
        <v>אלתא מערכות בע"מ</v>
      </c>
      <c r="I1218" t="str">
        <f>"ערן שלו"</f>
        <v>ערן שלו</v>
      </c>
      <c r="J1218" t="str">
        <f>"OP-AR02386"</f>
        <v>OP-AR02386</v>
      </c>
      <c r="K1218" s="1" t="str">
        <f>"1039P210-001   WE044L LAB ETH CABLE"</f>
        <v>1039P210-001   WE044L LAB ETH CABLE</v>
      </c>
      <c r="L1218">
        <v>1</v>
      </c>
      <c r="M1218" t="str">
        <f>"PR21000276"</f>
        <v>PR21000276</v>
      </c>
      <c r="N1218" t="str">
        <f>"WC002L LAB CABLE"</f>
        <v>WC002L LAB CABLE</v>
      </c>
      <c r="O1218">
        <v>335.3</v>
      </c>
      <c r="P1218" t="str">
        <f>"$"</f>
        <v>$</v>
      </c>
      <c r="Q1218" t="str">
        <f>"117"</f>
        <v>117</v>
      </c>
      <c r="R1218" t="str">
        <f>"רתמות"</f>
        <v>רתמות</v>
      </c>
      <c r="S1218" t="str">
        <f>"034"</f>
        <v>034</v>
      </c>
      <c r="T1218" t="str">
        <f>"עמר ליגל"</f>
        <v>עמר ליגל</v>
      </c>
      <c r="U1218">
        <v>0</v>
      </c>
      <c r="V1218">
        <v>0</v>
      </c>
      <c r="W1218">
        <v>335.3</v>
      </c>
      <c r="X1218">
        <v>335.3</v>
      </c>
      <c r="Z1218" t="str">
        <f>"Y"</f>
        <v>Y</v>
      </c>
      <c r="AA1218">
        <v>0</v>
      </c>
      <c r="AC1218">
        <v>0</v>
      </c>
      <c r="AE1218">
        <v>0</v>
      </c>
      <c r="AF1218">
        <v>0</v>
      </c>
      <c r="AG1218" s="2">
        <v>1091.4000000000001</v>
      </c>
      <c r="AH1218">
        <v>0</v>
      </c>
      <c r="AI1218" s="2">
        <v>1091.4000000000001</v>
      </c>
      <c r="AJ1218">
        <v>335.3</v>
      </c>
      <c r="AK1218">
        <v>335.3</v>
      </c>
      <c r="AL1218" t="str">
        <f>"$"</f>
        <v>$</v>
      </c>
    </row>
    <row r="1219" spans="1:38" x14ac:dyDescent="0.3">
      <c r="A1219" t="str">
        <f>"SO21000195"</f>
        <v>SO21000195</v>
      </c>
      <c r="B1219" t="str">
        <f>"E000336131"</f>
        <v>E000336131</v>
      </c>
      <c r="C1219" t="str">
        <f>"בוצעה"</f>
        <v>בוצעה</v>
      </c>
      <c r="E1219" s="3">
        <v>44313</v>
      </c>
      <c r="F1219" s="3">
        <v>44382</v>
      </c>
      <c r="G1219" t="str">
        <f>"700065"</f>
        <v>700065</v>
      </c>
      <c r="H1219" t="str">
        <f>"אלתא מערכות בע""מ"</f>
        <v>אלתא מערכות בע"מ</v>
      </c>
      <c r="I1219" t="str">
        <f>"ערן שלו"</f>
        <v>ערן שלו</v>
      </c>
      <c r="J1219" t="str">
        <f>"OP-AR02387"</f>
        <v>OP-AR02387</v>
      </c>
      <c r="K1219" s="1" t="str">
        <f>"1039P212-001   WP009L LAB POWER CABLE"</f>
        <v>1039P212-001   WP009L LAB POWER CABLE</v>
      </c>
      <c r="L1219">
        <v>1</v>
      </c>
      <c r="M1219" t="str">
        <f>"PR21000276"</f>
        <v>PR21000276</v>
      </c>
      <c r="N1219" t="str">
        <f>"WC002L LAB CABLE"</f>
        <v>WC002L LAB CABLE</v>
      </c>
      <c r="O1219">
        <v>251.38</v>
      </c>
      <c r="P1219" t="str">
        <f>"$"</f>
        <v>$</v>
      </c>
      <c r="Q1219" t="str">
        <f>"117"</f>
        <v>117</v>
      </c>
      <c r="R1219" t="str">
        <f>"רתמות"</f>
        <v>רתמות</v>
      </c>
      <c r="S1219" t="str">
        <f>"034"</f>
        <v>034</v>
      </c>
      <c r="T1219" t="str">
        <f>"עמר ליגל"</f>
        <v>עמר ליגל</v>
      </c>
      <c r="U1219">
        <v>0</v>
      </c>
      <c r="V1219">
        <v>0</v>
      </c>
      <c r="W1219">
        <v>251.38</v>
      </c>
      <c r="X1219">
        <v>251.38</v>
      </c>
      <c r="Z1219" t="str">
        <f>"Y"</f>
        <v>Y</v>
      </c>
      <c r="AA1219">
        <v>0</v>
      </c>
      <c r="AC1219">
        <v>0</v>
      </c>
      <c r="AE1219">
        <v>0</v>
      </c>
      <c r="AF1219">
        <v>0</v>
      </c>
      <c r="AG1219">
        <v>818.24</v>
      </c>
      <c r="AH1219">
        <v>0</v>
      </c>
      <c r="AI1219">
        <v>818.24</v>
      </c>
      <c r="AJ1219">
        <v>251.38</v>
      </c>
      <c r="AK1219">
        <v>251.38</v>
      </c>
      <c r="AL1219" t="str">
        <f>"$"</f>
        <v>$</v>
      </c>
    </row>
    <row r="1220" spans="1:38" x14ac:dyDescent="0.3">
      <c r="A1220" t="str">
        <f>"SO21000200"</f>
        <v>SO21000200</v>
      </c>
      <c r="B1220" t="str">
        <f>"תימינפ"</f>
        <v>תימינפ</v>
      </c>
      <c r="C1220" t="str">
        <f>"בוצעה"</f>
        <v>בוצעה</v>
      </c>
      <c r="E1220" s="3">
        <v>44315</v>
      </c>
      <c r="F1220" s="3">
        <v>44314</v>
      </c>
      <c r="G1220" t="str">
        <f>"700065"</f>
        <v>700065</v>
      </c>
      <c r="H1220" t="str">
        <f>"אלתא מערכות בע""מ"</f>
        <v>אלתא מערכות בע"מ</v>
      </c>
      <c r="I1220" t="str">
        <f>"יהושע חדד"</f>
        <v>יהושע חדד</v>
      </c>
      <c r="J1220" t="str">
        <f>"cust000658"</f>
        <v>cust000658</v>
      </c>
      <c r="K1220" s="1" t="str">
        <f>"TSI-EPC - 380Vac-Module BRAVO אלתא"</f>
        <v>TSI-EPC - 380Vac-Module BRAVO אלתא</v>
      </c>
      <c r="L1220">
        <v>1</v>
      </c>
      <c r="O1220">
        <v>0</v>
      </c>
      <c r="P1220" t="str">
        <f>"$"</f>
        <v>$</v>
      </c>
      <c r="Q1220" t="str">
        <f>"000"</f>
        <v>000</v>
      </c>
      <c r="R1220" t="str">
        <f>"כללית"</f>
        <v>כללית</v>
      </c>
      <c r="S1220" t="str">
        <f>"001"</f>
        <v>001</v>
      </c>
      <c r="T1220" t="str">
        <f>"עמר ליגל"</f>
        <v>עמר ליגל</v>
      </c>
      <c r="U1220">
        <v>0</v>
      </c>
      <c r="V1220">
        <v>0</v>
      </c>
      <c r="W1220">
        <v>0</v>
      </c>
      <c r="X1220">
        <v>0</v>
      </c>
      <c r="Z1220" t="str">
        <f>"Y"</f>
        <v>Y</v>
      </c>
      <c r="AA1220">
        <v>0</v>
      </c>
      <c r="AC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 t="str">
        <f>"$"</f>
        <v>$</v>
      </c>
    </row>
    <row r="1221" spans="1:38" x14ac:dyDescent="0.3">
      <c r="A1221" t="str">
        <f>"SO21000205"</f>
        <v>SO21000205</v>
      </c>
      <c r="B1221" t="str">
        <f>"E000337579"</f>
        <v>E000337579</v>
      </c>
      <c r="C1221" t="str">
        <f>"בוצעה"</f>
        <v>בוצעה</v>
      </c>
      <c r="E1221" s="3">
        <v>44318</v>
      </c>
      <c r="F1221" s="3">
        <v>44620</v>
      </c>
      <c r="G1221" t="str">
        <f>"700065"</f>
        <v>700065</v>
      </c>
      <c r="H1221" t="str">
        <f>"אלתא מערכות בע""מ"</f>
        <v>אלתא מערכות בע"מ</v>
      </c>
      <c r="I1221" t="str">
        <f>"ערן שלו"</f>
        <v>ערן שלו</v>
      </c>
      <c r="J1221" t="str">
        <f>"OP-AR02531"</f>
        <v>OP-AR02531</v>
      </c>
      <c r="K1221" s="1" t="str">
        <f>"מערכת כוח 1036R619-001"</f>
        <v>מערכת כוח 1036R619-001</v>
      </c>
      <c r="L1221">
        <v>2</v>
      </c>
      <c r="M1221" t="str">
        <f>"PR21000281"</f>
        <v>PR21000281</v>
      </c>
      <c r="N1221" t="str">
        <f>"מערכת כוח 1036R619-001"</f>
        <v>מערכת כוח 1036R619-001</v>
      </c>
      <c r="O1221" s="2">
        <v>20612</v>
      </c>
      <c r="P1221" t="str">
        <f>"$"</f>
        <v>$</v>
      </c>
      <c r="Q1221" t="str">
        <f>"118"</f>
        <v>118</v>
      </c>
      <c r="R1221" t="str">
        <f>"מערכות"</f>
        <v>מערכות</v>
      </c>
      <c r="S1221" t="str">
        <f>"034"</f>
        <v>034</v>
      </c>
      <c r="T1221" t="str">
        <f>"עמר ליגל"</f>
        <v>עמר ליגל</v>
      </c>
      <c r="U1221">
        <v>0</v>
      </c>
      <c r="V1221">
        <v>0</v>
      </c>
      <c r="W1221" s="2">
        <v>20612</v>
      </c>
      <c r="X1221" s="2">
        <v>41224</v>
      </c>
      <c r="Z1221" t="str">
        <f>"Y"</f>
        <v>Y</v>
      </c>
      <c r="AA1221">
        <v>0</v>
      </c>
      <c r="AC1221">
        <v>0</v>
      </c>
      <c r="AE1221">
        <v>0</v>
      </c>
      <c r="AF1221">
        <v>0</v>
      </c>
      <c r="AG1221" s="2">
        <v>66927.16</v>
      </c>
      <c r="AH1221">
        <v>0</v>
      </c>
      <c r="AI1221" s="2">
        <v>133854.32999999999</v>
      </c>
      <c r="AJ1221" s="2">
        <v>41224</v>
      </c>
      <c r="AK1221" s="2">
        <v>41224</v>
      </c>
      <c r="AL1221" t="str">
        <f>"$"</f>
        <v>$</v>
      </c>
    </row>
    <row r="1222" spans="1:38" x14ac:dyDescent="0.3">
      <c r="A1222" t="str">
        <f>"SO21000205"</f>
        <v>SO21000205</v>
      </c>
      <c r="B1222" t="str">
        <f>"E000337579"</f>
        <v>E000337579</v>
      </c>
      <c r="C1222" t="str">
        <f>"בוצעה"</f>
        <v>בוצעה</v>
      </c>
      <c r="E1222" s="3">
        <v>44318</v>
      </c>
      <c r="F1222" s="3">
        <v>44620</v>
      </c>
      <c r="G1222" t="str">
        <f>"700065"</f>
        <v>700065</v>
      </c>
      <c r="H1222" t="str">
        <f>"אלתא מערכות בע""מ"</f>
        <v>אלתא מערכות בע"מ</v>
      </c>
      <c r="I1222" t="str">
        <f>"ערן שלו"</f>
        <v>ערן שלו</v>
      </c>
      <c r="J1222" t="str">
        <f>"000"</f>
        <v>000</v>
      </c>
      <c r="K1222" s="1" t="str">
        <f>"NRE"</f>
        <v>NRE</v>
      </c>
      <c r="L1222">
        <v>1</v>
      </c>
      <c r="M1222" t="str">
        <f>"PR21000281"</f>
        <v>PR21000281</v>
      </c>
      <c r="N1222" t="str">
        <f>"מערכת כוח 1036R619-001"</f>
        <v>מערכת כוח 1036R619-001</v>
      </c>
      <c r="O1222" s="2">
        <v>7236</v>
      </c>
      <c r="P1222" t="str">
        <f>"$"</f>
        <v>$</v>
      </c>
      <c r="Q1222" t="str">
        <f>"118"</f>
        <v>118</v>
      </c>
      <c r="R1222" t="str">
        <f>"מערכות"</f>
        <v>מערכות</v>
      </c>
      <c r="S1222" t="str">
        <f>"034"</f>
        <v>034</v>
      </c>
      <c r="T1222" t="str">
        <f>"עמר ליגל"</f>
        <v>עמר ליגל</v>
      </c>
      <c r="U1222">
        <v>0</v>
      </c>
      <c r="V1222">
        <v>0</v>
      </c>
      <c r="W1222" s="2">
        <v>7236</v>
      </c>
      <c r="X1222" s="2">
        <v>7236</v>
      </c>
      <c r="Z1222" t="str">
        <f>"Y"</f>
        <v>Y</v>
      </c>
      <c r="AA1222">
        <v>1</v>
      </c>
      <c r="AC1222">
        <v>0</v>
      </c>
      <c r="AE1222">
        <v>0</v>
      </c>
      <c r="AF1222">
        <v>0</v>
      </c>
      <c r="AG1222" s="2">
        <v>23495.29</v>
      </c>
      <c r="AH1222">
        <v>0</v>
      </c>
      <c r="AI1222" s="2">
        <v>23495.29</v>
      </c>
      <c r="AJ1222" s="2">
        <v>7236</v>
      </c>
      <c r="AK1222" s="2">
        <v>7236</v>
      </c>
      <c r="AL1222" t="str">
        <f>"$"</f>
        <v>$</v>
      </c>
    </row>
    <row r="1223" spans="1:38" x14ac:dyDescent="0.3">
      <c r="A1223" t="str">
        <f>"SO21000205"</f>
        <v>SO21000205</v>
      </c>
      <c r="B1223" t="str">
        <f>"E000337579"</f>
        <v>E000337579</v>
      </c>
      <c r="C1223" t="str">
        <f>"בוצעה"</f>
        <v>בוצעה</v>
      </c>
      <c r="E1223" s="3">
        <v>44318</v>
      </c>
      <c r="F1223" s="3">
        <v>44588</v>
      </c>
      <c r="G1223" t="str">
        <f>"700065"</f>
        <v>700065</v>
      </c>
      <c r="H1223" t="str">
        <f>"אלתא מערכות בע""מ"</f>
        <v>אלתא מערכות בע"מ</v>
      </c>
      <c r="I1223" t="str">
        <f>"ערן שלו"</f>
        <v>ערן שלו</v>
      </c>
      <c r="J1223" t="str">
        <f>"PS9900047"</f>
        <v>PS9900047</v>
      </c>
      <c r="K1223" s="1" t="str">
        <f>"Flatpack 2 380/3000 HE"</f>
        <v>Flatpack 2 380/3000 HE</v>
      </c>
      <c r="L1223">
        <v>16</v>
      </c>
      <c r="M1223" t="str">
        <f>"PR21000281"</f>
        <v>PR21000281</v>
      </c>
      <c r="N1223" t="str">
        <f>"מערכת כוח 1036R619-001"</f>
        <v>מערכת כוח 1036R619-001</v>
      </c>
      <c r="O1223">
        <v>0</v>
      </c>
      <c r="P1223" t="str">
        <f>"$"</f>
        <v>$</v>
      </c>
      <c r="Q1223" t="str">
        <f>"118"</f>
        <v>118</v>
      </c>
      <c r="R1223" t="str">
        <f>"מערכות"</f>
        <v>מערכות</v>
      </c>
      <c r="S1223" t="str">
        <f>"034"</f>
        <v>034</v>
      </c>
      <c r="T1223" t="str">
        <f>"עמר ליגל"</f>
        <v>עמר ליגל</v>
      </c>
      <c r="U1223">
        <v>0</v>
      </c>
      <c r="V1223">
        <v>0</v>
      </c>
      <c r="W1223">
        <v>0</v>
      </c>
      <c r="X1223">
        <v>0</v>
      </c>
      <c r="Z1223" t="str">
        <f>"Y"</f>
        <v>Y</v>
      </c>
      <c r="AA1223">
        <v>0</v>
      </c>
      <c r="AC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 t="str">
        <f>"$"</f>
        <v>$</v>
      </c>
    </row>
    <row r="1224" spans="1:38" x14ac:dyDescent="0.3">
      <c r="A1224" t="str">
        <f>"SO21000205"</f>
        <v>SO21000205</v>
      </c>
      <c r="B1224" t="str">
        <f>"E000337579"</f>
        <v>E000337579</v>
      </c>
      <c r="C1224" t="str">
        <f>"בוצעה"</f>
        <v>בוצעה</v>
      </c>
      <c r="E1224" s="3">
        <v>44318</v>
      </c>
      <c r="F1224" s="3">
        <v>44656</v>
      </c>
      <c r="G1224" t="str">
        <f>"700065"</f>
        <v>700065</v>
      </c>
      <c r="H1224" t="str">
        <f>"אלתא מערכות בע""מ"</f>
        <v>אלתא מערכות בע"מ</v>
      </c>
      <c r="I1224" t="str">
        <f>"ערן שלו"</f>
        <v>ערן שלו</v>
      </c>
      <c r="J1224" t="str">
        <f>"000"</f>
        <v>000</v>
      </c>
      <c r="K1224" s="1" t="str">
        <f>"השלמת 16 ספקים למערכת כוח 1036R619-001"</f>
        <v>השלמת 16 ספקים למערכת כוח 1036R619-001</v>
      </c>
      <c r="L1224">
        <v>1</v>
      </c>
      <c r="M1224" t="str">
        <f>"PR21000281"</f>
        <v>PR21000281</v>
      </c>
      <c r="N1224" t="str">
        <f>"מערכת כוח 1036R619-001"</f>
        <v>מערכת כוח 1036R619-001</v>
      </c>
      <c r="O1224">
        <v>0</v>
      </c>
      <c r="P1224" t="str">
        <f>"$"</f>
        <v>$</v>
      </c>
      <c r="Q1224" t="str">
        <f>"118"</f>
        <v>118</v>
      </c>
      <c r="R1224" t="str">
        <f>"מערכות"</f>
        <v>מערכות</v>
      </c>
      <c r="S1224" t="str">
        <f>"034"</f>
        <v>034</v>
      </c>
      <c r="T1224" t="str">
        <f>"עמר ליגל"</f>
        <v>עמר ליגל</v>
      </c>
      <c r="U1224">
        <v>0</v>
      </c>
      <c r="V1224">
        <v>0</v>
      </c>
      <c r="W1224">
        <v>0</v>
      </c>
      <c r="X1224">
        <v>0</v>
      </c>
      <c r="Z1224" t="str">
        <f>"Y"</f>
        <v>Y</v>
      </c>
      <c r="AA1224">
        <v>0</v>
      </c>
      <c r="AC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 t="str">
        <f>"$"</f>
        <v>$</v>
      </c>
    </row>
    <row r="1225" spans="1:38" x14ac:dyDescent="0.3">
      <c r="A1225" t="str">
        <f>"SO21000210"</f>
        <v>SO21000210</v>
      </c>
      <c r="B1225" t="str">
        <f>"פנימית"</f>
        <v>פנימית</v>
      </c>
      <c r="C1225" t="str">
        <f>"בוצעה"</f>
        <v>בוצעה</v>
      </c>
      <c r="E1225" s="3">
        <v>44320</v>
      </c>
      <c r="F1225" s="3">
        <v>44320</v>
      </c>
      <c r="G1225" t="str">
        <f>"700065"</f>
        <v>700065</v>
      </c>
      <c r="H1225" t="str">
        <f>"אלתא מערכות בע""מ"</f>
        <v>אלתא מערכות בע"מ</v>
      </c>
      <c r="I1225" t="str">
        <f>"רחמים זרוק"</f>
        <v>רחמים זרוק</v>
      </c>
      <c r="J1225" t="str">
        <f>"cust000822"</f>
        <v>cust000822</v>
      </c>
      <c r="K1225" s="1" t="str">
        <f>"2019F701-002 ELTA"</f>
        <v>2019F701-002 ELTA</v>
      </c>
      <c r="L1225">
        <v>1</v>
      </c>
      <c r="M1225" t="str">
        <f>"PR20000348"</f>
        <v>PR20000348</v>
      </c>
      <c r="N1225" t="str">
        <f>"CONTROL AND DATA PED TO AFT. COM"</f>
        <v>CONTROL AND DATA PED TO AFT. COM</v>
      </c>
      <c r="O1225">
        <v>0</v>
      </c>
      <c r="P1225" t="str">
        <f>"$"</f>
        <v>$</v>
      </c>
      <c r="Q1225" t="str">
        <f>"070"</f>
        <v>070</v>
      </c>
      <c r="R1225" t="str">
        <f>"הזמנה פנימית"</f>
        <v>הזמנה פנימית</v>
      </c>
      <c r="S1225" t="str">
        <f>"040"</f>
        <v>040</v>
      </c>
      <c r="T1225" t="str">
        <f>"גנם הודיה"</f>
        <v>גנם הודיה</v>
      </c>
      <c r="U1225">
        <v>0</v>
      </c>
      <c r="V1225">
        <v>0</v>
      </c>
      <c r="W1225">
        <v>0</v>
      </c>
      <c r="X1225">
        <v>0</v>
      </c>
      <c r="Z1225" t="str">
        <f>"Y"</f>
        <v>Y</v>
      </c>
      <c r="AA1225">
        <v>0</v>
      </c>
      <c r="AC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 t="str">
        <f>"$"</f>
        <v>$</v>
      </c>
    </row>
    <row r="1226" spans="1:38" x14ac:dyDescent="0.3">
      <c r="A1226" t="str">
        <f>"SO21000212"</f>
        <v>SO21000212</v>
      </c>
      <c r="B1226" t="str">
        <f>"E000334516"</f>
        <v>E000334516</v>
      </c>
      <c r="C1226" t="str">
        <f>"בוצעה"</f>
        <v>בוצעה</v>
      </c>
      <c r="E1226" s="3">
        <v>44321</v>
      </c>
      <c r="F1226" s="3">
        <v>44283</v>
      </c>
      <c r="G1226" t="str">
        <f>"700065"</f>
        <v>700065</v>
      </c>
      <c r="H1226" t="str">
        <f>"אלתא מערכות בע""מ"</f>
        <v>אלתא מערכות בע"מ</v>
      </c>
      <c r="I1226" t="str">
        <f>"רחמים זרוק"</f>
        <v>רחמים זרוק</v>
      </c>
      <c r="J1226" t="str">
        <f>"cust000831"</f>
        <v>cust000831</v>
      </c>
      <c r="K1226" s="1" t="str">
        <f>"1041G103-001 W103 - PWR 220 ANT FRAME TO PS1 אלתא"</f>
        <v>1041G103-001 W103 - PWR 220 ANT FRAME TO PS1 אלתא</v>
      </c>
      <c r="L1226">
        <v>1</v>
      </c>
      <c r="M1226" t="str">
        <f>"PR20000066"</f>
        <v>PR20000066</v>
      </c>
      <c r="N1226" t="str">
        <f>"1041G  HARNES"</f>
        <v>1041G  HARNES</v>
      </c>
      <c r="O1226">
        <v>0</v>
      </c>
      <c r="P1226" t="str">
        <f>"$"</f>
        <v>$</v>
      </c>
      <c r="Q1226" t="str">
        <f>"117"</f>
        <v>117</v>
      </c>
      <c r="R1226" t="str">
        <f>"רתמות"</f>
        <v>רתמות</v>
      </c>
      <c r="S1226" t="str">
        <f>"040"</f>
        <v>040</v>
      </c>
      <c r="T1226" t="str">
        <f>"עמר ליגל"</f>
        <v>עמר ליגל</v>
      </c>
      <c r="U1226">
        <v>0</v>
      </c>
      <c r="V1226">
        <v>0</v>
      </c>
      <c r="W1226">
        <v>0</v>
      </c>
      <c r="X1226">
        <v>0</v>
      </c>
      <c r="Z1226" t="str">
        <f>"Y"</f>
        <v>Y</v>
      </c>
      <c r="AA1226">
        <v>0</v>
      </c>
      <c r="AC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 t="str">
        <f>"$"</f>
        <v>$</v>
      </c>
    </row>
    <row r="1227" spans="1:38" x14ac:dyDescent="0.3">
      <c r="A1227" t="str">
        <f>"SO21000229"</f>
        <v>SO21000229</v>
      </c>
      <c r="B1227" t="str">
        <f>"E000338114"</f>
        <v>E000338114</v>
      </c>
      <c r="C1227" t="str">
        <f>"בוצעה"</f>
        <v>בוצעה</v>
      </c>
      <c r="E1227" s="3">
        <v>44339</v>
      </c>
      <c r="F1227" s="3">
        <v>44339</v>
      </c>
      <c r="G1227" t="str">
        <f>"700065"</f>
        <v>700065</v>
      </c>
      <c r="H1227" t="str">
        <f>"אלתא מערכות בע""מ"</f>
        <v>אלתא מערכות בע"מ</v>
      </c>
      <c r="I1227" t="str">
        <f>"ערן שלו"</f>
        <v>ערן שלו</v>
      </c>
      <c r="J1227" t="str">
        <f>"cust00951"</f>
        <v>cust00951</v>
      </c>
      <c r="K1227" s="1" t="str">
        <f>"AC PCU CONTROL BOX אלתא"</f>
        <v>AC PCU CONTROL BOX אלתא</v>
      </c>
      <c r="L1227">
        <v>1</v>
      </c>
      <c r="M1227" t="str">
        <f>"PR21000350"</f>
        <v>PR21000350</v>
      </c>
      <c r="N1227" t="str">
        <f>"AC PCU CONTROL BOX אלתא"</f>
        <v>AC PCU CONTROL BOX אלתא</v>
      </c>
      <c r="O1227">
        <v>0</v>
      </c>
      <c r="P1227" t="str">
        <f>"$"</f>
        <v>$</v>
      </c>
      <c r="Q1227" t="str">
        <f>"118"</f>
        <v>118</v>
      </c>
      <c r="R1227" t="str">
        <f>"מערכות"</f>
        <v>מערכות</v>
      </c>
      <c r="S1227" t="str">
        <f>"034"</f>
        <v>034</v>
      </c>
      <c r="T1227" t="str">
        <f>"עמר ליגל"</f>
        <v>עמר ליגל</v>
      </c>
      <c r="U1227">
        <v>0</v>
      </c>
      <c r="V1227">
        <v>0</v>
      </c>
      <c r="W1227">
        <v>0</v>
      </c>
      <c r="X1227">
        <v>0</v>
      </c>
      <c r="Z1227" t="str">
        <f>"Y"</f>
        <v>Y</v>
      </c>
      <c r="AA1227">
        <v>0</v>
      </c>
      <c r="AC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 t="str">
        <f>"$"</f>
        <v>$</v>
      </c>
    </row>
    <row r="1228" spans="1:38" x14ac:dyDescent="0.3">
      <c r="A1228" t="str">
        <f>"SO21000231"</f>
        <v>SO21000231</v>
      </c>
      <c r="B1228" t="str">
        <f>"E000336473"</f>
        <v>E000336473</v>
      </c>
      <c r="C1228" t="str">
        <f>"בוצעה"</f>
        <v>בוצעה</v>
      </c>
      <c r="E1228" s="3">
        <v>44340</v>
      </c>
      <c r="F1228" s="3">
        <v>44479</v>
      </c>
      <c r="G1228" t="str">
        <f>"700065"</f>
        <v>700065</v>
      </c>
      <c r="H1228" t="str">
        <f>"אלתא מערכות בע""מ"</f>
        <v>אלתא מערכות בע"מ</v>
      </c>
      <c r="I1228" t="str">
        <f>"רחמים זרוק"</f>
        <v>רחמים זרוק</v>
      </c>
      <c r="J1228" t="str">
        <f>"OP-AR02569"</f>
        <v>OP-AR02569</v>
      </c>
      <c r="K1228" s="1" t="str">
        <f>"4040K388-001   HARNESS WL388 - LAB - BU SIGNAL AIRBORN"</f>
        <v>4040K388-001   HARNESS WL388 - LAB - BU SIGNAL AIRBORN</v>
      </c>
      <c r="L1228">
        <v>3</v>
      </c>
      <c r="M1228" t="str">
        <f>"PR21000338"</f>
        <v>PR21000338</v>
      </c>
      <c r="N1228" t="str">
        <f>"LAB - BU SIGNAL AIRBORN"</f>
        <v>LAB - BU SIGNAL AIRBORN</v>
      </c>
      <c r="O1228">
        <v>401.12</v>
      </c>
      <c r="P1228" t="str">
        <f>"$"</f>
        <v>$</v>
      </c>
      <c r="Q1228" t="str">
        <f>"117"</f>
        <v>117</v>
      </c>
      <c r="R1228" t="str">
        <f>"רתמות"</f>
        <v>רתמות</v>
      </c>
      <c r="S1228" t="str">
        <f>"040"</f>
        <v>040</v>
      </c>
      <c r="T1228" t="str">
        <f>"עמר ליגל"</f>
        <v>עמר ליגל</v>
      </c>
      <c r="U1228">
        <v>0</v>
      </c>
      <c r="V1228">
        <v>0</v>
      </c>
      <c r="W1228">
        <v>401.12</v>
      </c>
      <c r="X1228" s="2">
        <v>1203.3599999999999</v>
      </c>
      <c r="Z1228" t="str">
        <f>"Y"</f>
        <v>Y</v>
      </c>
      <c r="AA1228">
        <v>0</v>
      </c>
      <c r="AC1228">
        <v>0</v>
      </c>
      <c r="AE1228">
        <v>0</v>
      </c>
      <c r="AF1228">
        <v>0</v>
      </c>
      <c r="AG1228" s="2">
        <v>1305.6500000000001</v>
      </c>
      <c r="AH1228">
        <v>0</v>
      </c>
      <c r="AI1228" s="2">
        <v>3916.94</v>
      </c>
      <c r="AJ1228" s="2">
        <v>1203.3599999999999</v>
      </c>
      <c r="AK1228" s="2">
        <v>1203.3599999999999</v>
      </c>
      <c r="AL1228" t="str">
        <f>"$"</f>
        <v>$</v>
      </c>
    </row>
    <row r="1229" spans="1:38" x14ac:dyDescent="0.3">
      <c r="A1229" t="str">
        <f>"SO21000231"</f>
        <v>SO21000231</v>
      </c>
      <c r="B1229" t="str">
        <f>"E000336473"</f>
        <v>E000336473</v>
      </c>
      <c r="C1229" t="str">
        <f>"בוצעה"</f>
        <v>בוצעה</v>
      </c>
      <c r="E1229" s="3">
        <v>44340</v>
      </c>
      <c r="F1229" s="3">
        <v>44479</v>
      </c>
      <c r="G1229" t="str">
        <f>"700065"</f>
        <v>700065</v>
      </c>
      <c r="H1229" t="str">
        <f>"אלתא מערכות בע""מ"</f>
        <v>אלתא מערכות בע"מ</v>
      </c>
      <c r="I1229" t="str">
        <f>"רחמים זרוק"</f>
        <v>רחמים זרוק</v>
      </c>
      <c r="J1229" t="str">
        <f>"OP-AR02570"</f>
        <v>OP-AR02570</v>
      </c>
      <c r="K1229" s="1" t="str">
        <f>"4040K389-001   HARNESS WL389 - LAB - BU SIGNAL GROUND"</f>
        <v>4040K389-001   HARNESS WL389 - LAB - BU SIGNAL GROUND</v>
      </c>
      <c r="L1229">
        <v>2</v>
      </c>
      <c r="M1229" t="str">
        <f>"PR21000338"</f>
        <v>PR21000338</v>
      </c>
      <c r="N1229" t="str">
        <f>"LAB - BU SIGNAL AIRBORN"</f>
        <v>LAB - BU SIGNAL AIRBORN</v>
      </c>
      <c r="O1229">
        <v>460.46</v>
      </c>
      <c r="P1229" t="str">
        <f>"$"</f>
        <v>$</v>
      </c>
      <c r="Q1229" t="str">
        <f>"117"</f>
        <v>117</v>
      </c>
      <c r="R1229" t="str">
        <f>"רתמות"</f>
        <v>רתמות</v>
      </c>
      <c r="S1229" t="str">
        <f>"040"</f>
        <v>040</v>
      </c>
      <c r="T1229" t="str">
        <f>"עמר ליגל"</f>
        <v>עמר ליגל</v>
      </c>
      <c r="U1229">
        <v>0</v>
      </c>
      <c r="V1229">
        <v>0</v>
      </c>
      <c r="W1229">
        <v>460.46</v>
      </c>
      <c r="X1229">
        <v>920.92</v>
      </c>
      <c r="Z1229" t="str">
        <f>"Y"</f>
        <v>Y</v>
      </c>
      <c r="AA1229">
        <v>0</v>
      </c>
      <c r="AC1229">
        <v>0</v>
      </c>
      <c r="AE1229">
        <v>0</v>
      </c>
      <c r="AF1229">
        <v>0</v>
      </c>
      <c r="AG1229" s="2">
        <v>1498.8</v>
      </c>
      <c r="AH1229">
        <v>0</v>
      </c>
      <c r="AI1229" s="2">
        <v>2997.59</v>
      </c>
      <c r="AJ1229">
        <v>920.92</v>
      </c>
      <c r="AK1229">
        <v>920.92</v>
      </c>
      <c r="AL1229" t="str">
        <f>"$"</f>
        <v>$</v>
      </c>
    </row>
    <row r="1230" spans="1:38" x14ac:dyDescent="0.3">
      <c r="A1230" t="str">
        <f>"SO21000231"</f>
        <v>SO21000231</v>
      </c>
      <c r="B1230" t="str">
        <f>"E000336473"</f>
        <v>E000336473</v>
      </c>
      <c r="C1230" t="str">
        <f>"בוצעה"</f>
        <v>בוצעה</v>
      </c>
      <c r="E1230" s="3">
        <v>44340</v>
      </c>
      <c r="F1230" s="3">
        <v>44530</v>
      </c>
      <c r="G1230" t="str">
        <f>"700065"</f>
        <v>700065</v>
      </c>
      <c r="H1230" t="str">
        <f>"אלתא מערכות בע""מ"</f>
        <v>אלתא מערכות בע"מ</v>
      </c>
      <c r="I1230" t="str">
        <f>"רחמים זרוק"</f>
        <v>רחמים זרוק</v>
      </c>
      <c r="J1230" t="str">
        <f>"OP-AR02061"</f>
        <v>OP-AR02061</v>
      </c>
      <c r="K1230" s="1" t="str">
        <f>"4043K510-001  SATCOM COMMUNICATION CABLE"</f>
        <v>4043K510-001  SATCOM COMMUNICATION CABLE</v>
      </c>
      <c r="L1230">
        <v>6</v>
      </c>
      <c r="M1230" t="str">
        <f>"PR21000338"</f>
        <v>PR21000338</v>
      </c>
      <c r="N1230" t="str">
        <f>"LAB - BU SIGNAL AIRBORN"</f>
        <v>LAB - BU SIGNAL AIRBORN</v>
      </c>
      <c r="O1230" s="2">
        <v>2225.31</v>
      </c>
      <c r="P1230" t="str">
        <f>"$"</f>
        <v>$</v>
      </c>
      <c r="Q1230" t="str">
        <f>"117"</f>
        <v>117</v>
      </c>
      <c r="R1230" t="str">
        <f>"רתמות"</f>
        <v>רתמות</v>
      </c>
      <c r="S1230" t="str">
        <f>"040"</f>
        <v>040</v>
      </c>
      <c r="T1230" t="str">
        <f>"עמר ליגל"</f>
        <v>עמר ליגל</v>
      </c>
      <c r="U1230">
        <v>0</v>
      </c>
      <c r="V1230">
        <v>0</v>
      </c>
      <c r="W1230" s="2">
        <v>2225.31</v>
      </c>
      <c r="X1230" s="2">
        <v>13351.86</v>
      </c>
      <c r="Z1230" t="str">
        <f>"Y"</f>
        <v>Y</v>
      </c>
      <c r="AA1230">
        <v>0</v>
      </c>
      <c r="AC1230">
        <v>0</v>
      </c>
      <c r="AE1230">
        <v>0</v>
      </c>
      <c r="AF1230">
        <v>0</v>
      </c>
      <c r="AG1230" s="2">
        <v>7243.38</v>
      </c>
      <c r="AH1230">
        <v>0</v>
      </c>
      <c r="AI1230" s="2">
        <v>43460.3</v>
      </c>
      <c r="AJ1230" s="2">
        <v>13351.86</v>
      </c>
      <c r="AK1230" s="2">
        <v>13351.86</v>
      </c>
      <c r="AL1230" t="str">
        <f>"$"</f>
        <v>$</v>
      </c>
    </row>
    <row r="1231" spans="1:38" x14ac:dyDescent="0.3">
      <c r="A1231" t="str">
        <f>"SO21000231"</f>
        <v>SO21000231</v>
      </c>
      <c r="B1231" t="str">
        <f>"E000336473"</f>
        <v>E000336473</v>
      </c>
      <c r="C1231" t="str">
        <f>"בוצעה"</f>
        <v>בוצעה</v>
      </c>
      <c r="E1231" s="3">
        <v>44340</v>
      </c>
      <c r="F1231" s="3">
        <v>44540</v>
      </c>
      <c r="G1231" t="str">
        <f>"700065"</f>
        <v>700065</v>
      </c>
      <c r="H1231" t="str">
        <f>"אלתא מערכות בע""מ"</f>
        <v>אלתא מערכות בע"מ</v>
      </c>
      <c r="I1231" t="str">
        <f>"רחמים זרוק"</f>
        <v>רחמים זרוק</v>
      </c>
      <c r="J1231" t="str">
        <f>"OP-AR02572"</f>
        <v>OP-AR02572</v>
      </c>
      <c r="K1231" s="1" t="str">
        <f>"4060B721-001   W102 TRU SIGNAL CABLE"</f>
        <v>4060B721-001   W102 TRU SIGNAL CABLE</v>
      </c>
      <c r="L1231">
        <v>4</v>
      </c>
      <c r="M1231" t="str">
        <f>"PR21000338"</f>
        <v>PR21000338</v>
      </c>
      <c r="N1231" t="str">
        <f>"LAB - BU SIGNAL AIRBORN"</f>
        <v>LAB - BU SIGNAL AIRBORN</v>
      </c>
      <c r="O1231">
        <v>727.42</v>
      </c>
      <c r="P1231" t="str">
        <f>"$"</f>
        <v>$</v>
      </c>
      <c r="Q1231" t="str">
        <f>"117"</f>
        <v>117</v>
      </c>
      <c r="R1231" t="str">
        <f>"רתמות"</f>
        <v>רתמות</v>
      </c>
      <c r="S1231" t="str">
        <f>"040"</f>
        <v>040</v>
      </c>
      <c r="T1231" t="str">
        <f>"עמר ליגל"</f>
        <v>עמר ליגל</v>
      </c>
      <c r="U1231">
        <v>0</v>
      </c>
      <c r="V1231">
        <v>0</v>
      </c>
      <c r="W1231">
        <v>727.42</v>
      </c>
      <c r="X1231" s="2">
        <v>2909.68</v>
      </c>
      <c r="Z1231" t="str">
        <f>"Y"</f>
        <v>Y</v>
      </c>
      <c r="AA1231">
        <v>0</v>
      </c>
      <c r="AC1231">
        <v>0</v>
      </c>
      <c r="AE1231">
        <v>0</v>
      </c>
      <c r="AF1231">
        <v>0</v>
      </c>
      <c r="AG1231" s="2">
        <v>2367.75</v>
      </c>
      <c r="AH1231">
        <v>0</v>
      </c>
      <c r="AI1231" s="2">
        <v>9471.01</v>
      </c>
      <c r="AJ1231" s="2">
        <v>2909.68</v>
      </c>
      <c r="AK1231" s="2">
        <v>2909.68</v>
      </c>
      <c r="AL1231" t="str">
        <f>"$"</f>
        <v>$</v>
      </c>
    </row>
    <row r="1232" spans="1:38" x14ac:dyDescent="0.3">
      <c r="A1232" t="str">
        <f>"SO21000231"</f>
        <v>SO21000231</v>
      </c>
      <c r="B1232" t="str">
        <f>"E000336473"</f>
        <v>E000336473</v>
      </c>
      <c r="C1232" t="str">
        <f>"בוצעה"</f>
        <v>בוצעה</v>
      </c>
      <c r="E1232" s="3">
        <v>44340</v>
      </c>
      <c r="F1232" s="3">
        <v>44479</v>
      </c>
      <c r="G1232" t="str">
        <f>"700065"</f>
        <v>700065</v>
      </c>
      <c r="H1232" t="str">
        <f>"אלתא מערכות בע""מ"</f>
        <v>אלתא מערכות בע"מ</v>
      </c>
      <c r="I1232" t="str">
        <f>"רחמים זרוק"</f>
        <v>רחמים זרוק</v>
      </c>
      <c r="J1232" t="str">
        <f>"OP-AR02573"</f>
        <v>OP-AR02573</v>
      </c>
      <c r="K1232" s="1" t="str">
        <f>"5020G748-001   HARNESS WE009 - MAIN BU GFEA POWER SUPPL"</f>
        <v>5020G748-001   HARNESS WE009 - MAIN BU GFEA POWER SUPPL</v>
      </c>
      <c r="L1232">
        <v>3</v>
      </c>
      <c r="M1232" t="str">
        <f>"PR21000338"</f>
        <v>PR21000338</v>
      </c>
      <c r="N1232" t="str">
        <f>"LAB - BU SIGNAL AIRBORN"</f>
        <v>LAB - BU SIGNAL AIRBORN</v>
      </c>
      <c r="O1232">
        <v>160.91</v>
      </c>
      <c r="P1232" t="str">
        <f>"$"</f>
        <v>$</v>
      </c>
      <c r="Q1232" t="str">
        <f>"117"</f>
        <v>117</v>
      </c>
      <c r="R1232" t="str">
        <f>"רתמות"</f>
        <v>רתמות</v>
      </c>
      <c r="S1232" t="str">
        <f>"040"</f>
        <v>040</v>
      </c>
      <c r="T1232" t="str">
        <f>"עמר ליגל"</f>
        <v>עמר ליגל</v>
      </c>
      <c r="U1232">
        <v>0</v>
      </c>
      <c r="V1232">
        <v>0</v>
      </c>
      <c r="W1232">
        <v>160.91</v>
      </c>
      <c r="X1232">
        <v>482.73</v>
      </c>
      <c r="Z1232" t="str">
        <f>"Y"</f>
        <v>Y</v>
      </c>
      <c r="AA1232">
        <v>0</v>
      </c>
      <c r="AC1232">
        <v>0</v>
      </c>
      <c r="AE1232">
        <v>0</v>
      </c>
      <c r="AF1232">
        <v>0</v>
      </c>
      <c r="AG1232">
        <v>523.76</v>
      </c>
      <c r="AH1232">
        <v>0</v>
      </c>
      <c r="AI1232" s="2">
        <v>1571.29</v>
      </c>
      <c r="AJ1232">
        <v>482.73</v>
      </c>
      <c r="AK1232">
        <v>482.73</v>
      </c>
      <c r="AL1232" t="str">
        <f>"$"</f>
        <v>$</v>
      </c>
    </row>
    <row r="1233" spans="1:38" x14ac:dyDescent="0.3">
      <c r="A1233" t="str">
        <f>"SO21000231"</f>
        <v>SO21000231</v>
      </c>
      <c r="B1233" t="str">
        <f>"E000336473"</f>
        <v>E000336473</v>
      </c>
      <c r="C1233" t="str">
        <f>"בוצעה"</f>
        <v>בוצעה</v>
      </c>
      <c r="E1233" s="3">
        <v>44340</v>
      </c>
      <c r="F1233" s="3">
        <v>44479</v>
      </c>
      <c r="G1233" t="str">
        <f>"700065"</f>
        <v>700065</v>
      </c>
      <c r="H1233" t="str">
        <f>"אלתא מערכות בע""מ"</f>
        <v>אלתא מערכות בע"מ</v>
      </c>
      <c r="I1233" t="str">
        <f>"רחמים זרוק"</f>
        <v>רחמים זרוק</v>
      </c>
      <c r="J1233" t="str">
        <f>"OP-AR02574"</f>
        <v>OP-AR02574</v>
      </c>
      <c r="K1233" s="1" t="str">
        <f>"5020G749-001   HARNESS WE008 - MAIN BU GTRU POWER SUPPL"</f>
        <v>5020G749-001   HARNESS WE008 - MAIN BU GTRU POWER SUPPL</v>
      </c>
      <c r="L1233">
        <v>4</v>
      </c>
      <c r="M1233" t="str">
        <f>"PR21000338"</f>
        <v>PR21000338</v>
      </c>
      <c r="N1233" t="str">
        <f>"LAB - BU SIGNAL AIRBORN"</f>
        <v>LAB - BU SIGNAL AIRBORN</v>
      </c>
      <c r="O1233">
        <v>116.38</v>
      </c>
      <c r="P1233" t="str">
        <f>"$"</f>
        <v>$</v>
      </c>
      <c r="Q1233" t="str">
        <f>"117"</f>
        <v>117</v>
      </c>
      <c r="R1233" t="str">
        <f>"רתמות"</f>
        <v>רתמות</v>
      </c>
      <c r="S1233" t="str">
        <f>"040"</f>
        <v>040</v>
      </c>
      <c r="T1233" t="str">
        <f>"עמר ליגל"</f>
        <v>עמר ליגל</v>
      </c>
      <c r="U1233">
        <v>0</v>
      </c>
      <c r="V1233">
        <v>0</v>
      </c>
      <c r="W1233">
        <v>116.38</v>
      </c>
      <c r="X1233">
        <v>465.52</v>
      </c>
      <c r="Z1233" t="str">
        <f>"Y"</f>
        <v>Y</v>
      </c>
      <c r="AA1233">
        <v>0</v>
      </c>
      <c r="AC1233">
        <v>0</v>
      </c>
      <c r="AE1233">
        <v>0</v>
      </c>
      <c r="AF1233">
        <v>0</v>
      </c>
      <c r="AG1233">
        <v>378.82</v>
      </c>
      <c r="AH1233">
        <v>0</v>
      </c>
      <c r="AI1233" s="2">
        <v>1515.27</v>
      </c>
      <c r="AJ1233">
        <v>465.52</v>
      </c>
      <c r="AK1233">
        <v>465.52</v>
      </c>
      <c r="AL1233" t="str">
        <f>"$"</f>
        <v>$</v>
      </c>
    </row>
    <row r="1234" spans="1:38" x14ac:dyDescent="0.3">
      <c r="A1234" t="str">
        <f>"SO21000231"</f>
        <v>SO21000231</v>
      </c>
      <c r="B1234" t="str">
        <f>"E000336473"</f>
        <v>E000336473</v>
      </c>
      <c r="C1234" t="str">
        <f>"בוצעה"</f>
        <v>בוצעה</v>
      </c>
      <c r="E1234" s="3">
        <v>44340</v>
      </c>
      <c r="F1234" s="3">
        <v>44540</v>
      </c>
      <c r="G1234" t="str">
        <f>"700065"</f>
        <v>700065</v>
      </c>
      <c r="H1234" t="str">
        <f>"אלתא מערכות בע""מ"</f>
        <v>אלתא מערכות בע"מ</v>
      </c>
      <c r="I1234" t="str">
        <f>"רחמים זרוק"</f>
        <v>רחמים זרוק</v>
      </c>
      <c r="J1234" t="str">
        <f>"OP-AR02575"</f>
        <v>OP-AR02575</v>
      </c>
      <c r="K1234" s="1" t="str">
        <f>"5020G753-001   HARNESS WE001 - MAIN PR ATRU COM AND CO"</f>
        <v>5020G753-001   HARNESS WE001 - MAIN PR ATRU COM AND CO</v>
      </c>
      <c r="L1234">
        <v>2</v>
      </c>
      <c r="M1234" t="str">
        <f>"PR21000338"</f>
        <v>PR21000338</v>
      </c>
      <c r="N1234" t="str">
        <f>"LAB - BU SIGNAL AIRBORN"</f>
        <v>LAB - BU SIGNAL AIRBORN</v>
      </c>
      <c r="O1234" s="2">
        <v>1000.05</v>
      </c>
      <c r="P1234" t="str">
        <f>"$"</f>
        <v>$</v>
      </c>
      <c r="Q1234" t="str">
        <f>"117"</f>
        <v>117</v>
      </c>
      <c r="R1234" t="str">
        <f>"רתמות"</f>
        <v>רתמות</v>
      </c>
      <c r="S1234" t="str">
        <f>"040"</f>
        <v>040</v>
      </c>
      <c r="T1234" t="str">
        <f>"עמר ליגל"</f>
        <v>עמר ליגל</v>
      </c>
      <c r="U1234">
        <v>0</v>
      </c>
      <c r="V1234">
        <v>0</v>
      </c>
      <c r="W1234" s="2">
        <v>1000.05</v>
      </c>
      <c r="X1234" s="2">
        <v>2000.1</v>
      </c>
      <c r="Z1234" t="str">
        <f>"Y"</f>
        <v>Y</v>
      </c>
      <c r="AA1234">
        <v>0</v>
      </c>
      <c r="AC1234">
        <v>0</v>
      </c>
      <c r="AE1234">
        <v>0</v>
      </c>
      <c r="AF1234">
        <v>0</v>
      </c>
      <c r="AG1234" s="2">
        <v>3255.16</v>
      </c>
      <c r="AH1234">
        <v>0</v>
      </c>
      <c r="AI1234" s="2">
        <v>6510.33</v>
      </c>
      <c r="AJ1234" s="2">
        <v>2000.1</v>
      </c>
      <c r="AK1234" s="2">
        <v>2000.1</v>
      </c>
      <c r="AL1234" t="str">
        <f>"$"</f>
        <v>$</v>
      </c>
    </row>
    <row r="1235" spans="1:38" x14ac:dyDescent="0.3">
      <c r="A1235" t="str">
        <f>"SO21000231"</f>
        <v>SO21000231</v>
      </c>
      <c r="B1235" t="str">
        <f>"E000336473"</f>
        <v>E000336473</v>
      </c>
      <c r="C1235" t="str">
        <f>"בוצעה"</f>
        <v>בוצעה</v>
      </c>
      <c r="E1235" s="3">
        <v>44340</v>
      </c>
      <c r="F1235" s="3">
        <v>44540</v>
      </c>
      <c r="G1235" t="str">
        <f>"700065"</f>
        <v>700065</v>
      </c>
      <c r="H1235" t="str">
        <f>"אלתא מערכות בע""מ"</f>
        <v>אלתא מערכות בע"מ</v>
      </c>
      <c r="I1235" t="str">
        <f>"רחמים זרוק"</f>
        <v>רחמים זרוק</v>
      </c>
      <c r="J1235" t="str">
        <f>"OP-AR02576"</f>
        <v>OP-AR02576</v>
      </c>
      <c r="K1235" s="1" t="str">
        <f>"5020G754-001   HARNESS WE002 - PR ATRU POWER SUPPLY"</f>
        <v>5020G754-001   HARNESS WE002 - PR ATRU POWER SUPPLY</v>
      </c>
      <c r="L1235">
        <v>6</v>
      </c>
      <c r="M1235" t="str">
        <f>"PR21000338"</f>
        <v>PR21000338</v>
      </c>
      <c r="N1235" t="str">
        <f>"LAB - BU SIGNAL AIRBORN"</f>
        <v>LAB - BU SIGNAL AIRBORN</v>
      </c>
      <c r="O1235">
        <v>123.41</v>
      </c>
      <c r="P1235" t="str">
        <f>"$"</f>
        <v>$</v>
      </c>
      <c r="Q1235" t="str">
        <f>"117"</f>
        <v>117</v>
      </c>
      <c r="R1235" t="str">
        <f>"רתמות"</f>
        <v>רתמות</v>
      </c>
      <c r="S1235" t="str">
        <f>"040"</f>
        <v>040</v>
      </c>
      <c r="T1235" t="str">
        <f>"עמר ליגל"</f>
        <v>עמר ליגל</v>
      </c>
      <c r="U1235">
        <v>0</v>
      </c>
      <c r="V1235">
        <v>0</v>
      </c>
      <c r="W1235">
        <v>123.41</v>
      </c>
      <c r="X1235">
        <v>740.46</v>
      </c>
      <c r="Z1235" t="str">
        <f>"Y"</f>
        <v>Y</v>
      </c>
      <c r="AA1235">
        <v>0</v>
      </c>
      <c r="AC1235">
        <v>0</v>
      </c>
      <c r="AE1235">
        <v>0</v>
      </c>
      <c r="AF1235">
        <v>0</v>
      </c>
      <c r="AG1235">
        <v>401.7</v>
      </c>
      <c r="AH1235">
        <v>0</v>
      </c>
      <c r="AI1235" s="2">
        <v>2410.1999999999998</v>
      </c>
      <c r="AJ1235">
        <v>740.46</v>
      </c>
      <c r="AK1235">
        <v>740.46</v>
      </c>
      <c r="AL1235" t="str">
        <f>"$"</f>
        <v>$</v>
      </c>
    </row>
    <row r="1236" spans="1:38" x14ac:dyDescent="0.3">
      <c r="A1236" t="str">
        <f>"SO21000231"</f>
        <v>SO21000231</v>
      </c>
      <c r="B1236" t="str">
        <f>"E000336473"</f>
        <v>E000336473</v>
      </c>
      <c r="C1236" t="str">
        <f>"בוצעה"</f>
        <v>בוצעה</v>
      </c>
      <c r="E1236" s="3">
        <v>44340</v>
      </c>
      <c r="F1236" s="3">
        <v>44479</v>
      </c>
      <c r="G1236" t="str">
        <f>"700065"</f>
        <v>700065</v>
      </c>
      <c r="H1236" t="str">
        <f>"אלתא מערכות בע""מ"</f>
        <v>אלתא מערכות בע"מ</v>
      </c>
      <c r="I1236" t="str">
        <f>"רחמים זרוק"</f>
        <v>רחמים זרוק</v>
      </c>
      <c r="J1236" t="str">
        <f>"OP-AR02577"</f>
        <v>OP-AR02577</v>
      </c>
      <c r="K1236" s="1" t="str">
        <f>"5020G755-001   HARNESS WE003 - PR AFEA POWER SUPPLY"</f>
        <v>5020G755-001   HARNESS WE003 - PR AFEA POWER SUPPLY</v>
      </c>
      <c r="L1236">
        <v>2</v>
      </c>
      <c r="M1236" t="str">
        <f>"PR21000338"</f>
        <v>PR21000338</v>
      </c>
      <c r="N1236" t="str">
        <f>"LAB - BU SIGNAL AIRBORN"</f>
        <v>LAB - BU SIGNAL AIRBORN</v>
      </c>
      <c r="O1236">
        <v>122.74</v>
      </c>
      <c r="P1236" t="str">
        <f>"$"</f>
        <v>$</v>
      </c>
      <c r="Q1236" t="str">
        <f>"117"</f>
        <v>117</v>
      </c>
      <c r="R1236" t="str">
        <f>"רתמות"</f>
        <v>רתמות</v>
      </c>
      <c r="S1236" t="str">
        <f>"040"</f>
        <v>040</v>
      </c>
      <c r="T1236" t="str">
        <f>"עמר ליגל"</f>
        <v>עמר ליגל</v>
      </c>
      <c r="U1236">
        <v>0</v>
      </c>
      <c r="V1236">
        <v>0</v>
      </c>
      <c r="W1236">
        <v>122.74</v>
      </c>
      <c r="X1236">
        <v>245.48</v>
      </c>
      <c r="Z1236" t="str">
        <f>"Y"</f>
        <v>Y</v>
      </c>
      <c r="AA1236">
        <v>0</v>
      </c>
      <c r="AC1236">
        <v>0</v>
      </c>
      <c r="AE1236">
        <v>0</v>
      </c>
      <c r="AF1236">
        <v>0</v>
      </c>
      <c r="AG1236">
        <v>399.52</v>
      </c>
      <c r="AH1236">
        <v>0</v>
      </c>
      <c r="AI1236">
        <v>799.04</v>
      </c>
      <c r="AJ1236">
        <v>245.48</v>
      </c>
      <c r="AK1236">
        <v>245.48</v>
      </c>
      <c r="AL1236" t="str">
        <f>"$"</f>
        <v>$</v>
      </c>
    </row>
    <row r="1237" spans="1:38" x14ac:dyDescent="0.3">
      <c r="A1237" t="str">
        <f>"SO21000234"</f>
        <v>SO21000234</v>
      </c>
      <c r="B1237" t="str">
        <f>"E000338888"</f>
        <v>E000338888</v>
      </c>
      <c r="C1237" t="str">
        <f>"בסיום הרכבה"</f>
        <v>בסיום הרכבה</v>
      </c>
      <c r="E1237" s="3">
        <v>44341</v>
      </c>
      <c r="F1237" s="3">
        <v>44530</v>
      </c>
      <c r="G1237" t="str">
        <f>"700065"</f>
        <v>700065</v>
      </c>
      <c r="H1237" t="str">
        <f>"אלתא מערכות בע""מ"</f>
        <v>אלתא מערכות בע"מ</v>
      </c>
      <c r="I1237" t="str">
        <f>"רחמים זרוק"</f>
        <v>רחמים זרוק</v>
      </c>
      <c r="J1237" t="str">
        <f>"OP-AR02583"</f>
        <v>OP-AR02583</v>
      </c>
      <c r="K1237" s="1" t="str">
        <f>"1096B462-001  DC HARNESS FULL TK"</f>
        <v>1096B462-001  DC HARNESS FULL TK</v>
      </c>
      <c r="L1237">
        <v>8</v>
      </c>
      <c r="M1237" t="str">
        <f>"PR21000341"</f>
        <v>PR21000341</v>
      </c>
      <c r="N1237" t="str">
        <f>"DC HARNESS"</f>
        <v>DC HARNESS</v>
      </c>
      <c r="O1237" s="2">
        <v>1428.5</v>
      </c>
      <c r="P1237" t="str">
        <f>"$"</f>
        <v>$</v>
      </c>
      <c r="Q1237" t="str">
        <f>"117"</f>
        <v>117</v>
      </c>
      <c r="R1237" t="str">
        <f>"רתמות"</f>
        <v>רתמות</v>
      </c>
      <c r="S1237" t="str">
        <f>"040"</f>
        <v>040</v>
      </c>
      <c r="T1237" t="str">
        <f>"עמר ליגל"</f>
        <v>עמר ליגל</v>
      </c>
      <c r="U1237">
        <v>0</v>
      </c>
      <c r="V1237">
        <v>0</v>
      </c>
      <c r="W1237" s="2">
        <v>1428.5</v>
      </c>
      <c r="X1237" s="2">
        <v>11428</v>
      </c>
      <c r="Z1237" t="str">
        <f>"Y"</f>
        <v>Y</v>
      </c>
      <c r="AA1237">
        <v>0</v>
      </c>
      <c r="AC1237">
        <v>0</v>
      </c>
      <c r="AE1237">
        <v>0</v>
      </c>
      <c r="AF1237">
        <v>0</v>
      </c>
      <c r="AG1237" s="2">
        <v>4631.2</v>
      </c>
      <c r="AH1237">
        <v>0</v>
      </c>
      <c r="AI1237" s="2">
        <v>37049.58</v>
      </c>
      <c r="AJ1237" s="2">
        <v>11428</v>
      </c>
      <c r="AK1237" s="2">
        <v>11428</v>
      </c>
      <c r="AL1237" t="str">
        <f>"$"</f>
        <v>$</v>
      </c>
    </row>
    <row r="1238" spans="1:38" x14ac:dyDescent="0.3">
      <c r="A1238" t="str">
        <f>"SO21000234"</f>
        <v>SO21000234</v>
      </c>
      <c r="B1238" t="str">
        <f>"E000338888"</f>
        <v>E000338888</v>
      </c>
      <c r="C1238" t="str">
        <f>"בסיום הרכבה"</f>
        <v>בסיום הרכבה</v>
      </c>
      <c r="E1238" s="3">
        <v>44341</v>
      </c>
      <c r="F1238" s="3">
        <v>44530</v>
      </c>
      <c r="G1238" t="str">
        <f>"700065"</f>
        <v>700065</v>
      </c>
      <c r="H1238" t="str">
        <f>"אלתא מערכות בע""מ"</f>
        <v>אלתא מערכות בע"מ</v>
      </c>
      <c r="I1238" t="str">
        <f>"רחמים זרוק"</f>
        <v>רחמים זרוק</v>
      </c>
      <c r="J1238" t="str">
        <f>"PA1001980"</f>
        <v>PA1001980</v>
      </c>
      <c r="K1238" s="1" t="str">
        <f>"M80-4803805   CONNECTOR 19+19 contacts"</f>
        <v>M80-4803805   CONNECTOR 19+19 contacts</v>
      </c>
      <c r="L1238">
        <v>42</v>
      </c>
      <c r="M1238" t="str">
        <f>"PR21000341"</f>
        <v>PR21000341</v>
      </c>
      <c r="N1238" t="str">
        <f>"DC HARNESS"</f>
        <v>DC HARNESS</v>
      </c>
      <c r="O1238">
        <v>16.8</v>
      </c>
      <c r="P1238" t="str">
        <f>"$"</f>
        <v>$</v>
      </c>
      <c r="Q1238" t="str">
        <f>"117"</f>
        <v>117</v>
      </c>
      <c r="R1238" t="str">
        <f>"רתמות"</f>
        <v>רתמות</v>
      </c>
      <c r="S1238" t="str">
        <f>"040"</f>
        <v>040</v>
      </c>
      <c r="T1238" t="str">
        <f>"עמר ליגל"</f>
        <v>עמר ליגל</v>
      </c>
      <c r="U1238">
        <v>0</v>
      </c>
      <c r="V1238">
        <v>0</v>
      </c>
      <c r="W1238">
        <v>16.8</v>
      </c>
      <c r="X1238">
        <v>705.6</v>
      </c>
      <c r="Z1238" t="str">
        <f>"Y"</f>
        <v>Y</v>
      </c>
      <c r="AA1238">
        <v>0</v>
      </c>
      <c r="AC1238">
        <v>0</v>
      </c>
      <c r="AE1238">
        <v>0</v>
      </c>
      <c r="AF1238">
        <v>0</v>
      </c>
      <c r="AG1238">
        <v>54.47</v>
      </c>
      <c r="AH1238">
        <v>0</v>
      </c>
      <c r="AI1238" s="2">
        <v>2287.56</v>
      </c>
      <c r="AJ1238">
        <v>705.6</v>
      </c>
      <c r="AK1238">
        <v>705.6</v>
      </c>
      <c r="AL1238" t="str">
        <f>"$"</f>
        <v>$</v>
      </c>
    </row>
    <row r="1239" spans="1:38" x14ac:dyDescent="0.3">
      <c r="A1239" t="str">
        <f>"SO21000236"</f>
        <v>SO21000236</v>
      </c>
      <c r="B1239" t="str">
        <f>"E000337986"</f>
        <v>E000337986</v>
      </c>
      <c r="C1239" t="str">
        <f>"בוצעה"</f>
        <v>בוצעה</v>
      </c>
      <c r="E1239" s="3">
        <v>44341</v>
      </c>
      <c r="F1239" s="3">
        <v>44454</v>
      </c>
      <c r="G1239" t="str">
        <f>"700065"</f>
        <v>700065</v>
      </c>
      <c r="H1239" t="str">
        <f>"אלתא מערכות בע""מ"</f>
        <v>אלתא מערכות בע"מ</v>
      </c>
      <c r="I1239" t="str">
        <f>"רחמים זרוק"</f>
        <v>רחמים זרוק</v>
      </c>
      <c r="J1239" t="str">
        <f>"OP-AR02585"</f>
        <v>OP-AR02585</v>
      </c>
      <c r="K1239" s="1" t="str">
        <f>"1001K760-001   IMPROVED FCR CAMERA WIRING"</f>
        <v>1001K760-001   IMPROVED FCR CAMERA WIRING</v>
      </c>
      <c r="L1239">
        <v>15</v>
      </c>
      <c r="M1239" t="str">
        <f>"PR21000342"</f>
        <v>PR21000342</v>
      </c>
      <c r="N1239" t="str">
        <f>"ARNESS WV399 - PDB1 TO RECTIFIER"</f>
        <v>ARNESS WV399 - PDB1 TO RECTIFIER</v>
      </c>
      <c r="O1239">
        <v>605.58000000000004</v>
      </c>
      <c r="P1239" t="str">
        <f>"$"</f>
        <v>$</v>
      </c>
      <c r="Q1239" t="str">
        <f>"117"</f>
        <v>117</v>
      </c>
      <c r="R1239" t="str">
        <f>"רתמות"</f>
        <v>רתמות</v>
      </c>
      <c r="S1239" t="str">
        <f>"040"</f>
        <v>040</v>
      </c>
      <c r="T1239" t="str">
        <f>"עמר ליגל"</f>
        <v>עמר ליגל</v>
      </c>
      <c r="U1239">
        <v>0</v>
      </c>
      <c r="V1239">
        <v>0</v>
      </c>
      <c r="W1239">
        <v>605.58000000000004</v>
      </c>
      <c r="X1239" s="2">
        <v>9083.7000000000007</v>
      </c>
      <c r="Z1239" t="str">
        <f>"Y"</f>
        <v>Y</v>
      </c>
      <c r="AA1239">
        <v>0</v>
      </c>
      <c r="AC1239">
        <v>0</v>
      </c>
      <c r="AE1239">
        <v>0</v>
      </c>
      <c r="AF1239">
        <v>0</v>
      </c>
      <c r="AG1239" s="2">
        <v>1963.29</v>
      </c>
      <c r="AH1239">
        <v>0</v>
      </c>
      <c r="AI1239" s="2">
        <v>29449.360000000001</v>
      </c>
      <c r="AJ1239" s="2">
        <v>9083.7000000000007</v>
      </c>
      <c r="AK1239" s="2">
        <v>9083.7000000000007</v>
      </c>
      <c r="AL1239" t="str">
        <f>"$"</f>
        <v>$</v>
      </c>
    </row>
    <row r="1240" spans="1:38" x14ac:dyDescent="0.3">
      <c r="A1240" t="str">
        <f>"SO21000236"</f>
        <v>SO21000236</v>
      </c>
      <c r="B1240" t="str">
        <f>"E000337986"</f>
        <v>E000337986</v>
      </c>
      <c r="C1240" t="str">
        <f>"בוצעה"</f>
        <v>בוצעה</v>
      </c>
      <c r="E1240" s="3">
        <v>44341</v>
      </c>
      <c r="F1240" s="3">
        <v>44387</v>
      </c>
      <c r="G1240" t="str">
        <f>"700065"</f>
        <v>700065</v>
      </c>
      <c r="H1240" t="str">
        <f>"אלתא מערכות בע""מ"</f>
        <v>אלתא מערכות בע"מ</v>
      </c>
      <c r="I1240" t="str">
        <f>"רחמים זרוק"</f>
        <v>רחמים זרוק</v>
      </c>
      <c r="J1240" t="str">
        <f>"OP-AR02584"</f>
        <v>OP-AR02584</v>
      </c>
      <c r="K1240" s="1" t="str">
        <f>"1038C399-001   HARNESS WV399 - PDB1 TO RECTIFIER (BENDE"</f>
        <v>1038C399-001   HARNESS WV399 - PDB1 TO RECTIFIER (BENDE</v>
      </c>
      <c r="L1240">
        <v>6</v>
      </c>
      <c r="M1240" t="str">
        <f>"PR21000342"</f>
        <v>PR21000342</v>
      </c>
      <c r="N1240" t="str">
        <f>"ARNESS WV399 - PDB1 TO RECTIFIER"</f>
        <v>ARNESS WV399 - PDB1 TO RECTIFIER</v>
      </c>
      <c r="O1240">
        <v>334.69</v>
      </c>
      <c r="P1240" t="str">
        <f>"$"</f>
        <v>$</v>
      </c>
      <c r="Q1240" t="str">
        <f>"117"</f>
        <v>117</v>
      </c>
      <c r="R1240" t="str">
        <f>"רתמות"</f>
        <v>רתמות</v>
      </c>
      <c r="S1240" t="str">
        <f>"040"</f>
        <v>040</v>
      </c>
      <c r="T1240" t="str">
        <f>"עמר ליגל"</f>
        <v>עמר ליגל</v>
      </c>
      <c r="U1240">
        <v>0</v>
      </c>
      <c r="V1240">
        <v>0</v>
      </c>
      <c r="W1240">
        <v>334.69</v>
      </c>
      <c r="X1240" s="2">
        <v>2008.14</v>
      </c>
      <c r="Z1240" t="str">
        <f>"Y"</f>
        <v>Y</v>
      </c>
      <c r="AA1240">
        <v>6</v>
      </c>
      <c r="AC1240">
        <v>0</v>
      </c>
      <c r="AE1240">
        <v>0</v>
      </c>
      <c r="AF1240">
        <v>0</v>
      </c>
      <c r="AG1240" s="2">
        <v>1085.06</v>
      </c>
      <c r="AH1240">
        <v>0</v>
      </c>
      <c r="AI1240" s="2">
        <v>6510.39</v>
      </c>
      <c r="AJ1240" s="2">
        <v>2008.14</v>
      </c>
      <c r="AK1240" s="2">
        <v>2008.14</v>
      </c>
      <c r="AL1240" t="str">
        <f>"$"</f>
        <v>$</v>
      </c>
    </row>
    <row r="1241" spans="1:38" x14ac:dyDescent="0.3">
      <c r="A1241" t="str">
        <f>"SO21000236"</f>
        <v>SO21000236</v>
      </c>
      <c r="B1241" t="str">
        <f>"E000337986"</f>
        <v>E000337986</v>
      </c>
      <c r="C1241" t="str">
        <f>"בוצעה"</f>
        <v>בוצעה</v>
      </c>
      <c r="E1241" s="3">
        <v>44341</v>
      </c>
      <c r="F1241" s="3">
        <v>44387</v>
      </c>
      <c r="G1241" t="str">
        <f>"700065"</f>
        <v>700065</v>
      </c>
      <c r="H1241" t="str">
        <f>"אלתא מערכות בע""מ"</f>
        <v>אלתא מערכות בע"מ</v>
      </c>
      <c r="I1241" t="str">
        <f>"רחמים זרוק"</f>
        <v>רחמים זרוק</v>
      </c>
      <c r="J1241" t="str">
        <f>"OP-AR02262"</f>
        <v>OP-AR02262</v>
      </c>
      <c r="K1241" s="1" t="str">
        <f>"1038C462-001   WG462 - P.S TO BUSBAR GROUN"</f>
        <v>1038C462-001   WG462 - P.S TO BUSBAR GROUN</v>
      </c>
      <c r="L1241">
        <v>18</v>
      </c>
      <c r="M1241" t="str">
        <f>"PR21000342"</f>
        <v>PR21000342</v>
      </c>
      <c r="N1241" t="str">
        <f>"ARNESS WV399 - PDB1 TO RECTIFIER"</f>
        <v>ARNESS WV399 - PDB1 TO RECTIFIER</v>
      </c>
      <c r="O1241">
        <v>55.27</v>
      </c>
      <c r="P1241" t="str">
        <f>"$"</f>
        <v>$</v>
      </c>
      <c r="Q1241" t="str">
        <f>"117"</f>
        <v>117</v>
      </c>
      <c r="R1241" t="str">
        <f>"רתמות"</f>
        <v>רתמות</v>
      </c>
      <c r="S1241" t="str">
        <f>"040"</f>
        <v>040</v>
      </c>
      <c r="T1241" t="str">
        <f>"עמר ליגל"</f>
        <v>עמר ליגל</v>
      </c>
      <c r="U1241">
        <v>0</v>
      </c>
      <c r="V1241">
        <v>0</v>
      </c>
      <c r="W1241">
        <v>55.27</v>
      </c>
      <c r="X1241">
        <v>994.86</v>
      </c>
      <c r="Z1241" t="str">
        <f>"Y"</f>
        <v>Y</v>
      </c>
      <c r="AA1241">
        <v>0</v>
      </c>
      <c r="AC1241">
        <v>0</v>
      </c>
      <c r="AE1241">
        <v>0</v>
      </c>
      <c r="AF1241">
        <v>0</v>
      </c>
      <c r="AG1241">
        <v>179.19</v>
      </c>
      <c r="AH1241">
        <v>0</v>
      </c>
      <c r="AI1241" s="2">
        <v>3225.34</v>
      </c>
      <c r="AJ1241">
        <v>994.86</v>
      </c>
      <c r="AK1241">
        <v>994.86</v>
      </c>
      <c r="AL1241" t="str">
        <f>"$"</f>
        <v>$</v>
      </c>
    </row>
    <row r="1242" spans="1:38" x14ac:dyDescent="0.3">
      <c r="A1242" t="str">
        <f>"SO21000237"</f>
        <v>SO21000237</v>
      </c>
      <c r="B1242" t="str">
        <f>"E000338824"</f>
        <v>E000338824</v>
      </c>
      <c r="C1242" t="str">
        <f>"בוצעה"</f>
        <v>בוצעה</v>
      </c>
      <c r="E1242" s="3">
        <v>44341</v>
      </c>
      <c r="F1242" s="3">
        <v>44423</v>
      </c>
      <c r="G1242" t="str">
        <f>"700065"</f>
        <v>700065</v>
      </c>
      <c r="H1242" t="str">
        <f>"אלתא מערכות בע""מ"</f>
        <v>אלתא מערכות בע"מ</v>
      </c>
      <c r="I1242" t="str">
        <f>"רחמים זרוק"</f>
        <v>רחמים זרוק</v>
      </c>
      <c r="J1242" t="str">
        <f>"OP-AR02587"</f>
        <v>OP-AR02587</v>
      </c>
      <c r="K1242" s="1" t="str">
        <f>"1019G390-001   HARNESS W41 - PED TO CU"</f>
        <v>1019G390-001   HARNESS W41 - PED TO CU</v>
      </c>
      <c r="L1242">
        <v>1</v>
      </c>
      <c r="M1242" t="str">
        <f>"PR21000340"</f>
        <v>PR21000340</v>
      </c>
      <c r="N1242" t="str">
        <f>"HARNESS W41 - PED TO CU"</f>
        <v>HARNESS W41 - PED TO CU</v>
      </c>
      <c r="O1242" s="2">
        <v>1118.82</v>
      </c>
      <c r="P1242" t="str">
        <f>"$"</f>
        <v>$</v>
      </c>
      <c r="Q1242" t="str">
        <f>"117"</f>
        <v>117</v>
      </c>
      <c r="R1242" t="str">
        <f>"רתמות"</f>
        <v>רתמות</v>
      </c>
      <c r="S1242" t="str">
        <f>"040"</f>
        <v>040</v>
      </c>
      <c r="T1242" t="str">
        <f>"עמר ליגל"</f>
        <v>עמר ליגל</v>
      </c>
      <c r="U1242">
        <v>0</v>
      </c>
      <c r="V1242">
        <v>0</v>
      </c>
      <c r="W1242" s="2">
        <v>1118.82</v>
      </c>
      <c r="X1242" s="2">
        <v>1118.82</v>
      </c>
      <c r="Z1242" t="str">
        <f>"Y"</f>
        <v>Y</v>
      </c>
      <c r="AA1242">
        <v>0</v>
      </c>
      <c r="AC1242">
        <v>0</v>
      </c>
      <c r="AE1242">
        <v>0</v>
      </c>
      <c r="AF1242">
        <v>0</v>
      </c>
      <c r="AG1242" s="2">
        <v>3627.21</v>
      </c>
      <c r="AH1242">
        <v>0</v>
      </c>
      <c r="AI1242" s="2">
        <v>3627.21</v>
      </c>
      <c r="AJ1242" s="2">
        <v>1118.82</v>
      </c>
      <c r="AK1242" s="2">
        <v>1118.82</v>
      </c>
      <c r="AL1242" t="str">
        <f>"$"</f>
        <v>$</v>
      </c>
    </row>
    <row r="1243" spans="1:38" x14ac:dyDescent="0.3">
      <c r="A1243" t="str">
        <f>"SO21000249"</f>
        <v>SO21000249</v>
      </c>
      <c r="B1243" t="str">
        <f>"E000337701"</f>
        <v>E000337701</v>
      </c>
      <c r="C1243" t="str">
        <f>"בוצעה"</f>
        <v>בוצעה</v>
      </c>
      <c r="E1243" s="3">
        <v>44346</v>
      </c>
      <c r="F1243" s="3">
        <v>44530</v>
      </c>
      <c r="G1243" t="str">
        <f>"700065"</f>
        <v>700065</v>
      </c>
      <c r="H1243" t="str">
        <f>"אלתא מערכות בע""מ"</f>
        <v>אלתא מערכות בע"מ</v>
      </c>
      <c r="I1243" t="str">
        <f>"ערן שלו"</f>
        <v>ערן שלו</v>
      </c>
      <c r="J1243" t="str">
        <f>"OP-AR02134"</f>
        <v>OP-AR02134</v>
      </c>
      <c r="K1243" s="1" t="str">
        <f>"RMY-01 POWER SYSTEM"</f>
        <v>RMY-01 POWER SYSTEM</v>
      </c>
      <c r="L1243">
        <v>4</v>
      </c>
      <c r="M1243" t="str">
        <f>"PR21000284"</f>
        <v>PR21000284</v>
      </c>
      <c r="N1243" t="str">
        <f>"RMY-01 POWER SYSTEM"</f>
        <v>RMY-01 POWER SYSTEM</v>
      </c>
      <c r="O1243" s="2">
        <v>17713.57</v>
      </c>
      <c r="P1243" t="str">
        <f>"$"</f>
        <v>$</v>
      </c>
      <c r="Q1243" t="str">
        <f>"118"</f>
        <v>118</v>
      </c>
      <c r="R1243" t="str">
        <f>"מערכות"</f>
        <v>מערכות</v>
      </c>
      <c r="S1243" t="str">
        <f>"034"</f>
        <v>034</v>
      </c>
      <c r="T1243" t="str">
        <f>"עמר ליגל"</f>
        <v>עמר ליגל</v>
      </c>
      <c r="U1243">
        <v>0</v>
      </c>
      <c r="V1243">
        <v>0</v>
      </c>
      <c r="W1243" s="2">
        <v>17713.57</v>
      </c>
      <c r="X1243" s="2">
        <v>70854.28</v>
      </c>
      <c r="Z1243" t="str">
        <f>"Y"</f>
        <v>Y</v>
      </c>
      <c r="AA1243">
        <v>3</v>
      </c>
      <c r="AC1243">
        <v>0</v>
      </c>
      <c r="AE1243">
        <v>0</v>
      </c>
      <c r="AF1243">
        <v>0</v>
      </c>
      <c r="AG1243" s="2">
        <v>57622.239999999998</v>
      </c>
      <c r="AH1243">
        <v>0</v>
      </c>
      <c r="AI1243" s="2">
        <v>230488.97</v>
      </c>
      <c r="AJ1243" s="2">
        <v>70854.28</v>
      </c>
      <c r="AK1243" s="2">
        <v>70854.28</v>
      </c>
      <c r="AL1243" t="str">
        <f>"$"</f>
        <v>$</v>
      </c>
    </row>
    <row r="1244" spans="1:38" x14ac:dyDescent="0.3">
      <c r="A1244" t="str">
        <f>"SO21000249"</f>
        <v>SO21000249</v>
      </c>
      <c r="B1244" t="str">
        <f>"E000337701"</f>
        <v>E000337701</v>
      </c>
      <c r="C1244" t="str">
        <f>"בוצעה"</f>
        <v>בוצעה</v>
      </c>
      <c r="E1244" s="3">
        <v>44346</v>
      </c>
      <c r="F1244" s="3">
        <v>44620</v>
      </c>
      <c r="G1244" t="str">
        <f>"700065"</f>
        <v>700065</v>
      </c>
      <c r="H1244" t="str">
        <f>"אלתא מערכות בע""מ"</f>
        <v>אלתא מערכות בע"מ</v>
      </c>
      <c r="I1244" t="str">
        <f>"ערן שלו"</f>
        <v>ערן שלו</v>
      </c>
      <c r="J1244" t="str">
        <f>"000"</f>
        <v>000</v>
      </c>
      <c r="K1244" s="1" t="str">
        <f>"בדיקות ספק כוח"</f>
        <v>בדיקות ספק כוח</v>
      </c>
      <c r="L1244">
        <v>1</v>
      </c>
      <c r="M1244" t="str">
        <f>"PR21000284"</f>
        <v>PR21000284</v>
      </c>
      <c r="N1244" t="str">
        <f>"RMY-01 POWER SYSTEM"</f>
        <v>RMY-01 POWER SYSTEM</v>
      </c>
      <c r="O1244" s="2">
        <v>27000</v>
      </c>
      <c r="P1244" t="str">
        <f>"$"</f>
        <v>$</v>
      </c>
      <c r="Q1244" t="str">
        <f>"118"</f>
        <v>118</v>
      </c>
      <c r="R1244" t="str">
        <f>"מערכות"</f>
        <v>מערכות</v>
      </c>
      <c r="S1244" t="str">
        <f>"034"</f>
        <v>034</v>
      </c>
      <c r="T1244" t="str">
        <f>"עמר ליגל"</f>
        <v>עמר ליגל</v>
      </c>
      <c r="U1244">
        <v>0</v>
      </c>
      <c r="V1244">
        <v>0</v>
      </c>
      <c r="W1244" s="2">
        <v>27000</v>
      </c>
      <c r="X1244" s="2">
        <v>27000</v>
      </c>
      <c r="Z1244" t="str">
        <f>"Y"</f>
        <v>Y</v>
      </c>
      <c r="AA1244">
        <v>1</v>
      </c>
      <c r="AC1244">
        <v>0</v>
      </c>
      <c r="AE1244">
        <v>0</v>
      </c>
      <c r="AF1244">
        <v>0</v>
      </c>
      <c r="AG1244" s="2">
        <v>87831</v>
      </c>
      <c r="AH1244">
        <v>0</v>
      </c>
      <c r="AI1244" s="2">
        <v>87831</v>
      </c>
      <c r="AJ1244" s="2">
        <v>27000</v>
      </c>
      <c r="AK1244" s="2">
        <v>27000</v>
      </c>
      <c r="AL1244" t="str">
        <f>"$"</f>
        <v>$</v>
      </c>
    </row>
    <row r="1245" spans="1:38" x14ac:dyDescent="0.3">
      <c r="A1245" t="str">
        <f>"SO21000249"</f>
        <v>SO21000249</v>
      </c>
      <c r="B1245" t="str">
        <f>"E000337701"</f>
        <v>E000337701</v>
      </c>
      <c r="C1245" t="str">
        <f>"בוצעה"</f>
        <v>בוצעה</v>
      </c>
      <c r="E1245" s="3">
        <v>44346</v>
      </c>
      <c r="F1245" s="3">
        <v>44560</v>
      </c>
      <c r="G1245" t="str">
        <f>"700065"</f>
        <v>700065</v>
      </c>
      <c r="H1245" t="str">
        <f>"אלתא מערכות בע""מ"</f>
        <v>אלתא מערכות בע"מ</v>
      </c>
      <c r="I1245" t="str">
        <f>"ערן שלו"</f>
        <v>ערן שלו</v>
      </c>
      <c r="J1245" t="str">
        <f>"OP-AR02134"</f>
        <v>OP-AR02134</v>
      </c>
      <c r="K1245" s="1" t="str">
        <f>"RMY-01 POWER SYSTEM"</f>
        <v>RMY-01 POWER SYSTEM</v>
      </c>
      <c r="L1245">
        <v>3</v>
      </c>
      <c r="M1245" t="str">
        <f>"PR21000284"</f>
        <v>PR21000284</v>
      </c>
      <c r="N1245" t="str">
        <f>"RMY-01 POWER SYSTEM"</f>
        <v>RMY-01 POWER SYSTEM</v>
      </c>
      <c r="O1245" s="2">
        <v>17713.57</v>
      </c>
      <c r="P1245" t="str">
        <f>"$"</f>
        <v>$</v>
      </c>
      <c r="Q1245" t="str">
        <f>"118"</f>
        <v>118</v>
      </c>
      <c r="R1245" t="str">
        <f>"מערכות"</f>
        <v>מערכות</v>
      </c>
      <c r="S1245" t="str">
        <f>"034"</f>
        <v>034</v>
      </c>
      <c r="T1245" t="str">
        <f>"עמר ליגל"</f>
        <v>עמר ליגל</v>
      </c>
      <c r="U1245">
        <v>0</v>
      </c>
      <c r="V1245">
        <v>0</v>
      </c>
      <c r="W1245" s="2">
        <v>17713.57</v>
      </c>
      <c r="X1245" s="2">
        <v>53140.71</v>
      </c>
      <c r="Z1245" t="str">
        <f>"Y"</f>
        <v>Y</v>
      </c>
      <c r="AA1245">
        <v>0</v>
      </c>
      <c r="AC1245">
        <v>0</v>
      </c>
      <c r="AE1245">
        <v>0</v>
      </c>
      <c r="AF1245">
        <v>0</v>
      </c>
      <c r="AG1245" s="2">
        <v>57622.239999999998</v>
      </c>
      <c r="AH1245">
        <v>0</v>
      </c>
      <c r="AI1245" s="2">
        <v>172866.73</v>
      </c>
      <c r="AJ1245" s="2">
        <v>53140.71</v>
      </c>
      <c r="AK1245" s="2">
        <v>53140.71</v>
      </c>
      <c r="AL1245" t="str">
        <f>"$"</f>
        <v>$</v>
      </c>
    </row>
    <row r="1246" spans="1:38" x14ac:dyDescent="0.3">
      <c r="A1246" t="str">
        <f>"SO21000249"</f>
        <v>SO21000249</v>
      </c>
      <c r="B1246" t="str">
        <f>"E000337701"</f>
        <v>E000337701</v>
      </c>
      <c r="C1246" t="str">
        <f>"בוצעה"</f>
        <v>בוצעה</v>
      </c>
      <c r="E1246" s="3">
        <v>44346</v>
      </c>
      <c r="F1246" s="3">
        <v>44620</v>
      </c>
      <c r="G1246" t="str">
        <f>"700065"</f>
        <v>700065</v>
      </c>
      <c r="H1246" t="str">
        <f>"אלתא מערכות בע""מ"</f>
        <v>אלתא מערכות בע"מ</v>
      </c>
      <c r="I1246" t="str">
        <f>"ערן שלו"</f>
        <v>ערן שלו</v>
      </c>
      <c r="J1246" t="str">
        <f>"OP-AR02134"</f>
        <v>OP-AR02134</v>
      </c>
      <c r="K1246" s="1" t="str">
        <f>"RMY-01 POWER SYSTEM"</f>
        <v>RMY-01 POWER SYSTEM</v>
      </c>
      <c r="L1246">
        <v>1</v>
      </c>
      <c r="M1246" t="str">
        <f>"PR21000284"</f>
        <v>PR21000284</v>
      </c>
      <c r="N1246" t="str">
        <f>"RMY-01 POWER SYSTEM"</f>
        <v>RMY-01 POWER SYSTEM</v>
      </c>
      <c r="O1246" s="2">
        <v>17713.57</v>
      </c>
      <c r="P1246" t="str">
        <f>"$"</f>
        <v>$</v>
      </c>
      <c r="Q1246" t="str">
        <f>"118"</f>
        <v>118</v>
      </c>
      <c r="R1246" t="str">
        <f>"מערכות"</f>
        <v>מערכות</v>
      </c>
      <c r="S1246" t="str">
        <f>"034"</f>
        <v>034</v>
      </c>
      <c r="T1246" t="str">
        <f>"עמר ליגל"</f>
        <v>עמר ליגל</v>
      </c>
      <c r="U1246">
        <v>0</v>
      </c>
      <c r="V1246">
        <v>0</v>
      </c>
      <c r="W1246" s="2">
        <v>17713.57</v>
      </c>
      <c r="X1246" s="2">
        <v>17713.57</v>
      </c>
      <c r="Z1246" t="str">
        <f>"Y"</f>
        <v>Y</v>
      </c>
      <c r="AA1246">
        <v>0</v>
      </c>
      <c r="AC1246">
        <v>0</v>
      </c>
      <c r="AE1246">
        <v>0</v>
      </c>
      <c r="AF1246">
        <v>0</v>
      </c>
      <c r="AG1246" s="2">
        <v>57622.239999999998</v>
      </c>
      <c r="AH1246">
        <v>0</v>
      </c>
      <c r="AI1246" s="2">
        <v>57622.239999999998</v>
      </c>
      <c r="AJ1246" s="2">
        <v>17713.57</v>
      </c>
      <c r="AK1246" s="2">
        <v>17713.57</v>
      </c>
      <c r="AL1246" t="str">
        <f>"$"</f>
        <v>$</v>
      </c>
    </row>
    <row r="1247" spans="1:38" x14ac:dyDescent="0.3">
      <c r="A1247" t="str">
        <f>"SO21000263"</f>
        <v>SO21000263</v>
      </c>
      <c r="B1247" t="str">
        <f>".תימינפ"</f>
        <v>.תימינפ</v>
      </c>
      <c r="C1247" t="str">
        <f>"בוצעה"</f>
        <v>בוצעה</v>
      </c>
      <c r="E1247" s="3">
        <v>44353</v>
      </c>
      <c r="F1247" s="3">
        <v>44353</v>
      </c>
      <c r="G1247" t="str">
        <f>"700065"</f>
        <v>700065</v>
      </c>
      <c r="H1247" t="str">
        <f>"אלתא מערכות בע""מ"</f>
        <v>אלתא מערכות בע"מ</v>
      </c>
      <c r="I1247" t="str">
        <f>"ערן שלו"</f>
        <v>ערן שלו</v>
      </c>
      <c r="J1247" t="str">
        <f>"PA1001918"</f>
        <v>PA1001918</v>
      </c>
      <c r="K1247" s="1" t="str">
        <f>"Industrial RS232/RS485 to Ethernet Converter 15729"</f>
        <v>Industrial RS232/RS485 to Ethernet Converter 15729</v>
      </c>
      <c r="L1247">
        <v>1</v>
      </c>
      <c r="M1247" t="str">
        <f>"PR20000358"</f>
        <v>PR20000358</v>
      </c>
      <c r="N1247" t="str">
        <f>"הזמנת קרונות RPU לצ'כיה"</f>
        <v>הזמנת קרונות RPU לצ'כיה</v>
      </c>
      <c r="O1247">
        <v>0</v>
      </c>
      <c r="P1247" t="str">
        <f>"$"</f>
        <v>$</v>
      </c>
      <c r="Q1247" t="str">
        <f>"118"</f>
        <v>118</v>
      </c>
      <c r="R1247" t="str">
        <f>"מערכות"</f>
        <v>מערכות</v>
      </c>
      <c r="S1247" t="str">
        <f>"034"</f>
        <v>034</v>
      </c>
      <c r="T1247" t="str">
        <f>"צבאן אור"</f>
        <v>צבאן אור</v>
      </c>
      <c r="U1247">
        <v>0</v>
      </c>
      <c r="V1247">
        <v>0</v>
      </c>
      <c r="W1247">
        <v>0</v>
      </c>
      <c r="X1247">
        <v>0</v>
      </c>
      <c r="Z1247" t="str">
        <f>"Y"</f>
        <v>Y</v>
      </c>
      <c r="AA1247">
        <v>0</v>
      </c>
      <c r="AC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 t="str">
        <f>"$"</f>
        <v>$</v>
      </c>
    </row>
    <row r="1248" spans="1:38" x14ac:dyDescent="0.3">
      <c r="A1248" t="str">
        <f>"SO21000266"</f>
        <v>SO21000266</v>
      </c>
      <c r="B1248" t="str">
        <f>"פנימית"</f>
        <v>פנימית</v>
      </c>
      <c r="C1248" t="str">
        <f>"בוצעה"</f>
        <v>בוצעה</v>
      </c>
      <c r="E1248" s="3">
        <v>44354</v>
      </c>
      <c r="F1248" s="3">
        <v>44354</v>
      </c>
      <c r="G1248" t="str">
        <f>"700065"</f>
        <v>700065</v>
      </c>
      <c r="H1248" t="str">
        <f>"אלתא מערכות בע""מ"</f>
        <v>אלתא מערכות בע"מ</v>
      </c>
      <c r="I1248" t="str">
        <f>"ערן שלו"</f>
        <v>ערן שלו</v>
      </c>
      <c r="J1248" t="str">
        <f>"OP-AR02044"</f>
        <v>OP-AR02044</v>
      </c>
      <c r="K1248" s="1" t="str">
        <f>"בקר למערכת RPU"</f>
        <v>בקר למערכת RPU</v>
      </c>
      <c r="L1248">
        <v>1</v>
      </c>
      <c r="M1248" t="str">
        <f>"PR20000358"</f>
        <v>PR20000358</v>
      </c>
      <c r="N1248" t="str">
        <f>"הזמנת קרונות RPU לצ'כיה"</f>
        <v>הזמנת קרונות RPU לצ'כיה</v>
      </c>
      <c r="O1248">
        <v>0</v>
      </c>
      <c r="P1248" t="str">
        <f>"$"</f>
        <v>$</v>
      </c>
      <c r="Q1248" t="str">
        <f>"070"</f>
        <v>070</v>
      </c>
      <c r="R1248" t="str">
        <f>"הזמנה פנימית"</f>
        <v>הזמנה פנימית</v>
      </c>
      <c r="S1248" t="str">
        <f>"034"</f>
        <v>034</v>
      </c>
      <c r="T1248" t="str">
        <f>"גנם הודיה"</f>
        <v>גנם הודיה</v>
      </c>
      <c r="U1248">
        <v>0</v>
      </c>
      <c r="V1248">
        <v>0</v>
      </c>
      <c r="W1248">
        <v>0</v>
      </c>
      <c r="X1248">
        <v>0</v>
      </c>
      <c r="Z1248" t="str">
        <f>"Y"</f>
        <v>Y</v>
      </c>
      <c r="AA1248">
        <v>0</v>
      </c>
      <c r="AC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 t="str">
        <f>"$"</f>
        <v>$</v>
      </c>
    </row>
    <row r="1249" spans="1:38" x14ac:dyDescent="0.3">
      <c r="A1249" t="str">
        <f>"SO21000268"</f>
        <v>SO21000268</v>
      </c>
      <c r="B1249" t="str">
        <f>"E000336279"</f>
        <v>E000336279</v>
      </c>
      <c r="C1249" t="str">
        <f>"בוצעה"</f>
        <v>בוצעה</v>
      </c>
      <c r="E1249" s="3">
        <v>44355</v>
      </c>
      <c r="F1249" s="3">
        <v>44447</v>
      </c>
      <c r="G1249" t="str">
        <f>"700065"</f>
        <v>700065</v>
      </c>
      <c r="H1249" t="str">
        <f>"אלתא מערכות בע""מ"</f>
        <v>אלתא מערכות בע"מ</v>
      </c>
      <c r="I1249" t="str">
        <f>"רחמים זרוק"</f>
        <v>רחמים זרוק</v>
      </c>
      <c r="J1249" t="str">
        <f>"OP-AR02564"</f>
        <v>OP-AR02564</v>
      </c>
      <c r="K1249" s="1" t="str">
        <f>"2012A396-001   CABLE ASSY POWER SUPPLY"</f>
        <v>2012A396-001   CABLE ASSY POWER SUPPLY</v>
      </c>
      <c r="L1249">
        <v>2</v>
      </c>
      <c r="M1249" t="str">
        <f>"PR21000332"</f>
        <v>PR21000332</v>
      </c>
      <c r="N1249" t="str">
        <f>"CABLE ASSY POWER SUPPLY"</f>
        <v>CABLE ASSY POWER SUPPLY</v>
      </c>
      <c r="O1249">
        <v>345.14</v>
      </c>
      <c r="P1249" t="str">
        <f>"$"</f>
        <v>$</v>
      </c>
      <c r="Q1249" t="str">
        <f>"117"</f>
        <v>117</v>
      </c>
      <c r="R1249" t="str">
        <f>"רתמות"</f>
        <v>רתמות</v>
      </c>
      <c r="S1249" t="str">
        <f>"040"</f>
        <v>040</v>
      </c>
      <c r="T1249" t="str">
        <f>"עמר ליגל"</f>
        <v>עמר ליגל</v>
      </c>
      <c r="U1249">
        <v>0</v>
      </c>
      <c r="V1249">
        <v>0</v>
      </c>
      <c r="W1249">
        <v>345.14</v>
      </c>
      <c r="X1249">
        <v>690.28</v>
      </c>
      <c r="Z1249" t="str">
        <f>"Y"</f>
        <v>Y</v>
      </c>
      <c r="AA1249">
        <v>0</v>
      </c>
      <c r="AC1249">
        <v>0</v>
      </c>
      <c r="AE1249">
        <v>0</v>
      </c>
      <c r="AF1249">
        <v>0</v>
      </c>
      <c r="AG1249" s="2">
        <v>1119.29</v>
      </c>
      <c r="AH1249">
        <v>0</v>
      </c>
      <c r="AI1249" s="2">
        <v>2238.58</v>
      </c>
      <c r="AJ1249">
        <v>690.28</v>
      </c>
      <c r="AK1249">
        <v>690.28</v>
      </c>
      <c r="AL1249" t="str">
        <f>"$"</f>
        <v>$</v>
      </c>
    </row>
    <row r="1250" spans="1:38" x14ac:dyDescent="0.3">
      <c r="A1250" t="str">
        <f>"SO21000268"</f>
        <v>SO21000268</v>
      </c>
      <c r="B1250" t="str">
        <f>"E000336279"</f>
        <v>E000336279</v>
      </c>
      <c r="C1250" t="str">
        <f>"בוצעה"</f>
        <v>בוצעה</v>
      </c>
      <c r="E1250" s="3">
        <v>44355</v>
      </c>
      <c r="F1250" s="3">
        <v>44447</v>
      </c>
      <c r="G1250" t="str">
        <f>"700065"</f>
        <v>700065</v>
      </c>
      <c r="H1250" t="str">
        <f>"אלתא מערכות בע""מ"</f>
        <v>אלתא מערכות בע"מ</v>
      </c>
      <c r="I1250" t="str">
        <f>"רחמים זרוק"</f>
        <v>רחמים זרוק</v>
      </c>
      <c r="J1250" t="str">
        <f>"OP-AR02564"</f>
        <v>OP-AR02564</v>
      </c>
      <c r="K1250" s="1" t="str">
        <f>"2012A396-001   CABLE ASSY POWER SUPPLY"</f>
        <v>2012A396-001   CABLE ASSY POWER SUPPLY</v>
      </c>
      <c r="L1250">
        <v>2</v>
      </c>
      <c r="M1250" t="str">
        <f>"PR21000332"</f>
        <v>PR21000332</v>
      </c>
      <c r="N1250" t="str">
        <f>"CABLE ASSY POWER SUPPLY"</f>
        <v>CABLE ASSY POWER SUPPLY</v>
      </c>
      <c r="O1250">
        <v>345.14</v>
      </c>
      <c r="P1250" t="str">
        <f>"$"</f>
        <v>$</v>
      </c>
      <c r="Q1250" t="str">
        <f>"117"</f>
        <v>117</v>
      </c>
      <c r="R1250" t="str">
        <f>"רתמות"</f>
        <v>רתמות</v>
      </c>
      <c r="S1250" t="str">
        <f>"040"</f>
        <v>040</v>
      </c>
      <c r="T1250" t="str">
        <f>"עמר ליגל"</f>
        <v>עמר ליגל</v>
      </c>
      <c r="U1250">
        <v>0</v>
      </c>
      <c r="V1250">
        <v>0</v>
      </c>
      <c r="W1250">
        <v>345.14</v>
      </c>
      <c r="X1250">
        <v>690.28</v>
      </c>
      <c r="Z1250" t="str">
        <f>"Y"</f>
        <v>Y</v>
      </c>
      <c r="AA1250">
        <v>0</v>
      </c>
      <c r="AC1250">
        <v>0</v>
      </c>
      <c r="AE1250">
        <v>0</v>
      </c>
      <c r="AF1250">
        <v>0</v>
      </c>
      <c r="AG1250" s="2">
        <v>1119.29</v>
      </c>
      <c r="AH1250">
        <v>0</v>
      </c>
      <c r="AI1250" s="2">
        <v>2238.58</v>
      </c>
      <c r="AJ1250">
        <v>690.28</v>
      </c>
      <c r="AK1250">
        <v>690.28</v>
      </c>
      <c r="AL1250" t="str">
        <f>"$"</f>
        <v>$</v>
      </c>
    </row>
    <row r="1251" spans="1:38" x14ac:dyDescent="0.3">
      <c r="A1251" t="str">
        <f>"SO21000268"</f>
        <v>SO21000268</v>
      </c>
      <c r="B1251" t="str">
        <f>"E000336279"</f>
        <v>E000336279</v>
      </c>
      <c r="C1251" t="str">
        <f>"בוצעה"</f>
        <v>בוצעה</v>
      </c>
      <c r="E1251" s="3">
        <v>44355</v>
      </c>
      <c r="F1251" s="3">
        <v>44447</v>
      </c>
      <c r="G1251" t="str">
        <f>"700065"</f>
        <v>700065</v>
      </c>
      <c r="H1251" t="str">
        <f>"אלתא מערכות בע""מ"</f>
        <v>אלתא מערכות בע"מ</v>
      </c>
      <c r="I1251" t="str">
        <f>"רחמים זרוק"</f>
        <v>רחמים זרוק</v>
      </c>
      <c r="J1251" t="str">
        <f>"OP-AR02564"</f>
        <v>OP-AR02564</v>
      </c>
      <c r="K1251" s="1" t="str">
        <f>"2012A396-001   CABLE ASSY POWER SUPPLY"</f>
        <v>2012A396-001   CABLE ASSY POWER SUPPLY</v>
      </c>
      <c r="L1251">
        <v>2</v>
      </c>
      <c r="M1251" t="str">
        <f>"PR21000332"</f>
        <v>PR21000332</v>
      </c>
      <c r="N1251" t="str">
        <f>"CABLE ASSY POWER SUPPLY"</f>
        <v>CABLE ASSY POWER SUPPLY</v>
      </c>
      <c r="O1251">
        <v>345.14</v>
      </c>
      <c r="P1251" t="str">
        <f>"$"</f>
        <v>$</v>
      </c>
      <c r="Q1251" t="str">
        <f>"117"</f>
        <v>117</v>
      </c>
      <c r="R1251" t="str">
        <f>"רתמות"</f>
        <v>רתמות</v>
      </c>
      <c r="S1251" t="str">
        <f>"040"</f>
        <v>040</v>
      </c>
      <c r="T1251" t="str">
        <f>"עמר ליגל"</f>
        <v>עמר ליגל</v>
      </c>
      <c r="U1251">
        <v>0</v>
      </c>
      <c r="V1251">
        <v>0</v>
      </c>
      <c r="W1251">
        <v>345.14</v>
      </c>
      <c r="X1251">
        <v>690.28</v>
      </c>
      <c r="Z1251" t="str">
        <f>"Y"</f>
        <v>Y</v>
      </c>
      <c r="AA1251">
        <v>0</v>
      </c>
      <c r="AC1251">
        <v>0</v>
      </c>
      <c r="AE1251">
        <v>0</v>
      </c>
      <c r="AF1251">
        <v>0</v>
      </c>
      <c r="AG1251" s="2">
        <v>1119.29</v>
      </c>
      <c r="AH1251">
        <v>0</v>
      </c>
      <c r="AI1251" s="2">
        <v>2238.58</v>
      </c>
      <c r="AJ1251">
        <v>690.28</v>
      </c>
      <c r="AK1251">
        <v>690.28</v>
      </c>
      <c r="AL1251" t="str">
        <f>"$"</f>
        <v>$</v>
      </c>
    </row>
    <row r="1252" spans="1:38" x14ac:dyDescent="0.3">
      <c r="A1252" t="str">
        <f>"SO21000268"</f>
        <v>SO21000268</v>
      </c>
      <c r="B1252" t="str">
        <f>"E000336279"</f>
        <v>E000336279</v>
      </c>
      <c r="C1252" t="str">
        <f>"בוצעה"</f>
        <v>בוצעה</v>
      </c>
      <c r="E1252" s="3">
        <v>44355</v>
      </c>
      <c r="F1252" s="3">
        <v>44447</v>
      </c>
      <c r="G1252" t="str">
        <f>"700065"</f>
        <v>700065</v>
      </c>
      <c r="H1252" t="str">
        <f>"אלתא מערכות בע""מ"</f>
        <v>אלתא מערכות בע"מ</v>
      </c>
      <c r="I1252" t="str">
        <f>"רחמים זרוק"</f>
        <v>רחמים זרוק</v>
      </c>
      <c r="J1252" t="str">
        <f>"OP-AR02565"</f>
        <v>OP-AR02565</v>
      </c>
      <c r="K1252" s="1" t="str">
        <f>"2012A759-001   PS MB CABLE"</f>
        <v>2012A759-001   PS MB CABLE</v>
      </c>
      <c r="L1252">
        <v>5</v>
      </c>
      <c r="M1252" t="str">
        <f>"PR21000332"</f>
        <v>PR21000332</v>
      </c>
      <c r="N1252" t="str">
        <f>"CABLE ASSY POWER SUPPLY"</f>
        <v>CABLE ASSY POWER SUPPLY</v>
      </c>
      <c r="O1252">
        <v>467.14</v>
      </c>
      <c r="P1252" t="str">
        <f>"$"</f>
        <v>$</v>
      </c>
      <c r="Q1252" t="str">
        <f>"117"</f>
        <v>117</v>
      </c>
      <c r="R1252" t="str">
        <f>"רתמות"</f>
        <v>רתמות</v>
      </c>
      <c r="S1252" t="str">
        <f>"040"</f>
        <v>040</v>
      </c>
      <c r="T1252" t="str">
        <f>"עמר ליגל"</f>
        <v>עמר ליגל</v>
      </c>
      <c r="U1252">
        <v>0</v>
      </c>
      <c r="V1252">
        <v>0</v>
      </c>
      <c r="W1252">
        <v>467.14</v>
      </c>
      <c r="X1252" s="2">
        <v>2335.6999999999998</v>
      </c>
      <c r="Z1252" t="str">
        <f>"Y"</f>
        <v>Y</v>
      </c>
      <c r="AA1252">
        <v>0</v>
      </c>
      <c r="AC1252">
        <v>0</v>
      </c>
      <c r="AE1252">
        <v>0</v>
      </c>
      <c r="AF1252">
        <v>0</v>
      </c>
      <c r="AG1252" s="2">
        <v>1514.94</v>
      </c>
      <c r="AH1252">
        <v>0</v>
      </c>
      <c r="AI1252" s="2">
        <v>7574.68</v>
      </c>
      <c r="AJ1252" s="2">
        <v>2335.6999999999998</v>
      </c>
      <c r="AK1252" s="2">
        <v>2335.6999999999998</v>
      </c>
      <c r="AL1252" t="str">
        <f>"$"</f>
        <v>$</v>
      </c>
    </row>
    <row r="1253" spans="1:38" x14ac:dyDescent="0.3">
      <c r="A1253" t="str">
        <f>"SO21000268"</f>
        <v>SO21000268</v>
      </c>
      <c r="B1253" t="str">
        <f>"E000336279"</f>
        <v>E000336279</v>
      </c>
      <c r="C1253" t="str">
        <f>"בוצעה"</f>
        <v>בוצעה</v>
      </c>
      <c r="E1253" s="3">
        <v>44355</v>
      </c>
      <c r="F1253" s="3">
        <v>44447</v>
      </c>
      <c r="G1253" t="str">
        <f>"700065"</f>
        <v>700065</v>
      </c>
      <c r="H1253" t="str">
        <f>"אלתא מערכות בע""מ"</f>
        <v>אלתא מערכות בע"מ</v>
      </c>
      <c r="I1253" t="str">
        <f>"רחמים זרוק"</f>
        <v>רחמים זרוק</v>
      </c>
      <c r="J1253" t="str">
        <f>"OP-AR02565"</f>
        <v>OP-AR02565</v>
      </c>
      <c r="K1253" s="1" t="str">
        <f>"2012A759-001   PS MB CABLE"</f>
        <v>2012A759-001   PS MB CABLE</v>
      </c>
      <c r="L1253">
        <v>14</v>
      </c>
      <c r="M1253" t="str">
        <f>"PR21000332"</f>
        <v>PR21000332</v>
      </c>
      <c r="N1253" t="str">
        <f>"CABLE ASSY POWER SUPPLY"</f>
        <v>CABLE ASSY POWER SUPPLY</v>
      </c>
      <c r="O1253">
        <v>467.14</v>
      </c>
      <c r="P1253" t="str">
        <f>"$"</f>
        <v>$</v>
      </c>
      <c r="Q1253" t="str">
        <f>"117"</f>
        <v>117</v>
      </c>
      <c r="R1253" t="str">
        <f>"רתמות"</f>
        <v>רתמות</v>
      </c>
      <c r="S1253" t="str">
        <f>"040"</f>
        <v>040</v>
      </c>
      <c r="T1253" t="str">
        <f>"עמר ליגל"</f>
        <v>עמר ליגל</v>
      </c>
      <c r="U1253">
        <v>0</v>
      </c>
      <c r="V1253">
        <v>0</v>
      </c>
      <c r="W1253">
        <v>467.14</v>
      </c>
      <c r="X1253" s="2">
        <v>6539.96</v>
      </c>
      <c r="Z1253" t="str">
        <f>"Y"</f>
        <v>Y</v>
      </c>
      <c r="AA1253">
        <v>0</v>
      </c>
      <c r="AC1253">
        <v>0</v>
      </c>
      <c r="AE1253">
        <v>0</v>
      </c>
      <c r="AF1253">
        <v>0</v>
      </c>
      <c r="AG1253" s="2">
        <v>1514.94</v>
      </c>
      <c r="AH1253">
        <v>0</v>
      </c>
      <c r="AI1253" s="2">
        <v>21209.09</v>
      </c>
      <c r="AJ1253" s="2">
        <v>6539.96</v>
      </c>
      <c r="AK1253" s="2">
        <v>6539.96</v>
      </c>
      <c r="AL1253" t="str">
        <f>"$"</f>
        <v>$</v>
      </c>
    </row>
    <row r="1254" spans="1:38" x14ac:dyDescent="0.3">
      <c r="A1254" t="str">
        <f>"SO21000268"</f>
        <v>SO21000268</v>
      </c>
      <c r="B1254" t="str">
        <f>"E000336279"</f>
        <v>E000336279</v>
      </c>
      <c r="C1254" t="str">
        <f>"בוצעה"</f>
        <v>בוצעה</v>
      </c>
      <c r="E1254" s="3">
        <v>44355</v>
      </c>
      <c r="F1254" s="3">
        <v>44447</v>
      </c>
      <c r="G1254" t="str">
        <f>"700065"</f>
        <v>700065</v>
      </c>
      <c r="H1254" t="str">
        <f>"אלתא מערכות בע""מ"</f>
        <v>אלתא מערכות בע"מ</v>
      </c>
      <c r="I1254" t="str">
        <f>"רחמים זרוק"</f>
        <v>רחמים זרוק</v>
      </c>
      <c r="J1254" t="str">
        <f>"OP-AR02565"</f>
        <v>OP-AR02565</v>
      </c>
      <c r="K1254" s="1" t="str">
        <f>"2012A759-001   PS MB CABLE"</f>
        <v>2012A759-001   PS MB CABLE</v>
      </c>
      <c r="L1254">
        <v>12</v>
      </c>
      <c r="M1254" t="str">
        <f>"PR21000332"</f>
        <v>PR21000332</v>
      </c>
      <c r="N1254" t="str">
        <f>"CABLE ASSY POWER SUPPLY"</f>
        <v>CABLE ASSY POWER SUPPLY</v>
      </c>
      <c r="O1254">
        <v>467.14</v>
      </c>
      <c r="P1254" t="str">
        <f>"$"</f>
        <v>$</v>
      </c>
      <c r="Q1254" t="str">
        <f>"117"</f>
        <v>117</v>
      </c>
      <c r="R1254" t="str">
        <f>"רתמות"</f>
        <v>רתמות</v>
      </c>
      <c r="S1254" t="str">
        <f>"040"</f>
        <v>040</v>
      </c>
      <c r="T1254" t="str">
        <f>"עמר ליגל"</f>
        <v>עמר ליגל</v>
      </c>
      <c r="U1254">
        <v>0</v>
      </c>
      <c r="V1254">
        <v>0</v>
      </c>
      <c r="W1254">
        <v>467.14</v>
      </c>
      <c r="X1254" s="2">
        <v>5605.68</v>
      </c>
      <c r="Z1254" t="str">
        <f>"Y"</f>
        <v>Y</v>
      </c>
      <c r="AA1254">
        <v>0</v>
      </c>
      <c r="AC1254">
        <v>0</v>
      </c>
      <c r="AE1254">
        <v>0</v>
      </c>
      <c r="AF1254">
        <v>0</v>
      </c>
      <c r="AG1254" s="2">
        <v>1514.94</v>
      </c>
      <c r="AH1254">
        <v>0</v>
      </c>
      <c r="AI1254" s="2">
        <v>18179.22</v>
      </c>
      <c r="AJ1254" s="2">
        <v>5605.68</v>
      </c>
      <c r="AK1254" s="2">
        <v>5605.68</v>
      </c>
      <c r="AL1254" t="str">
        <f>"$"</f>
        <v>$</v>
      </c>
    </row>
    <row r="1255" spans="1:38" x14ac:dyDescent="0.3">
      <c r="A1255" t="str">
        <f>"SO21000276"</f>
        <v>SO21000276</v>
      </c>
      <c r="B1255" t="str">
        <f>"E000339511"</f>
        <v>E000339511</v>
      </c>
      <c r="C1255" t="str">
        <f>"בוצעה"</f>
        <v>בוצעה</v>
      </c>
      <c r="E1255" s="3">
        <v>44360</v>
      </c>
      <c r="F1255" s="3">
        <v>44392</v>
      </c>
      <c r="G1255" t="str">
        <f>"700065"</f>
        <v>700065</v>
      </c>
      <c r="H1255" t="str">
        <f>"אלתא מערכות בע""מ"</f>
        <v>אלתא מערכות בע"מ</v>
      </c>
      <c r="I1255" t="str">
        <f>"ערן שלו"</f>
        <v>ערן שלו</v>
      </c>
      <c r="J1255" t="str">
        <f>"cust00767"</f>
        <v>cust00767</v>
      </c>
      <c r="K1255" s="1" t="str">
        <f>"PDU 380V/50HZ/3 PH AC POWER BOX אלתא"</f>
        <v>PDU 380V/50HZ/3 PH AC POWER BOX אלתא</v>
      </c>
      <c r="L1255">
        <v>1</v>
      </c>
      <c r="M1255" t="str">
        <f>"PR21000401"</f>
        <v>PR21000401</v>
      </c>
      <c r="N1255" t="str">
        <f>"תיקון מגירה OP-AR00454"</f>
        <v>תיקון מגירה OP-AR00454</v>
      </c>
      <c r="O1255">
        <v>255</v>
      </c>
      <c r="P1255" t="str">
        <f>"$"</f>
        <v>$</v>
      </c>
      <c r="Q1255" t="str">
        <f>"118"</f>
        <v>118</v>
      </c>
      <c r="R1255" t="str">
        <f>"מערכות"</f>
        <v>מערכות</v>
      </c>
      <c r="S1255" t="str">
        <f>"034"</f>
        <v>034</v>
      </c>
      <c r="T1255" t="str">
        <f>"עמר ליגל"</f>
        <v>עמר ליגל</v>
      </c>
      <c r="U1255">
        <v>0</v>
      </c>
      <c r="V1255">
        <v>0</v>
      </c>
      <c r="W1255">
        <v>255</v>
      </c>
      <c r="X1255">
        <v>255</v>
      </c>
      <c r="Z1255" t="str">
        <f>"Y"</f>
        <v>Y</v>
      </c>
      <c r="AA1255">
        <v>0</v>
      </c>
      <c r="AC1255">
        <v>0</v>
      </c>
      <c r="AE1255">
        <v>0</v>
      </c>
      <c r="AF1255">
        <v>0</v>
      </c>
      <c r="AG1255">
        <v>826.71</v>
      </c>
      <c r="AH1255">
        <v>0</v>
      </c>
      <c r="AI1255">
        <v>826.71</v>
      </c>
      <c r="AJ1255">
        <v>255</v>
      </c>
      <c r="AK1255">
        <v>255</v>
      </c>
      <c r="AL1255" t="str">
        <f>"$"</f>
        <v>$</v>
      </c>
    </row>
    <row r="1256" spans="1:38" x14ac:dyDescent="0.3">
      <c r="A1256" t="str">
        <f>"SO21000286"</f>
        <v>SO21000286</v>
      </c>
      <c r="B1256" t="str">
        <f>"E000346803"</f>
        <v>E000346803</v>
      </c>
      <c r="C1256" t="str">
        <f>"בוצעה"</f>
        <v>בוצעה</v>
      </c>
      <c r="E1256" s="3">
        <v>44367</v>
      </c>
      <c r="F1256" s="3">
        <v>44366</v>
      </c>
      <c r="G1256" t="str">
        <f>"700065"</f>
        <v>700065</v>
      </c>
      <c r="H1256" t="str">
        <f>"אלתא מערכות בע""מ"</f>
        <v>אלתא מערכות בע"מ</v>
      </c>
      <c r="I1256" t="str">
        <f>"ערן שלו"</f>
        <v>ערן שלו</v>
      </c>
      <c r="J1256" t="str">
        <f>"PS0230057"</f>
        <v>PS0230057</v>
      </c>
      <c r="K1256" s="1" t="str">
        <f>"(d0117478)Rectifier DPR 3500B -24 DELTA"</f>
        <v>(d0117478)Rectifier DPR 3500B -24 DELTA</v>
      </c>
      <c r="L1256">
        <v>2</v>
      </c>
      <c r="O1256">
        <v>755</v>
      </c>
      <c r="P1256" t="str">
        <f>"$"</f>
        <v>$</v>
      </c>
      <c r="Q1256" t="str">
        <f>"000"</f>
        <v>000</v>
      </c>
      <c r="R1256" t="str">
        <f>"כללית"</f>
        <v>כללית</v>
      </c>
      <c r="S1256" t="str">
        <f>"034"</f>
        <v>034</v>
      </c>
      <c r="T1256" t="str">
        <f>"עמר ליגל"</f>
        <v>עמר ליגל</v>
      </c>
      <c r="U1256">
        <v>0</v>
      </c>
      <c r="V1256">
        <v>0</v>
      </c>
      <c r="W1256">
        <v>755</v>
      </c>
      <c r="X1256" s="2">
        <v>1510</v>
      </c>
      <c r="Z1256" t="str">
        <f>"Y"</f>
        <v>Y</v>
      </c>
      <c r="AA1256">
        <v>0</v>
      </c>
      <c r="AC1256">
        <v>0</v>
      </c>
      <c r="AE1256">
        <v>0</v>
      </c>
      <c r="AF1256">
        <v>0</v>
      </c>
      <c r="AG1256" s="2">
        <v>2465.08</v>
      </c>
      <c r="AH1256">
        <v>0</v>
      </c>
      <c r="AI1256" s="2">
        <v>4930.1499999999996</v>
      </c>
      <c r="AJ1256" s="2">
        <v>1510</v>
      </c>
      <c r="AK1256" s="2">
        <v>1510</v>
      </c>
      <c r="AL1256" t="str">
        <f>"$"</f>
        <v>$</v>
      </c>
    </row>
    <row r="1257" spans="1:38" x14ac:dyDescent="0.3">
      <c r="A1257" t="str">
        <f>"SO21000293"</f>
        <v>SO21000293</v>
      </c>
      <c r="B1257" t="str">
        <f>"E000336686"</f>
        <v>E000336686</v>
      </c>
      <c r="C1257" t="str">
        <f>"בוצעה"</f>
        <v>בוצעה</v>
      </c>
      <c r="E1257" s="3">
        <v>44375</v>
      </c>
      <c r="F1257" s="3">
        <v>44378</v>
      </c>
      <c r="G1257" t="str">
        <f>"700065"</f>
        <v>700065</v>
      </c>
      <c r="H1257" t="str">
        <f>"אלתא מערכות בע""מ"</f>
        <v>אלתא מערכות בע"מ</v>
      </c>
      <c r="I1257" t="str">
        <f>"ערן שלו"</f>
        <v>ערן שלו</v>
      </c>
      <c r="J1257" t="str">
        <f>"cust00951"</f>
        <v>cust00951</v>
      </c>
      <c r="K1257" s="1" t="str">
        <f>"AC PCU CONTROL BOX אלתא"</f>
        <v>AC PCU CONTROL BOX אלתא</v>
      </c>
      <c r="L1257">
        <v>1</v>
      </c>
      <c r="M1257" t="str">
        <f>"PR21000442"</f>
        <v>PR21000442</v>
      </c>
      <c r="N1257" t="str">
        <f>"AC PCU CONTROL BOX אלתא"</f>
        <v>AC PCU CONTROL BOX אלתא</v>
      </c>
      <c r="O1257">
        <v>0</v>
      </c>
      <c r="P1257" t="str">
        <f>"$"</f>
        <v>$</v>
      </c>
      <c r="Q1257" t="str">
        <f>"118"</f>
        <v>118</v>
      </c>
      <c r="R1257" t="str">
        <f>"מערכות"</f>
        <v>מערכות</v>
      </c>
      <c r="S1257" t="str">
        <f>"034"</f>
        <v>034</v>
      </c>
      <c r="T1257" t="str">
        <f>"עמר ליגל"</f>
        <v>עמר ליגל</v>
      </c>
      <c r="U1257">
        <v>0</v>
      </c>
      <c r="V1257">
        <v>0</v>
      </c>
      <c r="W1257">
        <v>0</v>
      </c>
      <c r="X1257">
        <v>0</v>
      </c>
      <c r="Z1257" t="str">
        <f>"Y"</f>
        <v>Y</v>
      </c>
      <c r="AA1257">
        <v>0</v>
      </c>
      <c r="AC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 t="str">
        <f>"$"</f>
        <v>$</v>
      </c>
    </row>
    <row r="1258" spans="1:38" x14ac:dyDescent="0.3">
      <c r="A1258" t="str">
        <f>"SO21000300"</f>
        <v>SO21000300</v>
      </c>
      <c r="B1258" t="str">
        <f>"E000342890"</f>
        <v>E000342890</v>
      </c>
      <c r="C1258" t="str">
        <f>"בוצעה"</f>
        <v>בוצעה</v>
      </c>
      <c r="E1258" s="3">
        <v>44378</v>
      </c>
      <c r="F1258" s="3">
        <v>44438</v>
      </c>
      <c r="G1258" t="str">
        <f>"700065"</f>
        <v>700065</v>
      </c>
      <c r="H1258" t="str">
        <f>"אלתא מערכות בע""מ"</f>
        <v>אלתא מערכות בע"מ</v>
      </c>
      <c r="I1258" t="str">
        <f>"רוני דידי"</f>
        <v>רוני דידי</v>
      </c>
      <c r="J1258" t="str">
        <f>"OP-AR02673"</f>
        <v>OP-AR02673</v>
      </c>
      <c r="K1258" s="1" t="str">
        <f>"CABLE"</f>
        <v>CABLE</v>
      </c>
      <c r="L1258">
        <v>1</v>
      </c>
      <c r="M1258" t="str">
        <f>"PR21000451"</f>
        <v>PR21000451</v>
      </c>
      <c r="N1258" t="str">
        <f>"שירות"</f>
        <v>שירות</v>
      </c>
      <c r="O1258" s="2">
        <v>1950</v>
      </c>
      <c r="P1258" t="str">
        <f>"$"</f>
        <v>$</v>
      </c>
      <c r="Q1258" t="str">
        <f>"111"</f>
        <v>111</v>
      </c>
      <c r="R1258" t="str">
        <f>"מכירה"</f>
        <v>מכירה</v>
      </c>
      <c r="S1258" t="str">
        <f>"007"</f>
        <v>007</v>
      </c>
      <c r="T1258" t="str">
        <f>"עמר ליגל"</f>
        <v>עמר ליגל</v>
      </c>
      <c r="U1258">
        <v>0</v>
      </c>
      <c r="V1258">
        <v>0</v>
      </c>
      <c r="W1258" s="2">
        <v>1950</v>
      </c>
      <c r="X1258" s="2">
        <v>1950</v>
      </c>
      <c r="Z1258" t="str">
        <f>"Y"</f>
        <v>Y</v>
      </c>
      <c r="AA1258">
        <v>0</v>
      </c>
      <c r="AC1258">
        <v>0</v>
      </c>
      <c r="AE1258">
        <v>0</v>
      </c>
      <c r="AF1258">
        <v>0</v>
      </c>
      <c r="AG1258" s="2">
        <v>6358.95</v>
      </c>
      <c r="AH1258">
        <v>0</v>
      </c>
      <c r="AI1258" s="2">
        <v>6358.95</v>
      </c>
      <c r="AJ1258" s="2">
        <v>1950</v>
      </c>
      <c r="AK1258" s="2">
        <v>1950</v>
      </c>
      <c r="AL1258" t="str">
        <f>"$"</f>
        <v>$</v>
      </c>
    </row>
    <row r="1259" spans="1:38" x14ac:dyDescent="0.3">
      <c r="A1259" t="str">
        <f>"SO21000303"</f>
        <v>SO21000303</v>
      </c>
      <c r="B1259" t="str">
        <f>"E000320687"</f>
        <v>E000320687</v>
      </c>
      <c r="C1259" t="str">
        <f>"בוצעה"</f>
        <v>בוצעה</v>
      </c>
      <c r="E1259" s="3">
        <v>44384</v>
      </c>
      <c r="F1259" s="3">
        <v>44530</v>
      </c>
      <c r="G1259" t="str">
        <f>"700065"</f>
        <v>700065</v>
      </c>
      <c r="H1259" t="str">
        <f>"אלתא מערכות בע""מ"</f>
        <v>אלתא מערכות בע"מ</v>
      </c>
      <c r="I1259" t="str">
        <f>"ערן שלו"</f>
        <v>ערן שלו</v>
      </c>
      <c r="J1259" t="str">
        <f>"OP-AR00467"</f>
        <v>OP-AR00467</v>
      </c>
      <c r="K1259" s="1" t="str">
        <f>"AC PCU CONTROL BOX"</f>
        <v>AC PCU CONTROL BOX</v>
      </c>
      <c r="L1259">
        <v>1</v>
      </c>
      <c r="M1259" t="str">
        <f>"PR21000482"</f>
        <v>PR21000482</v>
      </c>
      <c r="N1259" t="str">
        <f>"AC PCU CONTROL BOX"</f>
        <v>AC PCU CONTROL BOX</v>
      </c>
      <c r="O1259" s="2">
        <v>4250</v>
      </c>
      <c r="P1259" t="str">
        <f>"$"</f>
        <v>$</v>
      </c>
      <c r="Q1259" t="str">
        <f>"118"</f>
        <v>118</v>
      </c>
      <c r="R1259" t="str">
        <f>"מערכות"</f>
        <v>מערכות</v>
      </c>
      <c r="S1259" t="str">
        <f>"034"</f>
        <v>034</v>
      </c>
      <c r="T1259" t="str">
        <f>"עמר ליגל"</f>
        <v>עמר ליגל</v>
      </c>
      <c r="U1259">
        <v>0</v>
      </c>
      <c r="V1259">
        <v>0</v>
      </c>
      <c r="W1259" s="2">
        <v>4250</v>
      </c>
      <c r="X1259" s="2">
        <v>4250</v>
      </c>
      <c r="Z1259" t="str">
        <f>"Y"</f>
        <v>Y</v>
      </c>
      <c r="AA1259">
        <v>0</v>
      </c>
      <c r="AC1259">
        <v>0</v>
      </c>
      <c r="AE1259">
        <v>0</v>
      </c>
      <c r="AF1259">
        <v>0</v>
      </c>
      <c r="AG1259" s="2">
        <v>13867.75</v>
      </c>
      <c r="AH1259">
        <v>0</v>
      </c>
      <c r="AI1259" s="2">
        <v>13867.75</v>
      </c>
      <c r="AJ1259" s="2">
        <v>4250</v>
      </c>
      <c r="AK1259" s="2">
        <v>4250</v>
      </c>
      <c r="AL1259" t="str">
        <f>"$"</f>
        <v>$</v>
      </c>
    </row>
    <row r="1260" spans="1:38" x14ac:dyDescent="0.3">
      <c r="A1260" t="str">
        <f>"SO21000306"</f>
        <v>SO21000306</v>
      </c>
      <c r="B1260" t="str">
        <f>"E000341732"</f>
        <v>E000341732</v>
      </c>
      <c r="C1260" t="str">
        <f>"בוצעה"</f>
        <v>בוצעה</v>
      </c>
      <c r="E1260" s="3">
        <v>44388</v>
      </c>
      <c r="F1260" s="3">
        <v>44454</v>
      </c>
      <c r="G1260" t="str">
        <f>"700065"</f>
        <v>700065</v>
      </c>
      <c r="H1260" t="str">
        <f>"אלתא מערכות בע""מ"</f>
        <v>אלתא מערכות בע"מ</v>
      </c>
      <c r="I1260" t="str">
        <f>"ערן שלו"</f>
        <v>ערן שלו</v>
      </c>
      <c r="J1260" t="str">
        <f>"PS0200013"</f>
        <v>PS0200013</v>
      </c>
      <c r="K1260" s="1" t="str">
        <f>"DPR6000B-48"</f>
        <v>DPR6000B-48</v>
      </c>
      <c r="L1260">
        <v>1</v>
      </c>
      <c r="O1260" s="2">
        <v>1640</v>
      </c>
      <c r="P1260" t="str">
        <f>"$"</f>
        <v>$</v>
      </c>
      <c r="Q1260" t="str">
        <f>"000"</f>
        <v>000</v>
      </c>
      <c r="R1260" t="str">
        <f>"כללית"</f>
        <v>כללית</v>
      </c>
      <c r="S1260" t="str">
        <f>"034"</f>
        <v>034</v>
      </c>
      <c r="T1260" t="str">
        <f>"עמר ליגל"</f>
        <v>עמר ליגל</v>
      </c>
      <c r="U1260">
        <v>0</v>
      </c>
      <c r="V1260">
        <v>0</v>
      </c>
      <c r="W1260" s="2">
        <v>1640</v>
      </c>
      <c r="X1260" s="2">
        <v>1640</v>
      </c>
      <c r="Z1260" t="str">
        <f>"Y"</f>
        <v>Y</v>
      </c>
      <c r="AA1260">
        <v>0</v>
      </c>
      <c r="AC1260">
        <v>0</v>
      </c>
      <c r="AE1260">
        <v>0</v>
      </c>
      <c r="AF1260">
        <v>0</v>
      </c>
      <c r="AG1260" s="2">
        <v>5375.92</v>
      </c>
      <c r="AH1260">
        <v>0</v>
      </c>
      <c r="AI1260" s="2">
        <v>5375.92</v>
      </c>
      <c r="AJ1260" s="2">
        <v>1640</v>
      </c>
      <c r="AK1260" s="2">
        <v>1640</v>
      </c>
      <c r="AL1260" t="str">
        <f>"$"</f>
        <v>$</v>
      </c>
    </row>
    <row r="1261" spans="1:38" x14ac:dyDescent="0.3">
      <c r="A1261" t="str">
        <f>"SO21000306"</f>
        <v>SO21000306</v>
      </c>
      <c r="B1261" t="str">
        <f>"E000341732"</f>
        <v>E000341732</v>
      </c>
      <c r="C1261" t="str">
        <f>"בוצעה"</f>
        <v>בוצעה</v>
      </c>
      <c r="E1261" s="3">
        <v>44388</v>
      </c>
      <c r="F1261" s="3">
        <v>44454</v>
      </c>
      <c r="G1261" t="str">
        <f>"700065"</f>
        <v>700065</v>
      </c>
      <c r="H1261" t="str">
        <f>"אלתא מערכות בע""מ"</f>
        <v>אלתא מערכות בע"מ</v>
      </c>
      <c r="I1261" t="str">
        <f>"ערן שלו"</f>
        <v>ערן שלו</v>
      </c>
      <c r="J1261" t="str">
        <f>"PS0200013"</f>
        <v>PS0200013</v>
      </c>
      <c r="K1261" s="1" t="str">
        <f>"DPR6000B-48"</f>
        <v>DPR6000B-48</v>
      </c>
      <c r="L1261">
        <v>1</v>
      </c>
      <c r="O1261" s="2">
        <v>1640</v>
      </c>
      <c r="P1261" t="str">
        <f>"$"</f>
        <v>$</v>
      </c>
      <c r="Q1261" t="str">
        <f>"000"</f>
        <v>000</v>
      </c>
      <c r="R1261" t="str">
        <f>"כללית"</f>
        <v>כללית</v>
      </c>
      <c r="S1261" t="str">
        <f>"034"</f>
        <v>034</v>
      </c>
      <c r="T1261" t="str">
        <f>"עמר ליגל"</f>
        <v>עמר ליגל</v>
      </c>
      <c r="U1261">
        <v>0</v>
      </c>
      <c r="V1261">
        <v>0</v>
      </c>
      <c r="W1261" s="2">
        <v>1640</v>
      </c>
      <c r="X1261" s="2">
        <v>1640</v>
      </c>
      <c r="Z1261" t="str">
        <f>"Y"</f>
        <v>Y</v>
      </c>
      <c r="AA1261">
        <v>0</v>
      </c>
      <c r="AC1261">
        <v>0</v>
      </c>
      <c r="AE1261">
        <v>0</v>
      </c>
      <c r="AF1261">
        <v>0</v>
      </c>
      <c r="AG1261" s="2">
        <v>5375.92</v>
      </c>
      <c r="AH1261">
        <v>0</v>
      </c>
      <c r="AI1261" s="2">
        <v>5375.92</v>
      </c>
      <c r="AJ1261" s="2">
        <v>1640</v>
      </c>
      <c r="AK1261" s="2">
        <v>1640</v>
      </c>
      <c r="AL1261" t="str">
        <f>"$"</f>
        <v>$</v>
      </c>
    </row>
    <row r="1262" spans="1:38" x14ac:dyDescent="0.3">
      <c r="A1262" t="str">
        <f>"SO21000307"</f>
        <v>SO21000307</v>
      </c>
      <c r="B1262" t="str">
        <f>"E000342590"</f>
        <v>E000342590</v>
      </c>
      <c r="C1262" t="str">
        <f>"בוצעה"</f>
        <v>בוצעה</v>
      </c>
      <c r="E1262" s="3">
        <v>44388</v>
      </c>
      <c r="F1262" s="3">
        <v>44499</v>
      </c>
      <c r="G1262" t="str">
        <f>"700065"</f>
        <v>700065</v>
      </c>
      <c r="H1262" t="str">
        <f>"אלתא מערכות בע""מ"</f>
        <v>אלתא מערכות בע"מ</v>
      </c>
      <c r="I1262" t="str">
        <f>"ערן שלו"</f>
        <v>ערן שלו</v>
      </c>
      <c r="J1262" t="str">
        <f>"OP-AR00467"</f>
        <v>OP-AR00467</v>
      </c>
      <c r="K1262" s="1" t="str">
        <f>"AC PCU CONTROL BOX"</f>
        <v>AC PCU CONTROL BOX</v>
      </c>
      <c r="L1262">
        <v>1</v>
      </c>
      <c r="M1262" t="str">
        <f>"PR21000482"</f>
        <v>PR21000482</v>
      </c>
      <c r="N1262" t="str">
        <f>"AC PCU CONTROL BOX"</f>
        <v>AC PCU CONTROL BOX</v>
      </c>
      <c r="O1262" s="2">
        <v>4250</v>
      </c>
      <c r="P1262" t="str">
        <f>"$"</f>
        <v>$</v>
      </c>
      <c r="Q1262" t="str">
        <f>"118"</f>
        <v>118</v>
      </c>
      <c r="R1262" t="str">
        <f>"מערכות"</f>
        <v>מערכות</v>
      </c>
      <c r="S1262" t="str">
        <f>"034"</f>
        <v>034</v>
      </c>
      <c r="T1262" t="str">
        <f>"עמר ליגל"</f>
        <v>עמר ליגל</v>
      </c>
      <c r="U1262">
        <v>0</v>
      </c>
      <c r="V1262">
        <v>0</v>
      </c>
      <c r="W1262" s="2">
        <v>4250</v>
      </c>
      <c r="X1262" s="2">
        <v>4250</v>
      </c>
      <c r="Z1262" t="str">
        <f>"Y"</f>
        <v>Y</v>
      </c>
      <c r="AA1262">
        <v>0</v>
      </c>
      <c r="AC1262">
        <v>0</v>
      </c>
      <c r="AE1262">
        <v>0</v>
      </c>
      <c r="AF1262">
        <v>0</v>
      </c>
      <c r="AG1262" s="2">
        <v>13931.5</v>
      </c>
      <c r="AH1262">
        <v>0</v>
      </c>
      <c r="AI1262" s="2">
        <v>13931.5</v>
      </c>
      <c r="AJ1262" s="2">
        <v>4250</v>
      </c>
      <c r="AK1262" s="2">
        <v>4250</v>
      </c>
      <c r="AL1262" t="str">
        <f>"$"</f>
        <v>$</v>
      </c>
    </row>
    <row r="1263" spans="1:38" x14ac:dyDescent="0.3">
      <c r="A1263" t="str">
        <f>"SO21000313"</f>
        <v>SO21000313</v>
      </c>
      <c r="B1263" t="str">
        <f>"E000343127"</f>
        <v>E000343127</v>
      </c>
      <c r="C1263" t="str">
        <f>"בוצעה"</f>
        <v>בוצעה</v>
      </c>
      <c r="E1263" s="3">
        <v>44389</v>
      </c>
      <c r="F1263" s="3">
        <v>44620</v>
      </c>
      <c r="G1263" t="str">
        <f>"700065"</f>
        <v>700065</v>
      </c>
      <c r="H1263" t="str">
        <f>"אלתא מערכות בע""מ"</f>
        <v>אלתא מערכות בע"מ</v>
      </c>
      <c r="I1263" t="str">
        <f>"רוני דידי"</f>
        <v>רוני דידי</v>
      </c>
      <c r="J1263" t="str">
        <f>"000"</f>
        <v>000</v>
      </c>
      <c r="K1263" s="1" t="str">
        <f>"טכנאים לחיווט מסדים"</f>
        <v>טכנאים לחיווט מסדים</v>
      </c>
      <c r="L1263">
        <v>20</v>
      </c>
      <c r="M1263" t="str">
        <f>"PR21000795"</f>
        <v>PR21000795</v>
      </c>
      <c r="N1263" t="str">
        <f>"שדרוג מסדי תקשורת אורנים"</f>
        <v>שדרוג מסדי תקשורת אורנים</v>
      </c>
      <c r="O1263" s="2">
        <v>2185</v>
      </c>
      <c r="P1263" t="str">
        <f>"$"</f>
        <v>$</v>
      </c>
      <c r="Q1263" t="str">
        <f>"111"</f>
        <v>111</v>
      </c>
      <c r="R1263" t="str">
        <f>"מכירה"</f>
        <v>מכירה</v>
      </c>
      <c r="S1263" t="str">
        <f>"007"</f>
        <v>007</v>
      </c>
      <c r="T1263" t="str">
        <f>"עמר ליגל"</f>
        <v>עמר ליגל</v>
      </c>
      <c r="U1263">
        <v>0</v>
      </c>
      <c r="V1263">
        <v>0</v>
      </c>
      <c r="W1263" s="2">
        <v>2185</v>
      </c>
      <c r="X1263" s="2">
        <v>43700</v>
      </c>
      <c r="Z1263" t="str">
        <f>"Y"</f>
        <v>Y</v>
      </c>
      <c r="AA1263">
        <v>20</v>
      </c>
      <c r="AC1263">
        <v>0</v>
      </c>
      <c r="AE1263">
        <v>0</v>
      </c>
      <c r="AF1263">
        <v>0</v>
      </c>
      <c r="AG1263" s="2">
        <v>7175.54</v>
      </c>
      <c r="AH1263">
        <v>0</v>
      </c>
      <c r="AI1263" s="2">
        <v>143510.79999999999</v>
      </c>
      <c r="AJ1263" s="2">
        <v>43700</v>
      </c>
      <c r="AK1263" s="2">
        <v>43700</v>
      </c>
      <c r="AL1263" t="str">
        <f>"$"</f>
        <v>$</v>
      </c>
    </row>
    <row r="1264" spans="1:38" x14ac:dyDescent="0.3">
      <c r="A1264" t="str">
        <f>"SO21000313"</f>
        <v>SO21000313</v>
      </c>
      <c r="B1264" t="str">
        <f>"E000343127"</f>
        <v>E000343127</v>
      </c>
      <c r="C1264" t="str">
        <f>"בוצעה"</f>
        <v>בוצעה</v>
      </c>
      <c r="E1264" s="3">
        <v>44389</v>
      </c>
      <c r="F1264" s="3">
        <v>44620</v>
      </c>
      <c r="G1264" t="str">
        <f>"700065"</f>
        <v>700065</v>
      </c>
      <c r="H1264" t="str">
        <f>"אלתא מערכות בע""מ"</f>
        <v>אלתא מערכות בע"מ</v>
      </c>
      <c r="I1264" t="str">
        <f>"רוני דידי"</f>
        <v>רוני דידי</v>
      </c>
      <c r="J1264" t="str">
        <f>"000"</f>
        <v>000</v>
      </c>
      <c r="K1264" s="1" t="str">
        <f>"בנק חומרים"</f>
        <v>בנק חומרים</v>
      </c>
      <c r="L1264">
        <v>1</v>
      </c>
      <c r="M1264" t="str">
        <f>"PR21000795"</f>
        <v>PR21000795</v>
      </c>
      <c r="N1264" t="str">
        <f>"שדרוג מסדי תקשורת אורנים"</f>
        <v>שדרוג מסדי תקשורת אורנים</v>
      </c>
      <c r="O1264" s="2">
        <v>6000</v>
      </c>
      <c r="P1264" t="str">
        <f>"$"</f>
        <v>$</v>
      </c>
      <c r="Q1264" t="str">
        <f>"111"</f>
        <v>111</v>
      </c>
      <c r="R1264" t="str">
        <f>"מכירה"</f>
        <v>מכירה</v>
      </c>
      <c r="S1264" t="str">
        <f>"007"</f>
        <v>007</v>
      </c>
      <c r="T1264" t="str">
        <f>"עמר ליגל"</f>
        <v>עמר ליגל</v>
      </c>
      <c r="U1264">
        <v>0</v>
      </c>
      <c r="V1264">
        <v>0</v>
      </c>
      <c r="W1264" s="2">
        <v>6000</v>
      </c>
      <c r="X1264" s="2">
        <v>6000</v>
      </c>
      <c r="Z1264" t="str">
        <f>"Y"</f>
        <v>Y</v>
      </c>
      <c r="AA1264">
        <v>1</v>
      </c>
      <c r="AC1264">
        <v>0</v>
      </c>
      <c r="AE1264">
        <v>0</v>
      </c>
      <c r="AF1264">
        <v>0</v>
      </c>
      <c r="AG1264" s="2">
        <v>19704</v>
      </c>
      <c r="AH1264">
        <v>0</v>
      </c>
      <c r="AI1264" s="2">
        <v>19704</v>
      </c>
      <c r="AJ1264" s="2">
        <v>6000</v>
      </c>
      <c r="AK1264" s="2">
        <v>6000</v>
      </c>
      <c r="AL1264" t="str">
        <f>"$"</f>
        <v>$</v>
      </c>
    </row>
    <row r="1265" spans="1:38" x14ac:dyDescent="0.3">
      <c r="A1265" t="str">
        <f>"SO21000313"</f>
        <v>SO21000313</v>
      </c>
      <c r="B1265" t="str">
        <f>"E000343127"</f>
        <v>E000343127</v>
      </c>
      <c r="C1265" t="str">
        <f>"בוצעה"</f>
        <v>בוצעה</v>
      </c>
      <c r="E1265" s="3">
        <v>44389</v>
      </c>
      <c r="F1265" s="3">
        <v>44927</v>
      </c>
      <c r="G1265" t="str">
        <f>"700065"</f>
        <v>700065</v>
      </c>
      <c r="H1265" t="str">
        <f>"אלתא מערכות בע""מ"</f>
        <v>אלתא מערכות בע"מ</v>
      </c>
      <c r="I1265" t="str">
        <f>"רוני דידי"</f>
        <v>רוני דידי</v>
      </c>
      <c r="J1265" t="str">
        <f>"000"</f>
        <v>000</v>
      </c>
      <c r="K1265" s="1" t="str">
        <f>"הגדלת הזמנה בעוד 20 ימי עבודה"</f>
        <v>הגדלת הזמנה בעוד 20 ימי עבודה</v>
      </c>
      <c r="L1265">
        <v>1</v>
      </c>
      <c r="O1265" s="2">
        <v>43700</v>
      </c>
      <c r="P1265" t="str">
        <f>"$"</f>
        <v>$</v>
      </c>
      <c r="Q1265" t="str">
        <f>"111"</f>
        <v>111</v>
      </c>
      <c r="R1265" t="str">
        <f>"מכירה"</f>
        <v>מכירה</v>
      </c>
      <c r="S1265" t="str">
        <f>"007"</f>
        <v>007</v>
      </c>
      <c r="T1265" t="str">
        <f>"עמר ליגל"</f>
        <v>עמר ליגל</v>
      </c>
      <c r="U1265">
        <v>0</v>
      </c>
      <c r="V1265">
        <v>0</v>
      </c>
      <c r="W1265" s="2">
        <v>43700</v>
      </c>
      <c r="X1265" s="2">
        <v>43700</v>
      </c>
      <c r="Z1265" t="str">
        <f>"Y"</f>
        <v>Y</v>
      </c>
      <c r="AA1265">
        <v>1</v>
      </c>
      <c r="AC1265">
        <v>0</v>
      </c>
      <c r="AE1265">
        <v>0</v>
      </c>
      <c r="AF1265">
        <v>0</v>
      </c>
      <c r="AG1265" s="2">
        <v>143510.79999999999</v>
      </c>
      <c r="AH1265">
        <v>0</v>
      </c>
      <c r="AI1265" s="2">
        <v>143510.79999999999</v>
      </c>
      <c r="AJ1265" s="2">
        <v>43700</v>
      </c>
      <c r="AK1265" s="2">
        <v>43700</v>
      </c>
      <c r="AL1265" t="str">
        <f>"$"</f>
        <v>$</v>
      </c>
    </row>
    <row r="1266" spans="1:38" x14ac:dyDescent="0.3">
      <c r="A1266" t="str">
        <f>"SO21000346"</f>
        <v>SO21000346</v>
      </c>
      <c r="B1266" t="str">
        <f>"E000339502"</f>
        <v>E000339502</v>
      </c>
      <c r="C1266" t="str">
        <f>"בוצעה"</f>
        <v>בוצעה</v>
      </c>
      <c r="E1266" s="3">
        <v>44409</v>
      </c>
      <c r="F1266" s="3">
        <v>44438</v>
      </c>
      <c r="G1266" t="str">
        <f>"700065"</f>
        <v>700065</v>
      </c>
      <c r="H1266" t="str">
        <f>"אלתא מערכות בע""מ"</f>
        <v>אלתא מערכות בע"מ</v>
      </c>
      <c r="I1266" t="str">
        <f>"רחמים זרוק"</f>
        <v>רחמים זרוק</v>
      </c>
      <c r="J1266" t="str">
        <f>"cust000842"</f>
        <v>cust000842</v>
      </c>
      <c r="K1266" s="1" t="str">
        <f>"1039H802-001 אלתא"</f>
        <v>1039H802-001 אלתא</v>
      </c>
      <c r="L1266">
        <v>4</v>
      </c>
      <c r="M1266" t="str">
        <f>"PR21000526"</f>
        <v>PR21000526</v>
      </c>
      <c r="N1266" t="str">
        <f>"תיקון רתמות"</f>
        <v>תיקון רתמות</v>
      </c>
      <c r="O1266">
        <v>141.22999999999999</v>
      </c>
      <c r="P1266" t="str">
        <f>"$"</f>
        <v>$</v>
      </c>
      <c r="Q1266" t="str">
        <f>"117"</f>
        <v>117</v>
      </c>
      <c r="R1266" t="str">
        <f>"רתמות"</f>
        <v>רתמות</v>
      </c>
      <c r="S1266" t="str">
        <f>"040"</f>
        <v>040</v>
      </c>
      <c r="T1266" t="str">
        <f>"עמר ליגל"</f>
        <v>עמר ליגל</v>
      </c>
      <c r="U1266">
        <v>0</v>
      </c>
      <c r="V1266">
        <v>0</v>
      </c>
      <c r="W1266">
        <v>141.22999999999999</v>
      </c>
      <c r="X1266">
        <v>564.91999999999996</v>
      </c>
      <c r="Z1266" t="str">
        <f>"Y"</f>
        <v>Y</v>
      </c>
      <c r="AA1266">
        <v>0</v>
      </c>
      <c r="AC1266">
        <v>0</v>
      </c>
      <c r="AE1266">
        <v>0</v>
      </c>
      <c r="AF1266">
        <v>0</v>
      </c>
      <c r="AG1266">
        <v>459.56</v>
      </c>
      <c r="AH1266">
        <v>0</v>
      </c>
      <c r="AI1266" s="2">
        <v>1838.25</v>
      </c>
      <c r="AJ1266">
        <v>564.91999999999996</v>
      </c>
      <c r="AK1266">
        <v>564.91999999999996</v>
      </c>
      <c r="AL1266" t="str">
        <f>"$"</f>
        <v>$</v>
      </c>
    </row>
    <row r="1267" spans="1:38" x14ac:dyDescent="0.3">
      <c r="A1267" t="str">
        <f>"SO21000346"</f>
        <v>SO21000346</v>
      </c>
      <c r="B1267" t="str">
        <f>"E000339502"</f>
        <v>E000339502</v>
      </c>
      <c r="C1267" t="str">
        <f>"בוצעה"</f>
        <v>בוצעה</v>
      </c>
      <c r="E1267" s="3">
        <v>44409</v>
      </c>
      <c r="F1267" s="3">
        <v>44438</v>
      </c>
      <c r="G1267" t="str">
        <f>"700065"</f>
        <v>700065</v>
      </c>
      <c r="H1267" t="str">
        <f>"אלתא מערכות בע""מ"</f>
        <v>אלתא מערכות בע"מ</v>
      </c>
      <c r="I1267" t="str">
        <f>"רחמים זרוק"</f>
        <v>רחמים זרוק</v>
      </c>
      <c r="J1267" t="str">
        <f>"cust000843"</f>
        <v>cust000843</v>
      </c>
      <c r="K1267" s="1" t="str">
        <f>"1039H801-001 אלתא"</f>
        <v>1039H801-001 אלתא</v>
      </c>
      <c r="L1267">
        <v>2</v>
      </c>
      <c r="M1267" t="str">
        <f>"PR21000526"</f>
        <v>PR21000526</v>
      </c>
      <c r="N1267" t="str">
        <f>"תיקון רתמות"</f>
        <v>תיקון רתמות</v>
      </c>
      <c r="O1267">
        <v>141.22999999999999</v>
      </c>
      <c r="P1267" t="str">
        <f>"$"</f>
        <v>$</v>
      </c>
      <c r="Q1267" t="str">
        <f>"117"</f>
        <v>117</v>
      </c>
      <c r="R1267" t="str">
        <f>"רתמות"</f>
        <v>רתמות</v>
      </c>
      <c r="S1267" t="str">
        <f>"040"</f>
        <v>040</v>
      </c>
      <c r="T1267" t="str">
        <f>"עמר ליגל"</f>
        <v>עמר ליגל</v>
      </c>
      <c r="U1267">
        <v>0</v>
      </c>
      <c r="V1267">
        <v>0</v>
      </c>
      <c r="W1267">
        <v>141.22999999999999</v>
      </c>
      <c r="X1267">
        <v>282.45999999999998</v>
      </c>
      <c r="Z1267" t="str">
        <f>"Y"</f>
        <v>Y</v>
      </c>
      <c r="AA1267">
        <v>0</v>
      </c>
      <c r="AC1267">
        <v>0</v>
      </c>
      <c r="AE1267">
        <v>0</v>
      </c>
      <c r="AF1267">
        <v>0</v>
      </c>
      <c r="AG1267">
        <v>459.56</v>
      </c>
      <c r="AH1267">
        <v>0</v>
      </c>
      <c r="AI1267">
        <v>919.12</v>
      </c>
      <c r="AJ1267">
        <v>282.45999999999998</v>
      </c>
      <c r="AK1267">
        <v>282.45999999999998</v>
      </c>
      <c r="AL1267" t="str">
        <f>"$"</f>
        <v>$</v>
      </c>
    </row>
    <row r="1268" spans="1:38" x14ac:dyDescent="0.3">
      <c r="A1268" t="str">
        <f>"SO21000346"</f>
        <v>SO21000346</v>
      </c>
      <c r="B1268" t="str">
        <f>"E000339502"</f>
        <v>E000339502</v>
      </c>
      <c r="C1268" t="str">
        <f>"בוצעה"</f>
        <v>בוצעה</v>
      </c>
      <c r="E1268" s="3">
        <v>44409</v>
      </c>
      <c r="F1268" s="3">
        <v>44438</v>
      </c>
      <c r="G1268" t="str">
        <f>"700065"</f>
        <v>700065</v>
      </c>
      <c r="H1268" t="str">
        <f>"אלתא מערכות בע""מ"</f>
        <v>אלתא מערכות בע"מ</v>
      </c>
      <c r="I1268" t="str">
        <f>"רחמים זרוק"</f>
        <v>רחמים זרוק</v>
      </c>
      <c r="J1268" t="str">
        <f>"cust000844"</f>
        <v>cust000844</v>
      </c>
      <c r="K1268" s="1" t="str">
        <f>"1039H816-001 אלתא"</f>
        <v>1039H816-001 אלתא</v>
      </c>
      <c r="L1268">
        <v>4</v>
      </c>
      <c r="M1268" t="str">
        <f>"PR21000526"</f>
        <v>PR21000526</v>
      </c>
      <c r="N1268" t="str">
        <f>"תיקון רתמות"</f>
        <v>תיקון רתמות</v>
      </c>
      <c r="O1268">
        <v>297.68</v>
      </c>
      <c r="P1268" t="str">
        <f>"$"</f>
        <v>$</v>
      </c>
      <c r="Q1268" t="str">
        <f>"117"</f>
        <v>117</v>
      </c>
      <c r="R1268" t="str">
        <f>"רתמות"</f>
        <v>רתמות</v>
      </c>
      <c r="S1268" t="str">
        <f>"040"</f>
        <v>040</v>
      </c>
      <c r="T1268" t="str">
        <f>"עמר ליגל"</f>
        <v>עמר ליגל</v>
      </c>
      <c r="U1268">
        <v>0</v>
      </c>
      <c r="V1268">
        <v>0</v>
      </c>
      <c r="W1268">
        <v>297.68</v>
      </c>
      <c r="X1268" s="2">
        <v>1190.72</v>
      </c>
      <c r="Z1268" t="str">
        <f>"Y"</f>
        <v>Y</v>
      </c>
      <c r="AA1268">
        <v>0</v>
      </c>
      <c r="AC1268">
        <v>0</v>
      </c>
      <c r="AE1268">
        <v>0</v>
      </c>
      <c r="AF1268">
        <v>0</v>
      </c>
      <c r="AG1268">
        <v>968.65</v>
      </c>
      <c r="AH1268">
        <v>0</v>
      </c>
      <c r="AI1268" s="2">
        <v>3874.6</v>
      </c>
      <c r="AJ1268" s="2">
        <v>1190.72</v>
      </c>
      <c r="AK1268" s="2">
        <v>1190.72</v>
      </c>
      <c r="AL1268" t="str">
        <f>"$"</f>
        <v>$</v>
      </c>
    </row>
    <row r="1269" spans="1:38" x14ac:dyDescent="0.3">
      <c r="A1269" t="str">
        <f>"SO21000346"</f>
        <v>SO21000346</v>
      </c>
      <c r="B1269" t="str">
        <f>"E000339502"</f>
        <v>E000339502</v>
      </c>
      <c r="C1269" t="str">
        <f>"בוצעה"</f>
        <v>בוצעה</v>
      </c>
      <c r="E1269" s="3">
        <v>44409</v>
      </c>
      <c r="F1269" s="3">
        <v>44438</v>
      </c>
      <c r="G1269" t="str">
        <f>"700065"</f>
        <v>700065</v>
      </c>
      <c r="H1269" t="str">
        <f>"אלתא מערכות בע""מ"</f>
        <v>אלתא מערכות בע"מ</v>
      </c>
      <c r="I1269" t="str">
        <f>"רחמים זרוק"</f>
        <v>רחמים זרוק</v>
      </c>
      <c r="J1269" t="str">
        <f>"cust000845"</f>
        <v>cust000845</v>
      </c>
      <c r="K1269" s="1" t="str">
        <f>"1039H815-001 אלתא"</f>
        <v>1039H815-001 אלתא</v>
      </c>
      <c r="L1269">
        <v>4</v>
      </c>
      <c r="M1269" t="str">
        <f>"PR21000526"</f>
        <v>PR21000526</v>
      </c>
      <c r="N1269" t="str">
        <f>"תיקון רתמות"</f>
        <v>תיקון רתמות</v>
      </c>
      <c r="O1269">
        <v>297.68</v>
      </c>
      <c r="P1269" t="str">
        <f>"$"</f>
        <v>$</v>
      </c>
      <c r="Q1269" t="str">
        <f>"117"</f>
        <v>117</v>
      </c>
      <c r="R1269" t="str">
        <f>"רתמות"</f>
        <v>רתמות</v>
      </c>
      <c r="S1269" t="str">
        <f>"040"</f>
        <v>040</v>
      </c>
      <c r="T1269" t="str">
        <f>"עמר ליגל"</f>
        <v>עמר ליגל</v>
      </c>
      <c r="U1269">
        <v>0</v>
      </c>
      <c r="V1269">
        <v>0</v>
      </c>
      <c r="W1269">
        <v>297.68</v>
      </c>
      <c r="X1269" s="2">
        <v>1190.72</v>
      </c>
      <c r="Z1269" t="str">
        <f>"Y"</f>
        <v>Y</v>
      </c>
      <c r="AA1269">
        <v>0</v>
      </c>
      <c r="AC1269">
        <v>0</v>
      </c>
      <c r="AE1269">
        <v>0</v>
      </c>
      <c r="AF1269">
        <v>0</v>
      </c>
      <c r="AG1269">
        <v>968.65</v>
      </c>
      <c r="AH1269">
        <v>0</v>
      </c>
      <c r="AI1269" s="2">
        <v>3874.6</v>
      </c>
      <c r="AJ1269" s="2">
        <v>1190.72</v>
      </c>
      <c r="AK1269" s="2">
        <v>1190.72</v>
      </c>
      <c r="AL1269" t="str">
        <f>"$"</f>
        <v>$</v>
      </c>
    </row>
    <row r="1270" spans="1:38" x14ac:dyDescent="0.3">
      <c r="A1270" t="str">
        <f>"SO21000346"</f>
        <v>SO21000346</v>
      </c>
      <c r="B1270" t="str">
        <f>"E000339502"</f>
        <v>E000339502</v>
      </c>
      <c r="C1270" t="str">
        <f>"בוצעה"</f>
        <v>בוצעה</v>
      </c>
      <c r="E1270" s="3">
        <v>44409</v>
      </c>
      <c r="F1270" s="3">
        <v>44489</v>
      </c>
      <c r="G1270" t="str">
        <f>"700065"</f>
        <v>700065</v>
      </c>
      <c r="H1270" t="str">
        <f>"אלתא מערכות בע""מ"</f>
        <v>אלתא מערכות בע"מ</v>
      </c>
      <c r="I1270" t="str">
        <f>"רחמים זרוק"</f>
        <v>רחמים זרוק</v>
      </c>
      <c r="J1270" t="str">
        <f>"cust000846"</f>
        <v>cust000846</v>
      </c>
      <c r="K1270" s="1" t="str">
        <f>"1039H842-001 אלתא"</f>
        <v>1039H842-001 אלתא</v>
      </c>
      <c r="L1270">
        <v>2</v>
      </c>
      <c r="M1270" t="str">
        <f>"PR21000526"</f>
        <v>PR21000526</v>
      </c>
      <c r="N1270" t="str">
        <f>"תיקון רתמות"</f>
        <v>תיקון רתמות</v>
      </c>
      <c r="O1270">
        <v>317.63</v>
      </c>
      <c r="P1270" t="str">
        <f>"$"</f>
        <v>$</v>
      </c>
      <c r="Q1270" t="str">
        <f>"117"</f>
        <v>117</v>
      </c>
      <c r="R1270" t="str">
        <f>"רתמות"</f>
        <v>רתמות</v>
      </c>
      <c r="S1270" t="str">
        <f>"040"</f>
        <v>040</v>
      </c>
      <c r="T1270" t="str">
        <f>"עמר ליגל"</f>
        <v>עמר ליגל</v>
      </c>
      <c r="U1270">
        <v>0</v>
      </c>
      <c r="V1270">
        <v>0</v>
      </c>
      <c r="W1270">
        <v>317.63</v>
      </c>
      <c r="X1270">
        <v>635.26</v>
      </c>
      <c r="Z1270" t="str">
        <f>"Y"</f>
        <v>Y</v>
      </c>
      <c r="AA1270">
        <v>0</v>
      </c>
      <c r="AC1270">
        <v>0</v>
      </c>
      <c r="AE1270">
        <v>0</v>
      </c>
      <c r="AF1270">
        <v>0</v>
      </c>
      <c r="AG1270" s="2">
        <v>1033.57</v>
      </c>
      <c r="AH1270">
        <v>0</v>
      </c>
      <c r="AI1270" s="2">
        <v>2067.14</v>
      </c>
      <c r="AJ1270">
        <v>635.26</v>
      </c>
      <c r="AK1270">
        <v>635.26</v>
      </c>
      <c r="AL1270" t="str">
        <f>"$"</f>
        <v>$</v>
      </c>
    </row>
    <row r="1271" spans="1:38" x14ac:dyDescent="0.3">
      <c r="A1271" t="str">
        <f>"SO21000348"</f>
        <v>SO21000348</v>
      </c>
      <c r="B1271" t="str">
        <f>"E000344246"</f>
        <v>E000344246</v>
      </c>
      <c r="C1271" t="str">
        <f>"הרכבה חלקית"</f>
        <v>הרכבה חלקית</v>
      </c>
      <c r="E1271" s="3">
        <v>44409</v>
      </c>
      <c r="F1271" s="3">
        <v>44499</v>
      </c>
      <c r="G1271" t="str">
        <f>"700065"</f>
        <v>700065</v>
      </c>
      <c r="H1271" t="str">
        <f>"אלתא מערכות בע""מ"</f>
        <v>אלתא מערכות בע"מ</v>
      </c>
      <c r="I1271" t="str">
        <f>"רחמים זרוק"</f>
        <v>רחמים זרוק</v>
      </c>
      <c r="J1271" t="str">
        <f>"OP-AR02682"</f>
        <v>OP-AR02682</v>
      </c>
      <c r="K1271" s="1" t="str">
        <f>"4043B630-001    HARNESS W630 - PDU TO GATU DC PWR DATA C"</f>
        <v>4043B630-001    HARNESS W630 - PDU TO GATU DC PWR DATA C</v>
      </c>
      <c r="L1271">
        <v>2</v>
      </c>
      <c r="M1271" t="str">
        <f>"PR21000546"</f>
        <v>PR21000546</v>
      </c>
      <c r="N1271" t="str">
        <f>"CABEL"</f>
        <v>CABEL</v>
      </c>
      <c r="O1271">
        <v>666.27</v>
      </c>
      <c r="P1271" t="str">
        <f>"$"</f>
        <v>$</v>
      </c>
      <c r="Q1271" t="str">
        <f>"117"</f>
        <v>117</v>
      </c>
      <c r="R1271" t="str">
        <f>"רתמות"</f>
        <v>רתמות</v>
      </c>
      <c r="S1271" t="str">
        <f>"040"</f>
        <v>040</v>
      </c>
      <c r="T1271" t="str">
        <f>"עמר ליגל"</f>
        <v>עמר ליגל</v>
      </c>
      <c r="U1271">
        <v>0</v>
      </c>
      <c r="V1271">
        <v>0</v>
      </c>
      <c r="W1271">
        <v>666.27</v>
      </c>
      <c r="X1271" s="2">
        <v>1332.54</v>
      </c>
      <c r="Z1271" t="str">
        <f>"Y"</f>
        <v>Y</v>
      </c>
      <c r="AA1271">
        <v>0</v>
      </c>
      <c r="AC1271">
        <v>0</v>
      </c>
      <c r="AE1271">
        <v>0</v>
      </c>
      <c r="AF1271">
        <v>0</v>
      </c>
      <c r="AG1271" s="2">
        <v>2168.04</v>
      </c>
      <c r="AH1271">
        <v>0</v>
      </c>
      <c r="AI1271" s="2">
        <v>4336.09</v>
      </c>
      <c r="AJ1271" s="2">
        <v>1332.54</v>
      </c>
      <c r="AK1271" s="2">
        <v>1332.54</v>
      </c>
      <c r="AL1271" t="str">
        <f>"$"</f>
        <v>$</v>
      </c>
    </row>
    <row r="1272" spans="1:38" x14ac:dyDescent="0.3">
      <c r="A1272" t="str">
        <f>"SO21000348"</f>
        <v>SO21000348</v>
      </c>
      <c r="B1272" t="str">
        <f>"E000344246"</f>
        <v>E000344246</v>
      </c>
      <c r="C1272" t="str">
        <f>"הרכבה חלקית"</f>
        <v>הרכבה חלקית</v>
      </c>
      <c r="E1272" s="3">
        <v>44409</v>
      </c>
      <c r="F1272" s="3">
        <v>44489</v>
      </c>
      <c r="G1272" t="str">
        <f>"700065"</f>
        <v>700065</v>
      </c>
      <c r="H1272" t="str">
        <f>"אלתא מערכות בע""מ"</f>
        <v>אלתא מערכות בע"מ</v>
      </c>
      <c r="I1272" t="str">
        <f>"רחמים זרוק"</f>
        <v>רחמים זרוק</v>
      </c>
      <c r="J1272" t="str">
        <f>"OP-AR02683"</f>
        <v>OP-AR02683</v>
      </c>
      <c r="K1272" s="1" t="str">
        <f>"4043B631-001   HARNESS W631 - GTRU BU AND FAN POWER TO"</f>
        <v>4043B631-001   HARNESS W631 - GTRU BU AND FAN POWER TO</v>
      </c>
      <c r="L1272">
        <v>2</v>
      </c>
      <c r="M1272" t="str">
        <f>"PR21000546"</f>
        <v>PR21000546</v>
      </c>
      <c r="N1272" t="str">
        <f>"CABEL"</f>
        <v>CABEL</v>
      </c>
      <c r="O1272">
        <v>364.96</v>
      </c>
      <c r="P1272" t="str">
        <f>"$"</f>
        <v>$</v>
      </c>
      <c r="Q1272" t="str">
        <f>"117"</f>
        <v>117</v>
      </c>
      <c r="R1272" t="str">
        <f>"רתמות"</f>
        <v>רתמות</v>
      </c>
      <c r="S1272" t="str">
        <f>"040"</f>
        <v>040</v>
      </c>
      <c r="T1272" t="str">
        <f>"עמר ליגל"</f>
        <v>עמר ליגל</v>
      </c>
      <c r="U1272">
        <v>0</v>
      </c>
      <c r="V1272">
        <v>0</v>
      </c>
      <c r="W1272">
        <v>364.96</v>
      </c>
      <c r="X1272">
        <v>729.92</v>
      </c>
      <c r="Z1272" t="str">
        <f>"Y"</f>
        <v>Y</v>
      </c>
      <c r="AA1272">
        <v>0</v>
      </c>
      <c r="AC1272">
        <v>0</v>
      </c>
      <c r="AE1272">
        <v>0</v>
      </c>
      <c r="AF1272">
        <v>0</v>
      </c>
      <c r="AG1272" s="2">
        <v>1187.58</v>
      </c>
      <c r="AH1272">
        <v>0</v>
      </c>
      <c r="AI1272" s="2">
        <v>2375.16</v>
      </c>
      <c r="AJ1272">
        <v>729.92</v>
      </c>
      <c r="AK1272">
        <v>729.92</v>
      </c>
      <c r="AL1272" t="str">
        <f>"$"</f>
        <v>$</v>
      </c>
    </row>
    <row r="1273" spans="1:38" x14ac:dyDescent="0.3">
      <c r="A1273" t="str">
        <f>"SO21000348"</f>
        <v>SO21000348</v>
      </c>
      <c r="B1273" t="str">
        <f>"E000344246"</f>
        <v>E000344246</v>
      </c>
      <c r="C1273" t="str">
        <f>"הרכבה חלקית"</f>
        <v>הרכבה חלקית</v>
      </c>
      <c r="E1273" s="3">
        <v>44409</v>
      </c>
      <c r="F1273" s="3">
        <v>44499</v>
      </c>
      <c r="G1273" t="str">
        <f>"700065"</f>
        <v>700065</v>
      </c>
      <c r="H1273" t="str">
        <f>"אלתא מערכות בע""מ"</f>
        <v>אלתא מערכות בע"מ</v>
      </c>
      <c r="I1273" t="str">
        <f>"רחמים זרוק"</f>
        <v>רחמים זרוק</v>
      </c>
      <c r="J1273" t="str">
        <f>"OP-AR02684"</f>
        <v>OP-AR02684</v>
      </c>
      <c r="K1273" s="1" t="str">
        <f>"4043B632-001    HARNESS W632 - PDU TO GFEA BU POWER CABL"</f>
        <v>4043B632-001    HARNESS W632 - PDU TO GFEA BU POWER CABL</v>
      </c>
      <c r="L1273">
        <v>2</v>
      </c>
      <c r="M1273" t="str">
        <f>"PR21000546"</f>
        <v>PR21000546</v>
      </c>
      <c r="N1273" t="str">
        <f>"CABEL"</f>
        <v>CABEL</v>
      </c>
      <c r="O1273">
        <v>332.19</v>
      </c>
      <c r="P1273" t="str">
        <f>"$"</f>
        <v>$</v>
      </c>
      <c r="Q1273" t="str">
        <f>"117"</f>
        <v>117</v>
      </c>
      <c r="R1273" t="str">
        <f>"רתמות"</f>
        <v>רתמות</v>
      </c>
      <c r="S1273" t="str">
        <f>"040"</f>
        <v>040</v>
      </c>
      <c r="T1273" t="str">
        <f>"עמר ליגל"</f>
        <v>עמר ליגל</v>
      </c>
      <c r="U1273">
        <v>0</v>
      </c>
      <c r="V1273">
        <v>0</v>
      </c>
      <c r="W1273">
        <v>332.19</v>
      </c>
      <c r="X1273">
        <v>664.38</v>
      </c>
      <c r="Z1273" t="str">
        <f>"Y"</f>
        <v>Y</v>
      </c>
      <c r="AA1273">
        <v>0</v>
      </c>
      <c r="AC1273">
        <v>0</v>
      </c>
      <c r="AE1273">
        <v>0</v>
      </c>
      <c r="AF1273">
        <v>0</v>
      </c>
      <c r="AG1273" s="2">
        <v>1080.95</v>
      </c>
      <c r="AH1273">
        <v>0</v>
      </c>
      <c r="AI1273" s="2">
        <v>2161.89</v>
      </c>
      <c r="AJ1273">
        <v>664.38</v>
      </c>
      <c r="AK1273">
        <v>664.38</v>
      </c>
      <c r="AL1273" t="str">
        <f>"$"</f>
        <v>$</v>
      </c>
    </row>
    <row r="1274" spans="1:38" x14ac:dyDescent="0.3">
      <c r="A1274" t="str">
        <f>"SO21000348"</f>
        <v>SO21000348</v>
      </c>
      <c r="B1274" t="str">
        <f>"E000344246"</f>
        <v>E000344246</v>
      </c>
      <c r="C1274" t="str">
        <f>"הרכבה חלקית"</f>
        <v>הרכבה חלקית</v>
      </c>
      <c r="E1274" s="3">
        <v>44409</v>
      </c>
      <c r="F1274" s="3">
        <v>44489</v>
      </c>
      <c r="G1274" t="str">
        <f>"700065"</f>
        <v>700065</v>
      </c>
      <c r="H1274" t="str">
        <f>"אלתא מערכות בע""מ"</f>
        <v>אלתא מערכות בע"מ</v>
      </c>
      <c r="I1274" t="str">
        <f>"רחמים זרוק"</f>
        <v>רחמים זרוק</v>
      </c>
      <c r="J1274" t="str">
        <f>"OP-AR02685"</f>
        <v>OP-AR02685</v>
      </c>
      <c r="K1274" s="1" t="str">
        <f>"4043B634-001    HARNESS W634 - PDU TO GTRU BU CONTROL C"</f>
        <v>4043B634-001    HARNESS W634 - PDU TO GTRU BU CONTROL C</v>
      </c>
      <c r="L1274">
        <v>2</v>
      </c>
      <c r="M1274" t="str">
        <f>"PR21000546"</f>
        <v>PR21000546</v>
      </c>
      <c r="N1274" t="str">
        <f>"CABEL"</f>
        <v>CABEL</v>
      </c>
      <c r="O1274">
        <v>721.54</v>
      </c>
      <c r="P1274" t="str">
        <f>"$"</f>
        <v>$</v>
      </c>
      <c r="Q1274" t="str">
        <f>"117"</f>
        <v>117</v>
      </c>
      <c r="R1274" t="str">
        <f>"רתמות"</f>
        <v>רתמות</v>
      </c>
      <c r="S1274" t="str">
        <f>"040"</f>
        <v>040</v>
      </c>
      <c r="T1274" t="str">
        <f>"עמר ליגל"</f>
        <v>עמר ליגל</v>
      </c>
      <c r="U1274">
        <v>0</v>
      </c>
      <c r="V1274">
        <v>0</v>
      </c>
      <c r="W1274">
        <v>721.54</v>
      </c>
      <c r="X1274" s="2">
        <v>1443.08</v>
      </c>
      <c r="Z1274" t="str">
        <f>"Y"</f>
        <v>Y</v>
      </c>
      <c r="AA1274">
        <v>0</v>
      </c>
      <c r="AC1274">
        <v>0</v>
      </c>
      <c r="AE1274">
        <v>0</v>
      </c>
      <c r="AF1274">
        <v>0</v>
      </c>
      <c r="AG1274" s="2">
        <v>2347.89</v>
      </c>
      <c r="AH1274">
        <v>0</v>
      </c>
      <c r="AI1274" s="2">
        <v>4695.78</v>
      </c>
      <c r="AJ1274" s="2">
        <v>1443.08</v>
      </c>
      <c r="AK1274" s="2">
        <v>1443.08</v>
      </c>
      <c r="AL1274" t="str">
        <f>"$"</f>
        <v>$</v>
      </c>
    </row>
    <row r="1275" spans="1:38" x14ac:dyDescent="0.3">
      <c r="A1275" t="str">
        <f>"SO21000348"</f>
        <v>SO21000348</v>
      </c>
      <c r="B1275" t="str">
        <f>"E000344246"</f>
        <v>E000344246</v>
      </c>
      <c r="C1275" t="str">
        <f>"הרכבה חלקית"</f>
        <v>הרכבה חלקית</v>
      </c>
      <c r="E1275" s="3">
        <v>44409</v>
      </c>
      <c r="F1275" s="3">
        <v>44499</v>
      </c>
      <c r="G1275" t="str">
        <f>"700065"</f>
        <v>700065</v>
      </c>
      <c r="H1275" t="str">
        <f>"אלתא מערכות בע""מ"</f>
        <v>אלתא מערכות בע"מ</v>
      </c>
      <c r="I1275" t="str">
        <f>"רחמים זרוק"</f>
        <v>רחמים זרוק</v>
      </c>
      <c r="J1275" t="str">
        <f>"OP-AR02686"</f>
        <v>OP-AR02686</v>
      </c>
      <c r="K1275" s="1" t="str">
        <f>"4043B635-001    HARNESS W635 - GFEA BU TO PDU"</f>
        <v>4043B635-001    HARNESS W635 - GFEA BU TO PDU</v>
      </c>
      <c r="L1275">
        <v>2</v>
      </c>
      <c r="M1275" t="str">
        <f>"PR21000546"</f>
        <v>PR21000546</v>
      </c>
      <c r="N1275" t="str">
        <f>"CABEL"</f>
        <v>CABEL</v>
      </c>
      <c r="O1275">
        <v>339.25</v>
      </c>
      <c r="P1275" t="str">
        <f>"$"</f>
        <v>$</v>
      </c>
      <c r="Q1275" t="str">
        <f>"117"</f>
        <v>117</v>
      </c>
      <c r="R1275" t="str">
        <f>"רתמות"</f>
        <v>רתמות</v>
      </c>
      <c r="S1275" t="str">
        <f>"040"</f>
        <v>040</v>
      </c>
      <c r="T1275" t="str">
        <f>"עמר ליגל"</f>
        <v>עמר ליגל</v>
      </c>
      <c r="U1275">
        <v>0</v>
      </c>
      <c r="V1275">
        <v>0</v>
      </c>
      <c r="W1275">
        <v>339.25</v>
      </c>
      <c r="X1275">
        <v>678.5</v>
      </c>
      <c r="Z1275" t="str">
        <f>"Y"</f>
        <v>Y</v>
      </c>
      <c r="AA1275">
        <v>0</v>
      </c>
      <c r="AC1275">
        <v>0</v>
      </c>
      <c r="AE1275">
        <v>0</v>
      </c>
      <c r="AF1275">
        <v>0</v>
      </c>
      <c r="AG1275" s="2">
        <v>1103.92</v>
      </c>
      <c r="AH1275">
        <v>0</v>
      </c>
      <c r="AI1275" s="2">
        <v>2207.84</v>
      </c>
      <c r="AJ1275">
        <v>678.5</v>
      </c>
      <c r="AK1275">
        <v>678.5</v>
      </c>
      <c r="AL1275" t="str">
        <f>"$"</f>
        <v>$</v>
      </c>
    </row>
    <row r="1276" spans="1:38" x14ac:dyDescent="0.3">
      <c r="A1276" t="str">
        <f>"SO21000348"</f>
        <v>SO21000348</v>
      </c>
      <c r="B1276" t="str">
        <f>"E000344246"</f>
        <v>E000344246</v>
      </c>
      <c r="C1276" t="str">
        <f>"הרכבה חלקית"</f>
        <v>הרכבה חלקית</v>
      </c>
      <c r="E1276" s="3">
        <v>44409</v>
      </c>
      <c r="F1276" s="3">
        <v>44515</v>
      </c>
      <c r="G1276" t="str">
        <f>"700065"</f>
        <v>700065</v>
      </c>
      <c r="H1276" t="str">
        <f>"אלתא מערכות בע""מ"</f>
        <v>אלתא מערכות בע"מ</v>
      </c>
      <c r="I1276" t="str">
        <f>"רחמים זרוק"</f>
        <v>רחמים זרוק</v>
      </c>
      <c r="J1276" t="str">
        <f>"OP-AR02686"</f>
        <v>OP-AR02686</v>
      </c>
      <c r="K1276" s="1" t="str">
        <f>"4043B635-001    HARNESS W635 - GFEA BU TO PDU"</f>
        <v>4043B635-001    HARNESS W635 - GFEA BU TO PDU</v>
      </c>
      <c r="L1276">
        <v>5</v>
      </c>
      <c r="M1276" t="str">
        <f>"PR21000546"</f>
        <v>PR21000546</v>
      </c>
      <c r="N1276" t="str">
        <f>"CABEL"</f>
        <v>CABEL</v>
      </c>
      <c r="O1276">
        <v>339.25</v>
      </c>
      <c r="P1276" t="str">
        <f>"$"</f>
        <v>$</v>
      </c>
      <c r="Q1276" t="str">
        <f>"117"</f>
        <v>117</v>
      </c>
      <c r="R1276" t="str">
        <f>"רתמות"</f>
        <v>רתמות</v>
      </c>
      <c r="S1276" t="str">
        <f>"040"</f>
        <v>040</v>
      </c>
      <c r="T1276" t="str">
        <f>"עמר ליגל"</f>
        <v>עמר ליגל</v>
      </c>
      <c r="U1276">
        <v>0</v>
      </c>
      <c r="V1276">
        <v>0</v>
      </c>
      <c r="W1276">
        <v>339.25</v>
      </c>
      <c r="X1276" s="2">
        <v>1696.25</v>
      </c>
      <c r="Z1276" t="str">
        <f>"Y"</f>
        <v>Y</v>
      </c>
      <c r="AA1276">
        <v>0</v>
      </c>
      <c r="AC1276">
        <v>0</v>
      </c>
      <c r="AE1276">
        <v>0</v>
      </c>
      <c r="AF1276">
        <v>0</v>
      </c>
      <c r="AG1276" s="2">
        <v>1103.92</v>
      </c>
      <c r="AH1276">
        <v>0</v>
      </c>
      <c r="AI1276" s="2">
        <v>5519.6</v>
      </c>
      <c r="AJ1276" s="2">
        <v>1696.25</v>
      </c>
      <c r="AK1276" s="2">
        <v>1696.25</v>
      </c>
      <c r="AL1276" t="str">
        <f>"$"</f>
        <v>$</v>
      </c>
    </row>
    <row r="1277" spans="1:38" x14ac:dyDescent="0.3">
      <c r="A1277" t="str">
        <f>"SO21000348"</f>
        <v>SO21000348</v>
      </c>
      <c r="B1277" t="str">
        <f>"E000344246"</f>
        <v>E000344246</v>
      </c>
      <c r="C1277" t="str">
        <f>"הרכבה חלקית"</f>
        <v>הרכבה חלקית</v>
      </c>
      <c r="E1277" s="3">
        <v>44409</v>
      </c>
      <c r="F1277" s="3">
        <v>44515</v>
      </c>
      <c r="G1277" t="str">
        <f>"700065"</f>
        <v>700065</v>
      </c>
      <c r="H1277" t="str">
        <f>"אלתא מערכות בע""מ"</f>
        <v>אלתא מערכות בע"מ</v>
      </c>
      <c r="I1277" t="str">
        <f>"רחמים זרוק"</f>
        <v>רחמים זרוק</v>
      </c>
      <c r="J1277" t="str">
        <f>"OP-AR02682"</f>
        <v>OP-AR02682</v>
      </c>
      <c r="K1277" s="1" t="str">
        <f>"4043B630-001    HARNESS W630 - PDU TO GATU DC PWR DATA C"</f>
        <v>4043B630-001    HARNESS W630 - PDU TO GATU DC PWR DATA C</v>
      </c>
      <c r="L1277">
        <v>5</v>
      </c>
      <c r="M1277" t="str">
        <f>"PR21000546"</f>
        <v>PR21000546</v>
      </c>
      <c r="N1277" t="str">
        <f>"CABEL"</f>
        <v>CABEL</v>
      </c>
      <c r="O1277">
        <v>666.27</v>
      </c>
      <c r="P1277" t="str">
        <f>"$"</f>
        <v>$</v>
      </c>
      <c r="Q1277" t="str">
        <f>"117"</f>
        <v>117</v>
      </c>
      <c r="R1277" t="str">
        <f>"רתמות"</f>
        <v>רתמות</v>
      </c>
      <c r="S1277" t="str">
        <f>"040"</f>
        <v>040</v>
      </c>
      <c r="T1277" t="str">
        <f>"עמר ליגל"</f>
        <v>עמר ליגל</v>
      </c>
      <c r="U1277">
        <v>0</v>
      </c>
      <c r="V1277">
        <v>0</v>
      </c>
      <c r="W1277">
        <v>666.27</v>
      </c>
      <c r="X1277" s="2">
        <v>3331.35</v>
      </c>
      <c r="Z1277" t="str">
        <f>"Y"</f>
        <v>Y</v>
      </c>
      <c r="AA1277">
        <v>0</v>
      </c>
      <c r="AC1277">
        <v>0</v>
      </c>
      <c r="AE1277">
        <v>0</v>
      </c>
      <c r="AF1277">
        <v>0</v>
      </c>
      <c r="AG1277" s="2">
        <v>2168.04</v>
      </c>
      <c r="AH1277">
        <v>0</v>
      </c>
      <c r="AI1277" s="2">
        <v>10840.21</v>
      </c>
      <c r="AJ1277" s="2">
        <v>3331.35</v>
      </c>
      <c r="AK1277" s="2">
        <v>3331.35</v>
      </c>
      <c r="AL1277" t="str">
        <f>"$"</f>
        <v>$</v>
      </c>
    </row>
    <row r="1278" spans="1:38" x14ac:dyDescent="0.3">
      <c r="A1278" t="str">
        <f>"SO21000348"</f>
        <v>SO21000348</v>
      </c>
      <c r="B1278" t="str">
        <f>"E000344246"</f>
        <v>E000344246</v>
      </c>
      <c r="C1278" t="str">
        <f>"הרכבה חלקית"</f>
        <v>הרכבה חלקית</v>
      </c>
      <c r="E1278" s="3">
        <v>44409</v>
      </c>
      <c r="F1278" s="3">
        <v>44515</v>
      </c>
      <c r="G1278" t="str">
        <f>"700065"</f>
        <v>700065</v>
      </c>
      <c r="H1278" t="str">
        <f>"אלתא מערכות בע""מ"</f>
        <v>אלתא מערכות בע"מ</v>
      </c>
      <c r="I1278" t="str">
        <f>"רחמים זרוק"</f>
        <v>רחמים זרוק</v>
      </c>
      <c r="J1278" t="str">
        <f>"OP-AR02683"</f>
        <v>OP-AR02683</v>
      </c>
      <c r="K1278" s="1" t="str">
        <f>"4043B631-001   HARNESS W631 - GTRU BU AND FAN POWER TO"</f>
        <v>4043B631-001   HARNESS W631 - GTRU BU AND FAN POWER TO</v>
      </c>
      <c r="L1278">
        <v>5</v>
      </c>
      <c r="M1278" t="str">
        <f>"PR21000546"</f>
        <v>PR21000546</v>
      </c>
      <c r="N1278" t="str">
        <f>"CABEL"</f>
        <v>CABEL</v>
      </c>
      <c r="O1278">
        <v>364.96</v>
      </c>
      <c r="P1278" t="str">
        <f>"$"</f>
        <v>$</v>
      </c>
      <c r="Q1278" t="str">
        <f>"117"</f>
        <v>117</v>
      </c>
      <c r="R1278" t="str">
        <f>"רתמות"</f>
        <v>רתמות</v>
      </c>
      <c r="S1278" t="str">
        <f>"040"</f>
        <v>040</v>
      </c>
      <c r="T1278" t="str">
        <f>"עמר ליגל"</f>
        <v>עמר ליגל</v>
      </c>
      <c r="U1278">
        <v>0</v>
      </c>
      <c r="V1278">
        <v>0</v>
      </c>
      <c r="W1278">
        <v>364.96</v>
      </c>
      <c r="X1278" s="2">
        <v>1824.8</v>
      </c>
      <c r="Z1278" t="str">
        <f>"Y"</f>
        <v>Y</v>
      </c>
      <c r="AA1278">
        <v>0</v>
      </c>
      <c r="AC1278">
        <v>0</v>
      </c>
      <c r="AE1278">
        <v>0</v>
      </c>
      <c r="AF1278">
        <v>0</v>
      </c>
      <c r="AG1278" s="2">
        <v>1187.58</v>
      </c>
      <c r="AH1278">
        <v>0</v>
      </c>
      <c r="AI1278" s="2">
        <v>5937.9</v>
      </c>
      <c r="AJ1278" s="2">
        <v>1824.8</v>
      </c>
      <c r="AK1278" s="2">
        <v>1824.8</v>
      </c>
      <c r="AL1278" t="str">
        <f>"$"</f>
        <v>$</v>
      </c>
    </row>
    <row r="1279" spans="1:38" x14ac:dyDescent="0.3">
      <c r="A1279" t="str">
        <f>"SO21000348"</f>
        <v>SO21000348</v>
      </c>
      <c r="B1279" t="str">
        <f>"E000344246"</f>
        <v>E000344246</v>
      </c>
      <c r="C1279" t="str">
        <f>"הרכבה חלקית"</f>
        <v>הרכבה חלקית</v>
      </c>
      <c r="E1279" s="3">
        <v>44409</v>
      </c>
      <c r="F1279" s="3">
        <v>44515</v>
      </c>
      <c r="G1279" t="str">
        <f>"700065"</f>
        <v>700065</v>
      </c>
      <c r="H1279" t="str">
        <f>"אלתא מערכות בע""מ"</f>
        <v>אלתא מערכות בע"מ</v>
      </c>
      <c r="I1279" t="str">
        <f>"רחמים זרוק"</f>
        <v>רחמים זרוק</v>
      </c>
      <c r="J1279" t="str">
        <f>"OP-AR02684"</f>
        <v>OP-AR02684</v>
      </c>
      <c r="K1279" s="1" t="str">
        <f>"4043B632-001    HARNESS W632 - PDU TO GFEA BU POWER CABL"</f>
        <v>4043B632-001    HARNESS W632 - PDU TO GFEA BU POWER CABL</v>
      </c>
      <c r="L1279">
        <v>5</v>
      </c>
      <c r="M1279" t="str">
        <f>"PR21000546"</f>
        <v>PR21000546</v>
      </c>
      <c r="N1279" t="str">
        <f>"CABEL"</f>
        <v>CABEL</v>
      </c>
      <c r="O1279">
        <v>332.19</v>
      </c>
      <c r="P1279" t="str">
        <f>"$"</f>
        <v>$</v>
      </c>
      <c r="Q1279" t="str">
        <f>"117"</f>
        <v>117</v>
      </c>
      <c r="R1279" t="str">
        <f>"רתמות"</f>
        <v>רתמות</v>
      </c>
      <c r="S1279" t="str">
        <f>"040"</f>
        <v>040</v>
      </c>
      <c r="T1279" t="str">
        <f>"עמר ליגל"</f>
        <v>עמר ליגל</v>
      </c>
      <c r="U1279">
        <v>0</v>
      </c>
      <c r="V1279">
        <v>0</v>
      </c>
      <c r="W1279">
        <v>332.19</v>
      </c>
      <c r="X1279" s="2">
        <v>1660.95</v>
      </c>
      <c r="Z1279" t="str">
        <f>"Y"</f>
        <v>Y</v>
      </c>
      <c r="AA1279">
        <v>0</v>
      </c>
      <c r="AC1279">
        <v>0</v>
      </c>
      <c r="AE1279">
        <v>0</v>
      </c>
      <c r="AF1279">
        <v>0</v>
      </c>
      <c r="AG1279" s="2">
        <v>1080.95</v>
      </c>
      <c r="AH1279">
        <v>0</v>
      </c>
      <c r="AI1279" s="2">
        <v>5404.73</v>
      </c>
      <c r="AJ1279" s="2">
        <v>1660.95</v>
      </c>
      <c r="AK1279" s="2">
        <v>1660.95</v>
      </c>
      <c r="AL1279" t="str">
        <f>"$"</f>
        <v>$</v>
      </c>
    </row>
    <row r="1280" spans="1:38" x14ac:dyDescent="0.3">
      <c r="A1280" t="str">
        <f>"SO21000348"</f>
        <v>SO21000348</v>
      </c>
      <c r="B1280" t="str">
        <f>"E000344246"</f>
        <v>E000344246</v>
      </c>
      <c r="C1280" t="str">
        <f>"הרכבה חלקית"</f>
        <v>הרכבה חלקית</v>
      </c>
      <c r="E1280" s="3">
        <v>44409</v>
      </c>
      <c r="F1280" s="3">
        <v>44515</v>
      </c>
      <c r="G1280" t="str">
        <f>"700065"</f>
        <v>700065</v>
      </c>
      <c r="H1280" t="str">
        <f>"אלתא מערכות בע""מ"</f>
        <v>אלתא מערכות בע"מ</v>
      </c>
      <c r="I1280" t="str">
        <f>"רחמים זרוק"</f>
        <v>רחמים זרוק</v>
      </c>
      <c r="J1280" t="str">
        <f>"OP-AR02685"</f>
        <v>OP-AR02685</v>
      </c>
      <c r="K1280" s="1" t="str">
        <f>"4043B634-001    HARNESS W634 - PDU TO GTRU BU CONTROL C"</f>
        <v>4043B634-001    HARNESS W634 - PDU TO GTRU BU CONTROL C</v>
      </c>
      <c r="L1280">
        <v>5</v>
      </c>
      <c r="M1280" t="str">
        <f>"PR21000546"</f>
        <v>PR21000546</v>
      </c>
      <c r="N1280" t="str">
        <f>"CABEL"</f>
        <v>CABEL</v>
      </c>
      <c r="O1280">
        <v>721.54</v>
      </c>
      <c r="P1280" t="str">
        <f>"$"</f>
        <v>$</v>
      </c>
      <c r="Q1280" t="str">
        <f>"117"</f>
        <v>117</v>
      </c>
      <c r="R1280" t="str">
        <f>"רתמות"</f>
        <v>רתמות</v>
      </c>
      <c r="S1280" t="str">
        <f>"040"</f>
        <v>040</v>
      </c>
      <c r="T1280" t="str">
        <f>"עמר ליגל"</f>
        <v>עמר ליגל</v>
      </c>
      <c r="U1280">
        <v>0</v>
      </c>
      <c r="V1280">
        <v>0</v>
      </c>
      <c r="W1280">
        <v>721.54</v>
      </c>
      <c r="X1280" s="2">
        <v>3607.7</v>
      </c>
      <c r="Z1280" t="str">
        <f>"Y"</f>
        <v>Y</v>
      </c>
      <c r="AA1280">
        <v>0</v>
      </c>
      <c r="AC1280">
        <v>0</v>
      </c>
      <c r="AE1280">
        <v>0</v>
      </c>
      <c r="AF1280">
        <v>0</v>
      </c>
      <c r="AG1280" s="2">
        <v>2347.89</v>
      </c>
      <c r="AH1280">
        <v>0</v>
      </c>
      <c r="AI1280" s="2">
        <v>11739.46</v>
      </c>
      <c r="AJ1280" s="2">
        <v>3607.7</v>
      </c>
      <c r="AK1280" s="2">
        <v>3607.7</v>
      </c>
      <c r="AL1280" t="str">
        <f>"$"</f>
        <v>$</v>
      </c>
    </row>
    <row r="1281" spans="1:38" x14ac:dyDescent="0.3">
      <c r="A1281" t="str">
        <f>"SO21000351"</f>
        <v>SO21000351</v>
      </c>
      <c r="B1281" t="str">
        <f>"E000342961"</f>
        <v>E000342961</v>
      </c>
      <c r="C1281" t="str">
        <f>"בוצעה"</f>
        <v>בוצעה</v>
      </c>
      <c r="E1281" s="3">
        <v>44409</v>
      </c>
      <c r="F1281" s="3">
        <v>44469</v>
      </c>
      <c r="G1281" t="str">
        <f>"700065"</f>
        <v>700065</v>
      </c>
      <c r="H1281" t="str">
        <f>"אלתא מערכות בע""מ"</f>
        <v>אלתא מערכות בע"מ</v>
      </c>
      <c r="I1281" t="str">
        <f>"רחמים זרוק"</f>
        <v>רחמים זרוק</v>
      </c>
      <c r="J1281" t="str">
        <f>"OP-AR02681"</f>
        <v>OP-AR02681</v>
      </c>
      <c r="K1281" s="1" t="str">
        <f>"שדרוג כבלים מהזמנה E000326481"</f>
        <v>שדרוג כבלים מהזמנה E000326481</v>
      </c>
      <c r="L1281">
        <v>1</v>
      </c>
      <c r="M1281" t="str">
        <f>"PR20000851"</f>
        <v>PR20000851</v>
      </c>
      <c r="N1281" t="str">
        <f>"ייצור כבלים"</f>
        <v>ייצור כבלים</v>
      </c>
      <c r="O1281" s="2">
        <v>8932.35</v>
      </c>
      <c r="P1281" t="str">
        <f>"$"</f>
        <v>$</v>
      </c>
      <c r="Q1281" t="str">
        <f>"117"</f>
        <v>117</v>
      </c>
      <c r="R1281" t="str">
        <f>"רתמות"</f>
        <v>רתמות</v>
      </c>
      <c r="S1281" t="str">
        <f>"040"</f>
        <v>040</v>
      </c>
      <c r="T1281" t="str">
        <f>"עמר ליגל"</f>
        <v>עמר ליגל</v>
      </c>
      <c r="U1281">
        <v>0</v>
      </c>
      <c r="V1281">
        <v>0</v>
      </c>
      <c r="W1281" s="2">
        <v>8932.35</v>
      </c>
      <c r="X1281" s="2">
        <v>8932.35</v>
      </c>
      <c r="Z1281" t="str">
        <f>"Y"</f>
        <v>Y</v>
      </c>
      <c r="AA1281">
        <v>1</v>
      </c>
      <c r="AC1281">
        <v>0</v>
      </c>
      <c r="AE1281">
        <v>0</v>
      </c>
      <c r="AF1281">
        <v>0</v>
      </c>
      <c r="AG1281" s="2">
        <v>29065.87</v>
      </c>
      <c r="AH1281">
        <v>0</v>
      </c>
      <c r="AI1281" s="2">
        <v>29065.87</v>
      </c>
      <c r="AJ1281" s="2">
        <v>8932.35</v>
      </c>
      <c r="AK1281" s="2">
        <v>8932.35</v>
      </c>
      <c r="AL1281" t="str">
        <f>"$"</f>
        <v>$</v>
      </c>
    </row>
    <row r="1282" spans="1:38" x14ac:dyDescent="0.3">
      <c r="A1282" t="str">
        <f>"SO21000353"</f>
        <v>SO21000353</v>
      </c>
      <c r="B1282" t="str">
        <f>"E000344074"</f>
        <v>E000344074</v>
      </c>
      <c r="C1282" t="str">
        <f>"בוצעה"</f>
        <v>בוצעה</v>
      </c>
      <c r="E1282" s="3">
        <v>44410</v>
      </c>
      <c r="F1282" s="3">
        <v>44622</v>
      </c>
      <c r="G1282" t="str">
        <f>"700065"</f>
        <v>700065</v>
      </c>
      <c r="H1282" t="str">
        <f>"אלתא מערכות בע""מ"</f>
        <v>אלתא מערכות בע"מ</v>
      </c>
      <c r="I1282" t="str">
        <f>"רוני דידי"</f>
        <v>רוני דידי</v>
      </c>
      <c r="J1282" t="str">
        <f>"OP-AR02844"</f>
        <v>OP-AR02844</v>
      </c>
      <c r="K1282" s="1" t="str">
        <f>"PDB UNITטל שמיים"</f>
        <v>PDB UNITטל שמיים</v>
      </c>
      <c r="L1282">
        <v>1</v>
      </c>
      <c r="M1282" t="str">
        <f>"PR21000541"</f>
        <v>PR21000541</v>
      </c>
      <c r="N1282" t="str">
        <f>"PDB UNIT שדרוג טל שמיים"</f>
        <v>PDB UNIT שדרוג טל שמיים</v>
      </c>
      <c r="O1282" s="2">
        <v>67097.600000000006</v>
      </c>
      <c r="P1282" t="str">
        <f>"$"</f>
        <v>$</v>
      </c>
      <c r="Q1282" t="str">
        <f>"118"</f>
        <v>118</v>
      </c>
      <c r="R1282" t="str">
        <f>"מערכות"</f>
        <v>מערכות</v>
      </c>
      <c r="S1282" t="str">
        <f>"007"</f>
        <v>007</v>
      </c>
      <c r="T1282" t="str">
        <f>"עמר ליגל"</f>
        <v>עמר ליגל</v>
      </c>
      <c r="U1282">
        <v>0</v>
      </c>
      <c r="V1282">
        <v>0</v>
      </c>
      <c r="W1282" s="2">
        <v>67097.600000000006</v>
      </c>
      <c r="X1282" s="2">
        <v>67097.600000000006</v>
      </c>
      <c r="Z1282" t="str">
        <f>"Y"</f>
        <v>Y</v>
      </c>
      <c r="AA1282">
        <v>0</v>
      </c>
      <c r="AC1282">
        <v>0</v>
      </c>
      <c r="AE1282">
        <v>0</v>
      </c>
      <c r="AF1282">
        <v>0</v>
      </c>
      <c r="AG1282" s="2">
        <v>218335.59</v>
      </c>
      <c r="AH1282">
        <v>0</v>
      </c>
      <c r="AI1282" s="2">
        <v>218335.59</v>
      </c>
      <c r="AJ1282" s="2">
        <v>67097.600000000006</v>
      </c>
      <c r="AK1282" s="2">
        <v>67097.600000000006</v>
      </c>
      <c r="AL1282" t="str">
        <f>"$"</f>
        <v>$</v>
      </c>
    </row>
    <row r="1283" spans="1:38" x14ac:dyDescent="0.3">
      <c r="A1283" t="str">
        <f>"SO21000361"</f>
        <v>SO21000361</v>
      </c>
      <c r="B1283" t="str">
        <f>"E000344376"</f>
        <v>E000344376</v>
      </c>
      <c r="C1283" t="str">
        <f>"בוצעה"</f>
        <v>בוצעה</v>
      </c>
      <c r="E1283" s="3">
        <v>44413</v>
      </c>
      <c r="F1283" s="3">
        <v>44560</v>
      </c>
      <c r="G1283" t="str">
        <f>"700065"</f>
        <v>700065</v>
      </c>
      <c r="H1283" t="str">
        <f>"אלתא מערכות בע""מ"</f>
        <v>אלתא מערכות בע"מ</v>
      </c>
      <c r="I1283" t="str">
        <f>"רחמים זרוק"</f>
        <v>רחמים זרוק</v>
      </c>
      <c r="J1283" t="str">
        <f>"OP-AR02687"</f>
        <v>OP-AR02687</v>
      </c>
      <c r="K1283" s="1" t="str">
        <f>"1033A447-001    HARNESS WK001 - POWER - MAIN"</f>
        <v>1033A447-001    HARNESS WK001 - POWER - MAIN</v>
      </c>
      <c r="L1283">
        <v>1</v>
      </c>
      <c r="M1283" t="str">
        <f>"PR21000562"</f>
        <v>PR21000562</v>
      </c>
      <c r="N1283" t="str">
        <f>"HARNESS"</f>
        <v>HARNESS</v>
      </c>
      <c r="O1283" s="2">
        <v>1076.8499999999999</v>
      </c>
      <c r="P1283" t="str">
        <f>"$"</f>
        <v>$</v>
      </c>
      <c r="Q1283" t="str">
        <f>"117"</f>
        <v>117</v>
      </c>
      <c r="R1283" t="str">
        <f>"רתמות"</f>
        <v>רתמות</v>
      </c>
      <c r="S1283" t="str">
        <f>"040"</f>
        <v>040</v>
      </c>
      <c r="T1283" t="str">
        <f>"עמר ליגל"</f>
        <v>עמר ליגל</v>
      </c>
      <c r="U1283">
        <v>0</v>
      </c>
      <c r="V1283">
        <v>0</v>
      </c>
      <c r="W1283" s="2">
        <v>1076.8499999999999</v>
      </c>
      <c r="X1283" s="2">
        <v>1076.8499999999999</v>
      </c>
      <c r="Z1283" t="str">
        <f>"Y"</f>
        <v>Y</v>
      </c>
      <c r="AA1283">
        <v>0</v>
      </c>
      <c r="AC1283">
        <v>0</v>
      </c>
      <c r="AE1283">
        <v>0</v>
      </c>
      <c r="AF1283">
        <v>0</v>
      </c>
      <c r="AG1283" s="2">
        <v>3504.07</v>
      </c>
      <c r="AH1283">
        <v>0</v>
      </c>
      <c r="AI1283" s="2">
        <v>3504.07</v>
      </c>
      <c r="AJ1283" s="2">
        <v>1076.8499999999999</v>
      </c>
      <c r="AK1283" s="2">
        <v>1076.8499999999999</v>
      </c>
      <c r="AL1283" t="str">
        <f>"$"</f>
        <v>$</v>
      </c>
    </row>
    <row r="1284" spans="1:38" x14ac:dyDescent="0.3">
      <c r="A1284" t="str">
        <f>"SO21000361"</f>
        <v>SO21000361</v>
      </c>
      <c r="B1284" t="str">
        <f>"E000344376"</f>
        <v>E000344376</v>
      </c>
      <c r="C1284" t="str">
        <f>"בוצעה"</f>
        <v>בוצעה</v>
      </c>
      <c r="E1284" s="3">
        <v>44413</v>
      </c>
      <c r="F1284" s="3">
        <v>44560</v>
      </c>
      <c r="G1284" t="str">
        <f>"700065"</f>
        <v>700065</v>
      </c>
      <c r="H1284" t="str">
        <f>"אלתא מערכות בע""מ"</f>
        <v>אלתא מערכות בע"מ</v>
      </c>
      <c r="I1284" t="str">
        <f>"רחמים זרוק"</f>
        <v>רחמים זרוק</v>
      </c>
      <c r="J1284" t="str">
        <f>"OP-AR02687"</f>
        <v>OP-AR02687</v>
      </c>
      <c r="K1284" s="1" t="str">
        <f>"1033A447-001    HARNESS WK001 - POWER - MAIN"</f>
        <v>1033A447-001    HARNESS WK001 - POWER - MAIN</v>
      </c>
      <c r="L1284">
        <v>2</v>
      </c>
      <c r="M1284" t="str">
        <f>"PR21000562"</f>
        <v>PR21000562</v>
      </c>
      <c r="N1284" t="str">
        <f>"HARNESS"</f>
        <v>HARNESS</v>
      </c>
      <c r="O1284" s="2">
        <v>1076.8499999999999</v>
      </c>
      <c r="P1284" t="str">
        <f>"$"</f>
        <v>$</v>
      </c>
      <c r="Q1284" t="str">
        <f>"117"</f>
        <v>117</v>
      </c>
      <c r="R1284" t="str">
        <f>"רתמות"</f>
        <v>רתמות</v>
      </c>
      <c r="S1284" t="str">
        <f>"040"</f>
        <v>040</v>
      </c>
      <c r="T1284" t="str">
        <f>"עמר ליגל"</f>
        <v>עמר ליגל</v>
      </c>
      <c r="U1284">
        <v>0</v>
      </c>
      <c r="V1284">
        <v>0</v>
      </c>
      <c r="W1284" s="2">
        <v>1076.8499999999999</v>
      </c>
      <c r="X1284" s="2">
        <v>2153.6999999999998</v>
      </c>
      <c r="Z1284" t="str">
        <f>"Y"</f>
        <v>Y</v>
      </c>
      <c r="AA1284">
        <v>0</v>
      </c>
      <c r="AC1284">
        <v>0</v>
      </c>
      <c r="AE1284">
        <v>0</v>
      </c>
      <c r="AF1284">
        <v>0</v>
      </c>
      <c r="AG1284" s="2">
        <v>3504.07</v>
      </c>
      <c r="AH1284">
        <v>0</v>
      </c>
      <c r="AI1284" s="2">
        <v>7008.14</v>
      </c>
      <c r="AJ1284" s="2">
        <v>2153.6999999999998</v>
      </c>
      <c r="AK1284" s="2">
        <v>2153.6999999999998</v>
      </c>
      <c r="AL1284" t="str">
        <f>"$"</f>
        <v>$</v>
      </c>
    </row>
    <row r="1285" spans="1:38" x14ac:dyDescent="0.3">
      <c r="A1285" t="str">
        <f>"SO21000361"</f>
        <v>SO21000361</v>
      </c>
      <c r="B1285" t="str">
        <f>"E000344376"</f>
        <v>E000344376</v>
      </c>
      <c r="C1285" t="str">
        <f>"בוצעה"</f>
        <v>בוצעה</v>
      </c>
      <c r="E1285" s="3">
        <v>44413</v>
      </c>
      <c r="F1285" s="3">
        <v>44560</v>
      </c>
      <c r="G1285" t="str">
        <f>"700065"</f>
        <v>700065</v>
      </c>
      <c r="H1285" t="str">
        <f>"אלתא מערכות בע""מ"</f>
        <v>אלתא מערכות בע"מ</v>
      </c>
      <c r="I1285" t="str">
        <f>"רחמים זרוק"</f>
        <v>רחמים זרוק</v>
      </c>
      <c r="J1285" t="str">
        <f>"OP-AR02688"</f>
        <v>OP-AR02688</v>
      </c>
      <c r="K1285" s="1" t="str">
        <f>"1037M802-001    HARNESS W0002 - POWER - PS TO SMR LEFT"</f>
        <v>1037M802-001    HARNESS W0002 - POWER - PS TO SMR LEFT</v>
      </c>
      <c r="L1285">
        <v>1</v>
      </c>
      <c r="M1285" t="str">
        <f>"PR21000562"</f>
        <v>PR21000562</v>
      </c>
      <c r="N1285" t="str">
        <f>"HARNESS"</f>
        <v>HARNESS</v>
      </c>
      <c r="O1285" s="2">
        <v>1260.77</v>
      </c>
      <c r="P1285" t="str">
        <f>"$"</f>
        <v>$</v>
      </c>
      <c r="Q1285" t="str">
        <f>"117"</f>
        <v>117</v>
      </c>
      <c r="R1285" t="str">
        <f>"רתמות"</f>
        <v>רתמות</v>
      </c>
      <c r="S1285" t="str">
        <f>"040"</f>
        <v>040</v>
      </c>
      <c r="T1285" t="str">
        <f>"עמר ליגל"</f>
        <v>עמר ליגל</v>
      </c>
      <c r="U1285">
        <v>0</v>
      </c>
      <c r="V1285">
        <v>0</v>
      </c>
      <c r="W1285" s="2">
        <v>1260.77</v>
      </c>
      <c r="X1285" s="2">
        <v>1260.77</v>
      </c>
      <c r="Z1285" t="str">
        <f>"Y"</f>
        <v>Y</v>
      </c>
      <c r="AA1285">
        <v>0</v>
      </c>
      <c r="AC1285">
        <v>0</v>
      </c>
      <c r="AE1285">
        <v>0</v>
      </c>
      <c r="AF1285">
        <v>0</v>
      </c>
      <c r="AG1285" s="2">
        <v>4102.55</v>
      </c>
      <c r="AH1285">
        <v>0</v>
      </c>
      <c r="AI1285" s="2">
        <v>4102.55</v>
      </c>
      <c r="AJ1285" s="2">
        <v>1260.77</v>
      </c>
      <c r="AK1285" s="2">
        <v>1260.77</v>
      </c>
      <c r="AL1285" t="str">
        <f>"$"</f>
        <v>$</v>
      </c>
    </row>
    <row r="1286" spans="1:38" x14ac:dyDescent="0.3">
      <c r="A1286" t="str">
        <f>"SO21000361"</f>
        <v>SO21000361</v>
      </c>
      <c r="B1286" t="str">
        <f>"E000344376"</f>
        <v>E000344376</v>
      </c>
      <c r="C1286" t="str">
        <f>"בוצעה"</f>
        <v>בוצעה</v>
      </c>
      <c r="E1286" s="3">
        <v>44413</v>
      </c>
      <c r="F1286" s="3">
        <v>44560</v>
      </c>
      <c r="G1286" t="str">
        <f>"700065"</f>
        <v>700065</v>
      </c>
      <c r="H1286" t="str">
        <f>"אלתא מערכות בע""מ"</f>
        <v>אלתא מערכות בע"מ</v>
      </c>
      <c r="I1286" t="str">
        <f>"רחמים זרוק"</f>
        <v>רחמים זרוק</v>
      </c>
      <c r="J1286" t="str">
        <f>"OP-AR02688"</f>
        <v>OP-AR02688</v>
      </c>
      <c r="K1286" s="1" t="str">
        <f>"1037M802-001    HARNESS W0002 - POWER - PS TO SMR LEFT"</f>
        <v>1037M802-001    HARNESS W0002 - POWER - PS TO SMR LEFT</v>
      </c>
      <c r="L1286">
        <v>2</v>
      </c>
      <c r="M1286" t="str">
        <f>"PR21000562"</f>
        <v>PR21000562</v>
      </c>
      <c r="N1286" t="str">
        <f>"HARNESS"</f>
        <v>HARNESS</v>
      </c>
      <c r="O1286" s="2">
        <v>1260.77</v>
      </c>
      <c r="P1286" t="str">
        <f>"$"</f>
        <v>$</v>
      </c>
      <c r="Q1286" t="str">
        <f>"117"</f>
        <v>117</v>
      </c>
      <c r="R1286" t="str">
        <f>"רתמות"</f>
        <v>רתמות</v>
      </c>
      <c r="S1286" t="str">
        <f>"040"</f>
        <v>040</v>
      </c>
      <c r="T1286" t="str">
        <f>"עמר ליגל"</f>
        <v>עמר ליגל</v>
      </c>
      <c r="U1286">
        <v>0</v>
      </c>
      <c r="V1286">
        <v>0</v>
      </c>
      <c r="W1286" s="2">
        <v>1260.77</v>
      </c>
      <c r="X1286" s="2">
        <v>2521.54</v>
      </c>
      <c r="Z1286" t="str">
        <f>"Y"</f>
        <v>Y</v>
      </c>
      <c r="AA1286">
        <v>0</v>
      </c>
      <c r="AC1286">
        <v>0</v>
      </c>
      <c r="AE1286">
        <v>0</v>
      </c>
      <c r="AF1286">
        <v>0</v>
      </c>
      <c r="AG1286" s="2">
        <v>4102.55</v>
      </c>
      <c r="AH1286">
        <v>0</v>
      </c>
      <c r="AI1286" s="2">
        <v>8205.09</v>
      </c>
      <c r="AJ1286" s="2">
        <v>2521.54</v>
      </c>
      <c r="AK1286" s="2">
        <v>2521.54</v>
      </c>
      <c r="AL1286" t="str">
        <f>"$"</f>
        <v>$</v>
      </c>
    </row>
    <row r="1287" spans="1:38" x14ac:dyDescent="0.3">
      <c r="A1287" t="str">
        <f>"SO21000361"</f>
        <v>SO21000361</v>
      </c>
      <c r="B1287" t="str">
        <f>"E000344376"</f>
        <v>E000344376</v>
      </c>
      <c r="C1287" t="str">
        <f>"בוצעה"</f>
        <v>בוצעה</v>
      </c>
      <c r="E1287" s="3">
        <v>44413</v>
      </c>
      <c r="F1287" s="3">
        <v>44560</v>
      </c>
      <c r="G1287" t="str">
        <f>"700065"</f>
        <v>700065</v>
      </c>
      <c r="H1287" t="str">
        <f>"אלתא מערכות בע""מ"</f>
        <v>אלתא מערכות בע"מ</v>
      </c>
      <c r="I1287" t="str">
        <f>"רחמים זרוק"</f>
        <v>רחמים זרוק</v>
      </c>
      <c r="J1287" t="str">
        <f>"OP-AR02241"</f>
        <v>OP-AR02241</v>
      </c>
      <c r="K1287" s="1" t="str">
        <f>"1037M832-001   FAN BASE WIRING"</f>
        <v>1037M832-001   FAN BASE WIRING</v>
      </c>
      <c r="L1287">
        <v>2</v>
      </c>
      <c r="M1287" t="str">
        <f>"PR21000562"</f>
        <v>PR21000562</v>
      </c>
      <c r="N1287" t="str">
        <f>"HARNESS"</f>
        <v>HARNESS</v>
      </c>
      <c r="O1287">
        <v>620.57000000000005</v>
      </c>
      <c r="P1287" t="str">
        <f>"$"</f>
        <v>$</v>
      </c>
      <c r="Q1287" t="str">
        <f>"117"</f>
        <v>117</v>
      </c>
      <c r="R1287" t="str">
        <f>"רתמות"</f>
        <v>רתמות</v>
      </c>
      <c r="S1287" t="str">
        <f>"040"</f>
        <v>040</v>
      </c>
      <c r="T1287" t="str">
        <f>"עמר ליגל"</f>
        <v>עמר ליגל</v>
      </c>
      <c r="U1287">
        <v>0</v>
      </c>
      <c r="V1287">
        <v>0</v>
      </c>
      <c r="W1287">
        <v>620.57000000000005</v>
      </c>
      <c r="X1287" s="2">
        <v>1241.1400000000001</v>
      </c>
      <c r="Z1287" t="str">
        <f>"Y"</f>
        <v>Y</v>
      </c>
      <c r="AA1287">
        <v>0</v>
      </c>
      <c r="AC1287">
        <v>0</v>
      </c>
      <c r="AE1287">
        <v>0</v>
      </c>
      <c r="AF1287">
        <v>0</v>
      </c>
      <c r="AG1287" s="2">
        <v>2019.33</v>
      </c>
      <c r="AH1287">
        <v>0</v>
      </c>
      <c r="AI1287" s="2">
        <v>4038.67</v>
      </c>
      <c r="AJ1287" s="2">
        <v>1241.1400000000001</v>
      </c>
      <c r="AK1287" s="2">
        <v>1241.1400000000001</v>
      </c>
      <c r="AL1287" t="str">
        <f>"$"</f>
        <v>$</v>
      </c>
    </row>
    <row r="1288" spans="1:38" x14ac:dyDescent="0.3">
      <c r="A1288" t="str">
        <f>"SO21000361"</f>
        <v>SO21000361</v>
      </c>
      <c r="B1288" t="str">
        <f>"E000344376"</f>
        <v>E000344376</v>
      </c>
      <c r="C1288" t="str">
        <f>"בוצעה"</f>
        <v>בוצעה</v>
      </c>
      <c r="E1288" s="3">
        <v>44413</v>
      </c>
      <c r="F1288" s="3">
        <v>44560</v>
      </c>
      <c r="G1288" t="str">
        <f>"700065"</f>
        <v>700065</v>
      </c>
      <c r="H1288" t="str">
        <f>"אלתא מערכות בע""מ"</f>
        <v>אלתא מערכות בע"מ</v>
      </c>
      <c r="I1288" t="str">
        <f>"רחמים זרוק"</f>
        <v>רחמים זרוק</v>
      </c>
      <c r="J1288" t="str">
        <f>"OP-AR02241"</f>
        <v>OP-AR02241</v>
      </c>
      <c r="K1288" s="1" t="str">
        <f>"1037M832-001   FAN BASE WIRING"</f>
        <v>1037M832-001   FAN BASE WIRING</v>
      </c>
      <c r="L1288">
        <v>4</v>
      </c>
      <c r="M1288" t="str">
        <f>"PR21000562"</f>
        <v>PR21000562</v>
      </c>
      <c r="N1288" t="str">
        <f>"HARNESS"</f>
        <v>HARNESS</v>
      </c>
      <c r="O1288">
        <v>620.57000000000005</v>
      </c>
      <c r="P1288" t="str">
        <f>"$"</f>
        <v>$</v>
      </c>
      <c r="Q1288" t="str">
        <f>"117"</f>
        <v>117</v>
      </c>
      <c r="R1288" t="str">
        <f>"רתמות"</f>
        <v>רתמות</v>
      </c>
      <c r="S1288" t="str">
        <f>"040"</f>
        <v>040</v>
      </c>
      <c r="T1288" t="str">
        <f>"עמר ליגל"</f>
        <v>עמר ליגל</v>
      </c>
      <c r="U1288">
        <v>0</v>
      </c>
      <c r="V1288">
        <v>0</v>
      </c>
      <c r="W1288">
        <v>620.57000000000005</v>
      </c>
      <c r="X1288" s="2">
        <v>2482.2800000000002</v>
      </c>
      <c r="Z1288" t="str">
        <f>"Y"</f>
        <v>Y</v>
      </c>
      <c r="AA1288">
        <v>0</v>
      </c>
      <c r="AC1288">
        <v>0</v>
      </c>
      <c r="AE1288">
        <v>0</v>
      </c>
      <c r="AF1288">
        <v>0</v>
      </c>
      <c r="AG1288" s="2">
        <v>2019.33</v>
      </c>
      <c r="AH1288">
        <v>0</v>
      </c>
      <c r="AI1288" s="2">
        <v>8077.34</v>
      </c>
      <c r="AJ1288" s="2">
        <v>2482.2800000000002</v>
      </c>
      <c r="AK1288" s="2">
        <v>2482.2800000000002</v>
      </c>
      <c r="AL1288" t="str">
        <f>"$"</f>
        <v>$</v>
      </c>
    </row>
    <row r="1289" spans="1:38" x14ac:dyDescent="0.3">
      <c r="A1289" t="str">
        <f>"SO21000361"</f>
        <v>SO21000361</v>
      </c>
      <c r="B1289" t="str">
        <f>"E000344376"</f>
        <v>E000344376</v>
      </c>
      <c r="C1289" t="str">
        <f>"בוצעה"</f>
        <v>בוצעה</v>
      </c>
      <c r="E1289" s="3">
        <v>44413</v>
      </c>
      <c r="F1289" s="3">
        <v>44530</v>
      </c>
      <c r="G1289" t="str">
        <f>"700065"</f>
        <v>700065</v>
      </c>
      <c r="H1289" t="str">
        <f>"אלתא מערכות בע""מ"</f>
        <v>אלתא מערכות בע"מ</v>
      </c>
      <c r="I1289" t="str">
        <f>"רחמים זרוק"</f>
        <v>רחמים זרוק</v>
      </c>
      <c r="J1289" t="str">
        <f>"OP-AR02689"</f>
        <v>OP-AR02689</v>
      </c>
      <c r="K1289" s="1" t="str">
        <f>"1038C357-001    HARNESS WA357 - OBSTACLE LIGHT - POWER"</f>
        <v>1038C357-001    HARNESS WA357 - OBSTACLE LIGHT - POWER</v>
      </c>
      <c r="L1289">
        <v>8</v>
      </c>
      <c r="M1289" t="str">
        <f>"PR21000562"</f>
        <v>PR21000562</v>
      </c>
      <c r="N1289" t="str">
        <f>"HARNESS"</f>
        <v>HARNESS</v>
      </c>
      <c r="O1289">
        <v>113.7</v>
      </c>
      <c r="P1289" t="str">
        <f>"$"</f>
        <v>$</v>
      </c>
      <c r="Q1289" t="str">
        <f>"117"</f>
        <v>117</v>
      </c>
      <c r="R1289" t="str">
        <f>"רתמות"</f>
        <v>רתמות</v>
      </c>
      <c r="S1289" t="str">
        <f>"040"</f>
        <v>040</v>
      </c>
      <c r="T1289" t="str">
        <f>"עמר ליגל"</f>
        <v>עמר ליגל</v>
      </c>
      <c r="U1289">
        <v>0</v>
      </c>
      <c r="V1289">
        <v>0</v>
      </c>
      <c r="W1289">
        <v>113.7</v>
      </c>
      <c r="X1289">
        <v>909.6</v>
      </c>
      <c r="Z1289" t="str">
        <f>"Y"</f>
        <v>Y</v>
      </c>
      <c r="AA1289">
        <v>0</v>
      </c>
      <c r="AC1289">
        <v>0</v>
      </c>
      <c r="AE1289">
        <v>0</v>
      </c>
      <c r="AF1289">
        <v>0</v>
      </c>
      <c r="AG1289">
        <v>369.98</v>
      </c>
      <c r="AH1289">
        <v>0</v>
      </c>
      <c r="AI1289" s="2">
        <v>2959.84</v>
      </c>
      <c r="AJ1289">
        <v>909.6</v>
      </c>
      <c r="AK1289">
        <v>909.6</v>
      </c>
      <c r="AL1289" t="str">
        <f>"$"</f>
        <v>$</v>
      </c>
    </row>
    <row r="1290" spans="1:38" x14ac:dyDescent="0.3">
      <c r="A1290" t="str">
        <f>"SO21000361"</f>
        <v>SO21000361</v>
      </c>
      <c r="B1290" t="str">
        <f>"E000344376"</f>
        <v>E000344376</v>
      </c>
      <c r="C1290" t="str">
        <f>"בוצעה"</f>
        <v>בוצעה</v>
      </c>
      <c r="E1290" s="3">
        <v>44413</v>
      </c>
      <c r="F1290" s="3">
        <v>44530</v>
      </c>
      <c r="G1290" t="str">
        <f>"700065"</f>
        <v>700065</v>
      </c>
      <c r="H1290" t="str">
        <f>"אלתא מערכות בע""מ"</f>
        <v>אלתא מערכות בע"מ</v>
      </c>
      <c r="I1290" t="str">
        <f>"רחמים זרוק"</f>
        <v>רחמים זרוק</v>
      </c>
      <c r="J1290" t="str">
        <f>"OP-AR02689"</f>
        <v>OP-AR02689</v>
      </c>
      <c r="K1290" s="1" t="str">
        <f>"1038C357-001    HARNESS WA357 - OBSTACLE LIGHT - POWER"</f>
        <v>1038C357-001    HARNESS WA357 - OBSTACLE LIGHT - POWER</v>
      </c>
      <c r="L1290">
        <v>3</v>
      </c>
      <c r="M1290" t="str">
        <f>"PR21000562"</f>
        <v>PR21000562</v>
      </c>
      <c r="N1290" t="str">
        <f>"HARNESS"</f>
        <v>HARNESS</v>
      </c>
      <c r="O1290">
        <v>113.7</v>
      </c>
      <c r="P1290" t="str">
        <f>"$"</f>
        <v>$</v>
      </c>
      <c r="Q1290" t="str">
        <f>"117"</f>
        <v>117</v>
      </c>
      <c r="R1290" t="str">
        <f>"רתמות"</f>
        <v>רתמות</v>
      </c>
      <c r="S1290" t="str">
        <f>"040"</f>
        <v>040</v>
      </c>
      <c r="T1290" t="str">
        <f>"עמר ליגל"</f>
        <v>עמר ליגל</v>
      </c>
      <c r="U1290">
        <v>0</v>
      </c>
      <c r="V1290">
        <v>0</v>
      </c>
      <c r="W1290">
        <v>113.7</v>
      </c>
      <c r="X1290">
        <v>341.1</v>
      </c>
      <c r="Z1290" t="str">
        <f>"Y"</f>
        <v>Y</v>
      </c>
      <c r="AA1290">
        <v>0</v>
      </c>
      <c r="AC1290">
        <v>0</v>
      </c>
      <c r="AE1290">
        <v>0</v>
      </c>
      <c r="AF1290">
        <v>0</v>
      </c>
      <c r="AG1290">
        <v>369.98</v>
      </c>
      <c r="AH1290">
        <v>0</v>
      </c>
      <c r="AI1290" s="2">
        <v>1109.94</v>
      </c>
      <c r="AJ1290">
        <v>341.1</v>
      </c>
      <c r="AK1290">
        <v>341.1</v>
      </c>
      <c r="AL1290" t="str">
        <f>"$"</f>
        <v>$</v>
      </c>
    </row>
    <row r="1291" spans="1:38" x14ac:dyDescent="0.3">
      <c r="A1291" t="str">
        <f>"SO21000361"</f>
        <v>SO21000361</v>
      </c>
      <c r="B1291" t="str">
        <f>"E000344376"</f>
        <v>E000344376</v>
      </c>
      <c r="C1291" t="str">
        <f>"בוצעה"</f>
        <v>בוצעה</v>
      </c>
      <c r="E1291" s="3">
        <v>44413</v>
      </c>
      <c r="F1291" s="3">
        <v>44510</v>
      </c>
      <c r="G1291" t="str">
        <f>"700065"</f>
        <v>700065</v>
      </c>
      <c r="H1291" t="str">
        <f>"אלתא מערכות בע""מ"</f>
        <v>אלתא מערכות בע"מ</v>
      </c>
      <c r="I1291" t="str">
        <f>"רחמים זרוק"</f>
        <v>רחמים זרוק</v>
      </c>
      <c r="J1291" t="str">
        <f>"OP-AR02690"</f>
        <v>OP-AR02690</v>
      </c>
      <c r="K1291" s="1" t="str">
        <f>"1038C466-001    GROUND CABLE WG466 - MAP TO PDB2 GROUND"</f>
        <v>1038C466-001    GROUND CABLE WG466 - MAP TO PDB2 GROUND</v>
      </c>
      <c r="L1291">
        <v>8</v>
      </c>
      <c r="M1291" t="str">
        <f>"PR21000562"</f>
        <v>PR21000562</v>
      </c>
      <c r="N1291" t="str">
        <f>"HARNESS"</f>
        <v>HARNESS</v>
      </c>
      <c r="O1291">
        <v>55.44</v>
      </c>
      <c r="P1291" t="str">
        <f>"$"</f>
        <v>$</v>
      </c>
      <c r="Q1291" t="str">
        <f>"117"</f>
        <v>117</v>
      </c>
      <c r="R1291" t="str">
        <f>"רתמות"</f>
        <v>רתמות</v>
      </c>
      <c r="S1291" t="str">
        <f>"040"</f>
        <v>040</v>
      </c>
      <c r="T1291" t="str">
        <f>"עמר ליגל"</f>
        <v>עמר ליגל</v>
      </c>
      <c r="U1291">
        <v>0</v>
      </c>
      <c r="V1291">
        <v>0</v>
      </c>
      <c r="W1291">
        <v>55.44</v>
      </c>
      <c r="X1291">
        <v>443.52</v>
      </c>
      <c r="Z1291" t="str">
        <f>"Y"</f>
        <v>Y</v>
      </c>
      <c r="AA1291">
        <v>0</v>
      </c>
      <c r="AC1291">
        <v>0</v>
      </c>
      <c r="AE1291">
        <v>0</v>
      </c>
      <c r="AF1291">
        <v>0</v>
      </c>
      <c r="AG1291">
        <v>180.4</v>
      </c>
      <c r="AH1291">
        <v>0</v>
      </c>
      <c r="AI1291" s="2">
        <v>1443.21</v>
      </c>
      <c r="AJ1291">
        <v>443.52</v>
      </c>
      <c r="AK1291">
        <v>443.52</v>
      </c>
      <c r="AL1291" t="str">
        <f>"$"</f>
        <v>$</v>
      </c>
    </row>
    <row r="1292" spans="1:38" x14ac:dyDescent="0.3">
      <c r="A1292" t="str">
        <f>"SO21000361"</f>
        <v>SO21000361</v>
      </c>
      <c r="B1292" t="str">
        <f>"E000344376"</f>
        <v>E000344376</v>
      </c>
      <c r="C1292" t="str">
        <f>"בוצעה"</f>
        <v>בוצעה</v>
      </c>
      <c r="E1292" s="3">
        <v>44413</v>
      </c>
      <c r="F1292" s="3">
        <v>44510</v>
      </c>
      <c r="G1292" t="str">
        <f>"700065"</f>
        <v>700065</v>
      </c>
      <c r="H1292" t="str">
        <f>"אלתא מערכות בע""מ"</f>
        <v>אלתא מערכות בע"מ</v>
      </c>
      <c r="I1292" t="str">
        <f>"רחמים זרוק"</f>
        <v>רחמים זרוק</v>
      </c>
      <c r="J1292" t="str">
        <f>"OP-AR02690"</f>
        <v>OP-AR02690</v>
      </c>
      <c r="K1292" s="1" t="str">
        <f>"1038C466-001    GROUND CABLE WG466 - MAP TO PDB2 GROUND"</f>
        <v>1038C466-001    GROUND CABLE WG466 - MAP TO PDB2 GROUND</v>
      </c>
      <c r="L1292">
        <v>3</v>
      </c>
      <c r="M1292" t="str">
        <f>"PR21000562"</f>
        <v>PR21000562</v>
      </c>
      <c r="N1292" t="str">
        <f>"HARNESS"</f>
        <v>HARNESS</v>
      </c>
      <c r="O1292">
        <v>55.44</v>
      </c>
      <c r="P1292" t="str">
        <f>"$"</f>
        <v>$</v>
      </c>
      <c r="Q1292" t="str">
        <f>"117"</f>
        <v>117</v>
      </c>
      <c r="R1292" t="str">
        <f>"רתמות"</f>
        <v>רתמות</v>
      </c>
      <c r="S1292" t="str">
        <f>"040"</f>
        <v>040</v>
      </c>
      <c r="T1292" t="str">
        <f>"עמר ליגל"</f>
        <v>עמר ליגל</v>
      </c>
      <c r="U1292">
        <v>0</v>
      </c>
      <c r="V1292">
        <v>0</v>
      </c>
      <c r="W1292">
        <v>55.44</v>
      </c>
      <c r="X1292">
        <v>166.32</v>
      </c>
      <c r="Z1292" t="str">
        <f>"Y"</f>
        <v>Y</v>
      </c>
      <c r="AA1292">
        <v>0</v>
      </c>
      <c r="AC1292">
        <v>0</v>
      </c>
      <c r="AE1292">
        <v>0</v>
      </c>
      <c r="AF1292">
        <v>0</v>
      </c>
      <c r="AG1292">
        <v>180.4</v>
      </c>
      <c r="AH1292">
        <v>0</v>
      </c>
      <c r="AI1292">
        <v>541.21</v>
      </c>
      <c r="AJ1292">
        <v>166.32</v>
      </c>
      <c r="AK1292">
        <v>166.32</v>
      </c>
      <c r="AL1292" t="str">
        <f>"$"</f>
        <v>$</v>
      </c>
    </row>
    <row r="1293" spans="1:38" x14ac:dyDescent="0.3">
      <c r="A1293" t="str">
        <f>"SO21000361"</f>
        <v>SO21000361</v>
      </c>
      <c r="B1293" t="str">
        <f>"E000344376"</f>
        <v>E000344376</v>
      </c>
      <c r="C1293" t="str">
        <f>"בוצעה"</f>
        <v>בוצעה</v>
      </c>
      <c r="E1293" s="3">
        <v>44413</v>
      </c>
      <c r="F1293" s="3">
        <v>44510</v>
      </c>
      <c r="G1293" t="str">
        <f>"700065"</f>
        <v>700065</v>
      </c>
      <c r="H1293" t="str">
        <f>"אלתא מערכות בע""מ"</f>
        <v>אלתא מערכות בע"מ</v>
      </c>
      <c r="I1293" t="str">
        <f>"רחמים זרוק"</f>
        <v>רחמים זרוק</v>
      </c>
      <c r="J1293" t="str">
        <f>"OP-AR02691"</f>
        <v>OP-AR02691</v>
      </c>
      <c r="K1293" s="1" t="str">
        <f>"1038N156-001    GROUND CABLE WN156 - CUG - TCG TO CUG GR"</f>
        <v>1038N156-001    GROUND CABLE WN156 - CUG - TCG TO CUG GR</v>
      </c>
      <c r="L1293">
        <v>8</v>
      </c>
      <c r="M1293" t="str">
        <f>"PR21000562"</f>
        <v>PR21000562</v>
      </c>
      <c r="N1293" t="str">
        <f>"HARNESS"</f>
        <v>HARNESS</v>
      </c>
      <c r="O1293">
        <v>41.27</v>
      </c>
      <c r="P1293" t="str">
        <f>"$"</f>
        <v>$</v>
      </c>
      <c r="Q1293" t="str">
        <f>"117"</f>
        <v>117</v>
      </c>
      <c r="R1293" t="str">
        <f>"רתמות"</f>
        <v>רתמות</v>
      </c>
      <c r="S1293" t="str">
        <f>"040"</f>
        <v>040</v>
      </c>
      <c r="T1293" t="str">
        <f>"עמר ליגל"</f>
        <v>עמר ליגל</v>
      </c>
      <c r="U1293">
        <v>0</v>
      </c>
      <c r="V1293">
        <v>0</v>
      </c>
      <c r="W1293">
        <v>41.27</v>
      </c>
      <c r="X1293">
        <v>330.16</v>
      </c>
      <c r="Z1293" t="str">
        <f>"Y"</f>
        <v>Y</v>
      </c>
      <c r="AA1293">
        <v>0</v>
      </c>
      <c r="AC1293">
        <v>0</v>
      </c>
      <c r="AE1293">
        <v>0</v>
      </c>
      <c r="AF1293">
        <v>0</v>
      </c>
      <c r="AG1293">
        <v>134.29</v>
      </c>
      <c r="AH1293">
        <v>0</v>
      </c>
      <c r="AI1293" s="2">
        <v>1074.3399999999999</v>
      </c>
      <c r="AJ1293">
        <v>330.16</v>
      </c>
      <c r="AK1293">
        <v>330.16</v>
      </c>
      <c r="AL1293" t="str">
        <f>"$"</f>
        <v>$</v>
      </c>
    </row>
    <row r="1294" spans="1:38" x14ac:dyDescent="0.3">
      <c r="A1294" t="str">
        <f>"SO21000361"</f>
        <v>SO21000361</v>
      </c>
      <c r="B1294" t="str">
        <f>"E000344376"</f>
        <v>E000344376</v>
      </c>
      <c r="C1294" t="str">
        <f>"בוצעה"</f>
        <v>בוצעה</v>
      </c>
      <c r="E1294" s="3">
        <v>44413</v>
      </c>
      <c r="F1294" s="3">
        <v>44510</v>
      </c>
      <c r="G1294" t="str">
        <f>"700065"</f>
        <v>700065</v>
      </c>
      <c r="H1294" t="str">
        <f>"אלתא מערכות בע""מ"</f>
        <v>אלתא מערכות בע"מ</v>
      </c>
      <c r="I1294" t="str">
        <f>"רחמים זרוק"</f>
        <v>רחמים זרוק</v>
      </c>
      <c r="J1294" t="str">
        <f>"OP-AR02691"</f>
        <v>OP-AR02691</v>
      </c>
      <c r="K1294" s="1" t="str">
        <f>"1038N156-001    GROUND CABLE WN156 - CUG - TCG TO CUG GR"</f>
        <v>1038N156-001    GROUND CABLE WN156 - CUG - TCG TO CUG GR</v>
      </c>
      <c r="L1294">
        <v>3</v>
      </c>
      <c r="M1294" t="str">
        <f>"PR21000562"</f>
        <v>PR21000562</v>
      </c>
      <c r="N1294" t="str">
        <f>"HARNESS"</f>
        <v>HARNESS</v>
      </c>
      <c r="O1294">
        <v>41.27</v>
      </c>
      <c r="P1294" t="str">
        <f>"$"</f>
        <v>$</v>
      </c>
      <c r="Q1294" t="str">
        <f>"117"</f>
        <v>117</v>
      </c>
      <c r="R1294" t="str">
        <f>"רתמות"</f>
        <v>רתמות</v>
      </c>
      <c r="S1294" t="str">
        <f>"040"</f>
        <v>040</v>
      </c>
      <c r="T1294" t="str">
        <f>"עמר ליגל"</f>
        <v>עמר ליגל</v>
      </c>
      <c r="U1294">
        <v>0</v>
      </c>
      <c r="V1294">
        <v>0</v>
      </c>
      <c r="W1294">
        <v>41.27</v>
      </c>
      <c r="X1294">
        <v>123.81</v>
      </c>
      <c r="Z1294" t="str">
        <f>"Y"</f>
        <v>Y</v>
      </c>
      <c r="AA1294">
        <v>0</v>
      </c>
      <c r="AC1294">
        <v>0</v>
      </c>
      <c r="AE1294">
        <v>0</v>
      </c>
      <c r="AF1294">
        <v>0</v>
      </c>
      <c r="AG1294">
        <v>134.29</v>
      </c>
      <c r="AH1294">
        <v>0</v>
      </c>
      <c r="AI1294">
        <v>402.88</v>
      </c>
      <c r="AJ1294">
        <v>123.81</v>
      </c>
      <c r="AK1294">
        <v>123.81</v>
      </c>
      <c r="AL1294" t="str">
        <f>"$"</f>
        <v>$</v>
      </c>
    </row>
    <row r="1295" spans="1:38" x14ac:dyDescent="0.3">
      <c r="A1295" t="str">
        <f>"SO21000361"</f>
        <v>SO21000361</v>
      </c>
      <c r="B1295" t="str">
        <f>"E000344376"</f>
        <v>E000344376</v>
      </c>
      <c r="C1295" t="str">
        <f>"בוצעה"</f>
        <v>בוצעה</v>
      </c>
      <c r="E1295" s="3">
        <v>44413</v>
      </c>
      <c r="F1295" s="3">
        <v>44510</v>
      </c>
      <c r="G1295" t="str">
        <f>"700065"</f>
        <v>700065</v>
      </c>
      <c r="H1295" t="str">
        <f>"אלתא מערכות בע""מ"</f>
        <v>אלתא מערכות בע"מ</v>
      </c>
      <c r="I1295" t="str">
        <f>"רחמים זרוק"</f>
        <v>רחמים זרוק</v>
      </c>
      <c r="J1295" t="str">
        <f>"OP-AR02692"</f>
        <v>OP-AR02692</v>
      </c>
      <c r="K1295" s="1" t="str">
        <f>"1038N157-001   GROUND CABLE WN157 - CUG - MT1000 TO CUG"</f>
        <v>1038N157-001   GROUND CABLE WN157 - CUG - MT1000 TO CUG</v>
      </c>
      <c r="L1295">
        <v>8</v>
      </c>
      <c r="M1295" t="str">
        <f>"PR21000562"</f>
        <v>PR21000562</v>
      </c>
      <c r="N1295" t="str">
        <f>"HARNESS"</f>
        <v>HARNESS</v>
      </c>
      <c r="O1295">
        <v>27.14</v>
      </c>
      <c r="P1295" t="str">
        <f>"$"</f>
        <v>$</v>
      </c>
      <c r="Q1295" t="str">
        <f>"117"</f>
        <v>117</v>
      </c>
      <c r="R1295" t="str">
        <f>"רתמות"</f>
        <v>רתמות</v>
      </c>
      <c r="S1295" t="str">
        <f>"040"</f>
        <v>040</v>
      </c>
      <c r="T1295" t="str">
        <f>"עמר ליגל"</f>
        <v>עמר ליגל</v>
      </c>
      <c r="U1295">
        <v>0</v>
      </c>
      <c r="V1295">
        <v>0</v>
      </c>
      <c r="W1295">
        <v>27.14</v>
      </c>
      <c r="X1295">
        <v>217.12</v>
      </c>
      <c r="Z1295" t="str">
        <f>"Y"</f>
        <v>Y</v>
      </c>
      <c r="AA1295">
        <v>0</v>
      </c>
      <c r="AC1295">
        <v>0</v>
      </c>
      <c r="AE1295">
        <v>0</v>
      </c>
      <c r="AF1295">
        <v>0</v>
      </c>
      <c r="AG1295">
        <v>88.31</v>
      </c>
      <c r="AH1295">
        <v>0</v>
      </c>
      <c r="AI1295">
        <v>706.51</v>
      </c>
      <c r="AJ1295">
        <v>217.12</v>
      </c>
      <c r="AK1295">
        <v>217.12</v>
      </c>
      <c r="AL1295" t="str">
        <f>"$"</f>
        <v>$</v>
      </c>
    </row>
    <row r="1296" spans="1:38" x14ac:dyDescent="0.3">
      <c r="A1296" t="str">
        <f>"SO21000361"</f>
        <v>SO21000361</v>
      </c>
      <c r="B1296" t="str">
        <f>"E000344376"</f>
        <v>E000344376</v>
      </c>
      <c r="C1296" t="str">
        <f>"בוצעה"</f>
        <v>בוצעה</v>
      </c>
      <c r="E1296" s="3">
        <v>44413</v>
      </c>
      <c r="F1296" s="3">
        <v>44510</v>
      </c>
      <c r="G1296" t="str">
        <f>"700065"</f>
        <v>700065</v>
      </c>
      <c r="H1296" t="str">
        <f>"אלתא מערכות בע""מ"</f>
        <v>אלתא מערכות בע"מ</v>
      </c>
      <c r="I1296" t="str">
        <f>"רחמים זרוק"</f>
        <v>רחמים זרוק</v>
      </c>
      <c r="J1296" t="str">
        <f>"OP-AR02692"</f>
        <v>OP-AR02692</v>
      </c>
      <c r="K1296" s="1" t="str">
        <f>"1038N157-001   GROUND CABLE WN157 - CUG - MT1000 TO CUG"</f>
        <v>1038N157-001   GROUND CABLE WN157 - CUG - MT1000 TO CUG</v>
      </c>
      <c r="L1296">
        <v>3</v>
      </c>
      <c r="M1296" t="str">
        <f>"PR21000562"</f>
        <v>PR21000562</v>
      </c>
      <c r="N1296" t="str">
        <f>"HARNESS"</f>
        <v>HARNESS</v>
      </c>
      <c r="O1296">
        <v>27.14</v>
      </c>
      <c r="P1296" t="str">
        <f>"$"</f>
        <v>$</v>
      </c>
      <c r="Q1296" t="str">
        <f>"117"</f>
        <v>117</v>
      </c>
      <c r="R1296" t="str">
        <f>"רתמות"</f>
        <v>רתמות</v>
      </c>
      <c r="S1296" t="str">
        <f>"040"</f>
        <v>040</v>
      </c>
      <c r="T1296" t="str">
        <f>"עמר ליגל"</f>
        <v>עמר ליגל</v>
      </c>
      <c r="U1296">
        <v>0</v>
      </c>
      <c r="V1296">
        <v>0</v>
      </c>
      <c r="W1296">
        <v>27.14</v>
      </c>
      <c r="X1296">
        <v>81.42</v>
      </c>
      <c r="Z1296" t="str">
        <f>"Y"</f>
        <v>Y</v>
      </c>
      <c r="AA1296">
        <v>0</v>
      </c>
      <c r="AC1296">
        <v>0</v>
      </c>
      <c r="AE1296">
        <v>0</v>
      </c>
      <c r="AF1296">
        <v>0</v>
      </c>
      <c r="AG1296">
        <v>88.31</v>
      </c>
      <c r="AH1296">
        <v>0</v>
      </c>
      <c r="AI1296">
        <v>264.94</v>
      </c>
      <c r="AJ1296">
        <v>81.42</v>
      </c>
      <c r="AK1296">
        <v>81.42</v>
      </c>
      <c r="AL1296" t="str">
        <f>"$"</f>
        <v>$</v>
      </c>
    </row>
    <row r="1297" spans="1:38" x14ac:dyDescent="0.3">
      <c r="A1297" t="str">
        <f>"SO21000361"</f>
        <v>SO21000361</v>
      </c>
      <c r="B1297" t="str">
        <f>"E000344376"</f>
        <v>E000344376</v>
      </c>
      <c r="C1297" t="str">
        <f>"בוצעה"</f>
        <v>בוצעה</v>
      </c>
      <c r="E1297" s="3">
        <v>44413</v>
      </c>
      <c r="F1297" s="3">
        <v>44510</v>
      </c>
      <c r="G1297" t="str">
        <f>"700065"</f>
        <v>700065</v>
      </c>
      <c r="H1297" t="str">
        <f>"אלתא מערכות בע""מ"</f>
        <v>אלתא מערכות בע"מ</v>
      </c>
      <c r="I1297" t="str">
        <f>"רחמים זרוק"</f>
        <v>רחמים זרוק</v>
      </c>
      <c r="J1297" t="str">
        <f>"OP-AR02693"</f>
        <v>OP-AR02693</v>
      </c>
      <c r="K1297" s="1" t="str">
        <f>"1038N158-001    GROUNG CABLE WN158 - CUG - IFF TO GROUNG"</f>
        <v>1038N158-001    GROUNG CABLE WN158 - CUG - IFF TO GROUNG</v>
      </c>
      <c r="L1297">
        <v>8</v>
      </c>
      <c r="M1297" t="str">
        <f>"PR21000562"</f>
        <v>PR21000562</v>
      </c>
      <c r="N1297" t="str">
        <f>"HARNESS"</f>
        <v>HARNESS</v>
      </c>
      <c r="O1297">
        <v>42.21</v>
      </c>
      <c r="P1297" t="str">
        <f>"$"</f>
        <v>$</v>
      </c>
      <c r="Q1297" t="str">
        <f>"117"</f>
        <v>117</v>
      </c>
      <c r="R1297" t="str">
        <f>"רתמות"</f>
        <v>רתמות</v>
      </c>
      <c r="S1297" t="str">
        <f>"040"</f>
        <v>040</v>
      </c>
      <c r="T1297" t="str">
        <f>"עמר ליגל"</f>
        <v>עמר ליגל</v>
      </c>
      <c r="U1297">
        <v>0</v>
      </c>
      <c r="V1297">
        <v>0</v>
      </c>
      <c r="W1297">
        <v>42.21</v>
      </c>
      <c r="X1297">
        <v>337.68</v>
      </c>
      <c r="Z1297" t="str">
        <f>"Y"</f>
        <v>Y</v>
      </c>
      <c r="AA1297">
        <v>0</v>
      </c>
      <c r="AC1297">
        <v>0</v>
      </c>
      <c r="AE1297">
        <v>0</v>
      </c>
      <c r="AF1297">
        <v>0</v>
      </c>
      <c r="AG1297">
        <v>137.35</v>
      </c>
      <c r="AH1297">
        <v>0</v>
      </c>
      <c r="AI1297" s="2">
        <v>1098.81</v>
      </c>
      <c r="AJ1297">
        <v>337.68</v>
      </c>
      <c r="AK1297">
        <v>337.68</v>
      </c>
      <c r="AL1297" t="str">
        <f>"$"</f>
        <v>$</v>
      </c>
    </row>
    <row r="1298" spans="1:38" x14ac:dyDescent="0.3">
      <c r="A1298" t="str">
        <f>"SO21000361"</f>
        <v>SO21000361</v>
      </c>
      <c r="B1298" t="str">
        <f>"E000344376"</f>
        <v>E000344376</v>
      </c>
      <c r="C1298" t="str">
        <f>"בוצעה"</f>
        <v>בוצעה</v>
      </c>
      <c r="E1298" s="3">
        <v>44413</v>
      </c>
      <c r="F1298" s="3">
        <v>44510</v>
      </c>
      <c r="G1298" t="str">
        <f>"700065"</f>
        <v>700065</v>
      </c>
      <c r="H1298" t="str">
        <f>"אלתא מערכות בע""מ"</f>
        <v>אלתא מערכות בע"מ</v>
      </c>
      <c r="I1298" t="str">
        <f>"רחמים זרוק"</f>
        <v>רחמים זרוק</v>
      </c>
      <c r="J1298" t="str">
        <f>"OP-AR02693"</f>
        <v>OP-AR02693</v>
      </c>
      <c r="K1298" s="1" t="str">
        <f>"1038N158-001    GROUNG CABLE WN158 - CUG - IFF TO GROUNG"</f>
        <v>1038N158-001    GROUNG CABLE WN158 - CUG - IFF TO GROUNG</v>
      </c>
      <c r="L1298">
        <v>3</v>
      </c>
      <c r="M1298" t="str">
        <f>"PR21000562"</f>
        <v>PR21000562</v>
      </c>
      <c r="N1298" t="str">
        <f>"HARNESS"</f>
        <v>HARNESS</v>
      </c>
      <c r="O1298">
        <v>42.21</v>
      </c>
      <c r="P1298" t="str">
        <f>"$"</f>
        <v>$</v>
      </c>
      <c r="Q1298" t="str">
        <f>"117"</f>
        <v>117</v>
      </c>
      <c r="R1298" t="str">
        <f>"רתמות"</f>
        <v>רתמות</v>
      </c>
      <c r="S1298" t="str">
        <f>"040"</f>
        <v>040</v>
      </c>
      <c r="T1298" t="str">
        <f>"עמר ליגל"</f>
        <v>עמר ליגל</v>
      </c>
      <c r="U1298">
        <v>0</v>
      </c>
      <c r="V1298">
        <v>0</v>
      </c>
      <c r="W1298">
        <v>42.21</v>
      </c>
      <c r="X1298">
        <v>126.63</v>
      </c>
      <c r="Z1298" t="str">
        <f>"Y"</f>
        <v>Y</v>
      </c>
      <c r="AA1298">
        <v>0</v>
      </c>
      <c r="AC1298">
        <v>0</v>
      </c>
      <c r="AE1298">
        <v>0</v>
      </c>
      <c r="AF1298">
        <v>0</v>
      </c>
      <c r="AG1298">
        <v>137.35</v>
      </c>
      <c r="AH1298">
        <v>0</v>
      </c>
      <c r="AI1298">
        <v>412.05</v>
      </c>
      <c r="AJ1298">
        <v>126.63</v>
      </c>
      <c r="AK1298">
        <v>126.63</v>
      </c>
      <c r="AL1298" t="str">
        <f>"$"</f>
        <v>$</v>
      </c>
    </row>
    <row r="1299" spans="1:38" x14ac:dyDescent="0.3">
      <c r="A1299" t="str">
        <f>"SO21000367"</f>
        <v>SO21000367</v>
      </c>
      <c r="B1299" t="str">
        <f>"..תימינפ"</f>
        <v>..תימינפ</v>
      </c>
      <c r="C1299" t="str">
        <f>"בוצעה"</f>
        <v>בוצעה</v>
      </c>
      <c r="E1299" s="3">
        <v>44417</v>
      </c>
      <c r="F1299" s="3">
        <v>44417</v>
      </c>
      <c r="G1299" t="str">
        <f>"700065"</f>
        <v>700065</v>
      </c>
      <c r="H1299" t="str">
        <f>"אלתא מערכות בע""מ"</f>
        <v>אלתא מערכות בע"מ</v>
      </c>
      <c r="I1299" t="str">
        <f>"ערן שלו"</f>
        <v>ערן שלו</v>
      </c>
      <c r="J1299" t="str">
        <f>"PS9900047"</f>
        <v>PS9900047</v>
      </c>
      <c r="K1299" s="1" t="str">
        <f>"Flatpack 2 380/3000 HE"</f>
        <v>Flatpack 2 380/3000 HE</v>
      </c>
      <c r="L1299">
        <v>3</v>
      </c>
      <c r="O1299">
        <v>0</v>
      </c>
      <c r="P1299" t="str">
        <f>"$"</f>
        <v>$</v>
      </c>
      <c r="Q1299" t="str">
        <f>"118"</f>
        <v>118</v>
      </c>
      <c r="R1299" t="str">
        <f>"מערכות"</f>
        <v>מערכות</v>
      </c>
      <c r="S1299" t="str">
        <f>"034"</f>
        <v>034</v>
      </c>
      <c r="T1299" t="str">
        <f>"עמר ליגל"</f>
        <v>עמר ליגל</v>
      </c>
      <c r="U1299">
        <v>0</v>
      </c>
      <c r="V1299">
        <v>0</v>
      </c>
      <c r="W1299">
        <v>0</v>
      </c>
      <c r="X1299">
        <v>0</v>
      </c>
      <c r="Z1299" t="str">
        <f>"Y"</f>
        <v>Y</v>
      </c>
      <c r="AA1299">
        <v>0</v>
      </c>
      <c r="AC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 t="str">
        <f>"$"</f>
        <v>$</v>
      </c>
    </row>
    <row r="1300" spans="1:38" x14ac:dyDescent="0.3">
      <c r="A1300" t="str">
        <f>"SO21000375"</f>
        <v>SO21000375</v>
      </c>
      <c r="B1300" t="str">
        <f>"E000345204"</f>
        <v>E000345204</v>
      </c>
      <c r="C1300" t="str">
        <f>"בוצעה"</f>
        <v>בוצעה</v>
      </c>
      <c r="E1300" s="3">
        <v>44427</v>
      </c>
      <c r="F1300" s="3">
        <v>44469</v>
      </c>
      <c r="G1300" t="str">
        <f>"700065"</f>
        <v>700065</v>
      </c>
      <c r="H1300" t="str">
        <f>"אלתא מערכות בע""מ"</f>
        <v>אלתא מערכות בע"מ</v>
      </c>
      <c r="I1300" t="str">
        <f>"רחמים זרוק"</f>
        <v>רחמים זרוק</v>
      </c>
      <c r="J1300" t="str">
        <f>"OP-AR02697"</f>
        <v>OP-AR02697</v>
      </c>
      <c r="K1300" s="1" t="str">
        <f>"1093E125-001   CSU CABLE"</f>
        <v>1093E125-001   CSU CABLE</v>
      </c>
      <c r="L1300">
        <v>1</v>
      </c>
      <c r="M1300" t="str">
        <f>"PR21000585"</f>
        <v>PR21000585</v>
      </c>
      <c r="N1300" t="str">
        <f>"CABEL"</f>
        <v>CABEL</v>
      </c>
      <c r="O1300">
        <v>159.34</v>
      </c>
      <c r="P1300" t="str">
        <f>"$"</f>
        <v>$</v>
      </c>
      <c r="Q1300" t="str">
        <f>"117"</f>
        <v>117</v>
      </c>
      <c r="R1300" t="str">
        <f>"רתמות"</f>
        <v>רתמות</v>
      </c>
      <c r="S1300" t="str">
        <f>"040"</f>
        <v>040</v>
      </c>
      <c r="T1300" t="str">
        <f>"עמר ליגל"</f>
        <v>עמר ליגל</v>
      </c>
      <c r="U1300">
        <v>0</v>
      </c>
      <c r="V1300">
        <v>0</v>
      </c>
      <c r="W1300">
        <v>159.34</v>
      </c>
      <c r="X1300">
        <v>159.34</v>
      </c>
      <c r="Z1300" t="str">
        <f>"Y"</f>
        <v>Y</v>
      </c>
      <c r="AA1300">
        <v>0</v>
      </c>
      <c r="AC1300">
        <v>0</v>
      </c>
      <c r="AE1300">
        <v>0</v>
      </c>
      <c r="AF1300">
        <v>0</v>
      </c>
      <c r="AG1300">
        <v>516.1</v>
      </c>
      <c r="AH1300">
        <v>0</v>
      </c>
      <c r="AI1300">
        <v>516.1</v>
      </c>
      <c r="AJ1300">
        <v>159.34</v>
      </c>
      <c r="AK1300">
        <v>159.34</v>
      </c>
      <c r="AL1300" t="str">
        <f>"$"</f>
        <v>$</v>
      </c>
    </row>
    <row r="1301" spans="1:38" x14ac:dyDescent="0.3">
      <c r="A1301" t="str">
        <f>"SO21000375"</f>
        <v>SO21000375</v>
      </c>
      <c r="B1301" t="str">
        <f>"E000345204"</f>
        <v>E000345204</v>
      </c>
      <c r="C1301" t="str">
        <f>"בוצעה"</f>
        <v>בוצעה</v>
      </c>
      <c r="E1301" s="3">
        <v>44427</v>
      </c>
      <c r="F1301" s="3">
        <v>44469</v>
      </c>
      <c r="G1301" t="str">
        <f>"700065"</f>
        <v>700065</v>
      </c>
      <c r="H1301" t="str">
        <f>"אלתא מערכות בע""מ"</f>
        <v>אלתא מערכות בע"מ</v>
      </c>
      <c r="I1301" t="str">
        <f>"רחמים זרוק"</f>
        <v>רחמים זרוק</v>
      </c>
      <c r="J1301" t="str">
        <f>"OP-AR02697"</f>
        <v>OP-AR02697</v>
      </c>
      <c r="K1301" s="1" t="str">
        <f>"1093E125-001   CSU CABLE"</f>
        <v>1093E125-001   CSU CABLE</v>
      </c>
      <c r="L1301">
        <v>4</v>
      </c>
      <c r="M1301" t="str">
        <f>"PR21000585"</f>
        <v>PR21000585</v>
      </c>
      <c r="N1301" t="str">
        <f>"CABEL"</f>
        <v>CABEL</v>
      </c>
      <c r="O1301">
        <v>159.34</v>
      </c>
      <c r="P1301" t="str">
        <f>"$"</f>
        <v>$</v>
      </c>
      <c r="Q1301" t="str">
        <f>"117"</f>
        <v>117</v>
      </c>
      <c r="R1301" t="str">
        <f>"רתמות"</f>
        <v>רתמות</v>
      </c>
      <c r="S1301" t="str">
        <f>"040"</f>
        <v>040</v>
      </c>
      <c r="T1301" t="str">
        <f>"עמר ליגל"</f>
        <v>עמר ליגל</v>
      </c>
      <c r="U1301">
        <v>0</v>
      </c>
      <c r="V1301">
        <v>0</v>
      </c>
      <c r="W1301">
        <v>159.34</v>
      </c>
      <c r="X1301">
        <v>637.36</v>
      </c>
      <c r="Z1301" t="str">
        <f>"Y"</f>
        <v>Y</v>
      </c>
      <c r="AA1301">
        <v>0</v>
      </c>
      <c r="AC1301">
        <v>0</v>
      </c>
      <c r="AE1301">
        <v>0</v>
      </c>
      <c r="AF1301">
        <v>0</v>
      </c>
      <c r="AG1301">
        <v>516.1</v>
      </c>
      <c r="AH1301">
        <v>0</v>
      </c>
      <c r="AI1301" s="2">
        <v>2064.41</v>
      </c>
      <c r="AJ1301">
        <v>637.36</v>
      </c>
      <c r="AK1301">
        <v>637.36</v>
      </c>
      <c r="AL1301" t="str">
        <f>"$"</f>
        <v>$</v>
      </c>
    </row>
    <row r="1302" spans="1:38" x14ac:dyDescent="0.3">
      <c r="A1302" t="str">
        <f>"SO21000375"</f>
        <v>SO21000375</v>
      </c>
      <c r="B1302" t="str">
        <f>"E000345204"</f>
        <v>E000345204</v>
      </c>
      <c r="C1302" t="str">
        <f>"בוצעה"</f>
        <v>בוצעה</v>
      </c>
      <c r="E1302" s="3">
        <v>44427</v>
      </c>
      <c r="F1302" s="3">
        <v>44469</v>
      </c>
      <c r="G1302" t="str">
        <f>"700065"</f>
        <v>700065</v>
      </c>
      <c r="H1302" t="str">
        <f>"אלתא מערכות בע""מ"</f>
        <v>אלתא מערכות בע"מ</v>
      </c>
      <c r="I1302" t="str">
        <f>"רחמים זרוק"</f>
        <v>רחמים זרוק</v>
      </c>
      <c r="J1302" t="str">
        <f>"OP-AR02697"</f>
        <v>OP-AR02697</v>
      </c>
      <c r="K1302" s="1" t="str">
        <f>"1093E125-001   CSU CABLE"</f>
        <v>1093E125-001   CSU CABLE</v>
      </c>
      <c r="L1302">
        <v>9</v>
      </c>
      <c r="M1302" t="str">
        <f>"PR21000585"</f>
        <v>PR21000585</v>
      </c>
      <c r="N1302" t="str">
        <f>"CABEL"</f>
        <v>CABEL</v>
      </c>
      <c r="O1302">
        <v>159.34</v>
      </c>
      <c r="P1302" t="str">
        <f>"$"</f>
        <v>$</v>
      </c>
      <c r="Q1302" t="str">
        <f>"117"</f>
        <v>117</v>
      </c>
      <c r="R1302" t="str">
        <f>"רתמות"</f>
        <v>רתמות</v>
      </c>
      <c r="S1302" t="str">
        <f>"040"</f>
        <v>040</v>
      </c>
      <c r="T1302" t="str">
        <f>"עמר ליגל"</f>
        <v>עמר ליגל</v>
      </c>
      <c r="U1302">
        <v>0</v>
      </c>
      <c r="V1302">
        <v>0</v>
      </c>
      <c r="W1302">
        <v>159.34</v>
      </c>
      <c r="X1302" s="2">
        <v>1434.06</v>
      </c>
      <c r="Z1302" t="str">
        <f>"Y"</f>
        <v>Y</v>
      </c>
      <c r="AA1302">
        <v>0</v>
      </c>
      <c r="AC1302">
        <v>0</v>
      </c>
      <c r="AE1302">
        <v>0</v>
      </c>
      <c r="AF1302">
        <v>0</v>
      </c>
      <c r="AG1302">
        <v>516.1</v>
      </c>
      <c r="AH1302">
        <v>0</v>
      </c>
      <c r="AI1302" s="2">
        <v>4644.92</v>
      </c>
      <c r="AJ1302" s="2">
        <v>1434.06</v>
      </c>
      <c r="AK1302" s="2">
        <v>1434.06</v>
      </c>
      <c r="AL1302" t="str">
        <f>"$"</f>
        <v>$</v>
      </c>
    </row>
    <row r="1303" spans="1:38" x14ac:dyDescent="0.3">
      <c r="A1303" t="str">
        <f>"SO21000375"</f>
        <v>SO21000375</v>
      </c>
      <c r="B1303" t="str">
        <f>"E000345204"</f>
        <v>E000345204</v>
      </c>
      <c r="C1303" t="str">
        <f>"בוצעה"</f>
        <v>בוצעה</v>
      </c>
      <c r="E1303" s="3">
        <v>44427</v>
      </c>
      <c r="F1303" s="3">
        <v>44469</v>
      </c>
      <c r="G1303" t="str">
        <f>"700065"</f>
        <v>700065</v>
      </c>
      <c r="H1303" t="str">
        <f>"אלתא מערכות בע""מ"</f>
        <v>אלתא מערכות בע"מ</v>
      </c>
      <c r="I1303" t="str">
        <f>"רחמים זרוק"</f>
        <v>רחמים זרוק</v>
      </c>
      <c r="J1303" t="str">
        <f>"OP-AR02698"</f>
        <v>OP-AR02698</v>
      </c>
      <c r="K1303" s="1" t="str">
        <f>"2019E577-001    BFCU LAB TEST W3"</f>
        <v>2019E577-001    BFCU LAB TEST W3</v>
      </c>
      <c r="L1303">
        <v>1</v>
      </c>
      <c r="M1303" t="str">
        <f>"PR21000585"</f>
        <v>PR21000585</v>
      </c>
      <c r="N1303" t="str">
        <f>"CABEL"</f>
        <v>CABEL</v>
      </c>
      <c r="O1303">
        <v>147.53</v>
      </c>
      <c r="P1303" t="str">
        <f>"$"</f>
        <v>$</v>
      </c>
      <c r="Q1303" t="str">
        <f>"117"</f>
        <v>117</v>
      </c>
      <c r="R1303" t="str">
        <f>"רתמות"</f>
        <v>רתמות</v>
      </c>
      <c r="S1303" t="str">
        <f>"040"</f>
        <v>040</v>
      </c>
      <c r="T1303" t="str">
        <f>"עמר ליגל"</f>
        <v>עמר ליגל</v>
      </c>
      <c r="U1303">
        <v>0</v>
      </c>
      <c r="V1303">
        <v>0</v>
      </c>
      <c r="W1303">
        <v>147.53</v>
      </c>
      <c r="X1303">
        <v>147.53</v>
      </c>
      <c r="Z1303" t="str">
        <f>"Y"</f>
        <v>Y</v>
      </c>
      <c r="AA1303">
        <v>0</v>
      </c>
      <c r="AC1303">
        <v>0</v>
      </c>
      <c r="AE1303">
        <v>0</v>
      </c>
      <c r="AF1303">
        <v>0</v>
      </c>
      <c r="AG1303">
        <v>477.85</v>
      </c>
      <c r="AH1303">
        <v>0</v>
      </c>
      <c r="AI1303">
        <v>477.85</v>
      </c>
      <c r="AJ1303">
        <v>147.53</v>
      </c>
      <c r="AK1303">
        <v>147.53</v>
      </c>
      <c r="AL1303" t="str">
        <f>"$"</f>
        <v>$</v>
      </c>
    </row>
    <row r="1304" spans="1:38" x14ac:dyDescent="0.3">
      <c r="A1304" t="str">
        <f>"SO21000375"</f>
        <v>SO21000375</v>
      </c>
      <c r="B1304" t="str">
        <f>"E000345204"</f>
        <v>E000345204</v>
      </c>
      <c r="C1304" t="str">
        <f>"בוצעה"</f>
        <v>בוצעה</v>
      </c>
      <c r="E1304" s="3">
        <v>44427</v>
      </c>
      <c r="F1304" s="3">
        <v>44469</v>
      </c>
      <c r="G1304" t="str">
        <f>"700065"</f>
        <v>700065</v>
      </c>
      <c r="H1304" t="str">
        <f>"אלתא מערכות בע""מ"</f>
        <v>אלתא מערכות בע"מ</v>
      </c>
      <c r="I1304" t="str">
        <f>"רחמים זרוק"</f>
        <v>רחמים זרוק</v>
      </c>
      <c r="J1304" t="str">
        <f>"OP-AR02698"</f>
        <v>OP-AR02698</v>
      </c>
      <c r="K1304" s="1" t="str">
        <f>"2019E577-001    BFCU LAB TEST W3"</f>
        <v>2019E577-001    BFCU LAB TEST W3</v>
      </c>
      <c r="L1304">
        <v>4</v>
      </c>
      <c r="M1304" t="str">
        <f>"PR21000585"</f>
        <v>PR21000585</v>
      </c>
      <c r="N1304" t="str">
        <f>"CABEL"</f>
        <v>CABEL</v>
      </c>
      <c r="O1304">
        <v>147.53</v>
      </c>
      <c r="P1304" t="str">
        <f>"$"</f>
        <v>$</v>
      </c>
      <c r="Q1304" t="str">
        <f>"117"</f>
        <v>117</v>
      </c>
      <c r="R1304" t="str">
        <f>"רתמות"</f>
        <v>רתמות</v>
      </c>
      <c r="S1304" t="str">
        <f>"040"</f>
        <v>040</v>
      </c>
      <c r="T1304" t="str">
        <f>"עמר ליגל"</f>
        <v>עמר ליגל</v>
      </c>
      <c r="U1304">
        <v>0</v>
      </c>
      <c r="V1304">
        <v>0</v>
      </c>
      <c r="W1304">
        <v>147.53</v>
      </c>
      <c r="X1304">
        <v>590.12</v>
      </c>
      <c r="Z1304" t="str">
        <f>"Y"</f>
        <v>Y</v>
      </c>
      <c r="AA1304">
        <v>0</v>
      </c>
      <c r="AC1304">
        <v>0</v>
      </c>
      <c r="AE1304">
        <v>0</v>
      </c>
      <c r="AF1304">
        <v>0</v>
      </c>
      <c r="AG1304">
        <v>477.85</v>
      </c>
      <c r="AH1304">
        <v>0</v>
      </c>
      <c r="AI1304" s="2">
        <v>1911.4</v>
      </c>
      <c r="AJ1304">
        <v>590.12</v>
      </c>
      <c r="AK1304">
        <v>590.12</v>
      </c>
      <c r="AL1304" t="str">
        <f>"$"</f>
        <v>$</v>
      </c>
    </row>
    <row r="1305" spans="1:38" x14ac:dyDescent="0.3">
      <c r="A1305" t="str">
        <f>"SO21000375"</f>
        <v>SO21000375</v>
      </c>
      <c r="B1305" t="str">
        <f>"E000345204"</f>
        <v>E000345204</v>
      </c>
      <c r="C1305" t="str">
        <f>"בוצעה"</f>
        <v>בוצעה</v>
      </c>
      <c r="E1305" s="3">
        <v>44427</v>
      </c>
      <c r="F1305" s="3">
        <v>44469</v>
      </c>
      <c r="G1305" t="str">
        <f>"700065"</f>
        <v>700065</v>
      </c>
      <c r="H1305" t="str">
        <f>"אלתא מערכות בע""מ"</f>
        <v>אלתא מערכות בע"מ</v>
      </c>
      <c r="I1305" t="str">
        <f>"רחמים זרוק"</f>
        <v>רחמים זרוק</v>
      </c>
      <c r="J1305" t="str">
        <f>"OP-AR02698"</f>
        <v>OP-AR02698</v>
      </c>
      <c r="K1305" s="1" t="str">
        <f>"2019E577-001    BFCU LAB TEST W3"</f>
        <v>2019E577-001    BFCU LAB TEST W3</v>
      </c>
      <c r="L1305">
        <v>9</v>
      </c>
      <c r="M1305" t="str">
        <f>"PR21000585"</f>
        <v>PR21000585</v>
      </c>
      <c r="N1305" t="str">
        <f>"CABEL"</f>
        <v>CABEL</v>
      </c>
      <c r="O1305">
        <v>147.53</v>
      </c>
      <c r="P1305" t="str">
        <f>"$"</f>
        <v>$</v>
      </c>
      <c r="Q1305" t="str">
        <f>"117"</f>
        <v>117</v>
      </c>
      <c r="R1305" t="str">
        <f>"רתמות"</f>
        <v>רתמות</v>
      </c>
      <c r="S1305" t="str">
        <f>"040"</f>
        <v>040</v>
      </c>
      <c r="T1305" t="str">
        <f>"עמר ליגל"</f>
        <v>עמר ליגל</v>
      </c>
      <c r="U1305">
        <v>0</v>
      </c>
      <c r="V1305">
        <v>0</v>
      </c>
      <c r="W1305">
        <v>147.53</v>
      </c>
      <c r="X1305" s="2">
        <v>1327.77</v>
      </c>
      <c r="Z1305" t="str">
        <f>"Y"</f>
        <v>Y</v>
      </c>
      <c r="AA1305">
        <v>0</v>
      </c>
      <c r="AC1305">
        <v>0</v>
      </c>
      <c r="AE1305">
        <v>0</v>
      </c>
      <c r="AF1305">
        <v>0</v>
      </c>
      <c r="AG1305">
        <v>477.85</v>
      </c>
      <c r="AH1305">
        <v>0</v>
      </c>
      <c r="AI1305" s="2">
        <v>4300.6499999999996</v>
      </c>
      <c r="AJ1305" s="2">
        <v>1327.77</v>
      </c>
      <c r="AK1305" s="2">
        <v>1327.77</v>
      </c>
      <c r="AL1305" t="str">
        <f>"$"</f>
        <v>$</v>
      </c>
    </row>
    <row r="1306" spans="1:38" x14ac:dyDescent="0.3">
      <c r="A1306" t="str">
        <f>"SO21000375"</f>
        <v>SO21000375</v>
      </c>
      <c r="B1306" t="str">
        <f>"E000345204"</f>
        <v>E000345204</v>
      </c>
      <c r="C1306" t="str">
        <f>"בוצעה"</f>
        <v>בוצעה</v>
      </c>
      <c r="E1306" s="3">
        <v>44427</v>
      </c>
      <c r="F1306" s="3">
        <v>44469</v>
      </c>
      <c r="G1306" t="str">
        <f>"700065"</f>
        <v>700065</v>
      </c>
      <c r="H1306" t="str">
        <f>"אלתא מערכות בע""מ"</f>
        <v>אלתא מערכות בע"מ</v>
      </c>
      <c r="I1306" t="str">
        <f>"רחמים זרוק"</f>
        <v>רחמים זרוק</v>
      </c>
      <c r="J1306" t="str">
        <f>"OP-AR02699"</f>
        <v>OP-AR02699</v>
      </c>
      <c r="K1306" s="1" t="str">
        <f>"1020B114-001   CABLE ASSY 1W19"</f>
        <v>1020B114-001   CABLE ASSY 1W19</v>
      </c>
      <c r="L1306">
        <v>2</v>
      </c>
      <c r="M1306" t="str">
        <f>"PR21000585"</f>
        <v>PR21000585</v>
      </c>
      <c r="N1306" t="str">
        <f>"CABEL"</f>
        <v>CABEL</v>
      </c>
      <c r="O1306">
        <v>233.54</v>
      </c>
      <c r="P1306" t="str">
        <f>"$"</f>
        <v>$</v>
      </c>
      <c r="Q1306" t="str">
        <f>"117"</f>
        <v>117</v>
      </c>
      <c r="R1306" t="str">
        <f>"רתמות"</f>
        <v>רתמות</v>
      </c>
      <c r="S1306" t="str">
        <f>"040"</f>
        <v>040</v>
      </c>
      <c r="T1306" t="str">
        <f>"עמר ליגל"</f>
        <v>עמר ליגל</v>
      </c>
      <c r="U1306">
        <v>0</v>
      </c>
      <c r="V1306">
        <v>0</v>
      </c>
      <c r="W1306">
        <v>233.54</v>
      </c>
      <c r="X1306">
        <v>467.08</v>
      </c>
      <c r="Z1306" t="str">
        <f>"Y"</f>
        <v>Y</v>
      </c>
      <c r="AA1306">
        <v>0</v>
      </c>
      <c r="AC1306">
        <v>0</v>
      </c>
      <c r="AE1306">
        <v>0</v>
      </c>
      <c r="AF1306">
        <v>0</v>
      </c>
      <c r="AG1306">
        <v>756.44</v>
      </c>
      <c r="AH1306">
        <v>0</v>
      </c>
      <c r="AI1306" s="2">
        <v>1512.87</v>
      </c>
      <c r="AJ1306">
        <v>467.08</v>
      </c>
      <c r="AK1306">
        <v>467.08</v>
      </c>
      <c r="AL1306" t="str">
        <f>"$"</f>
        <v>$</v>
      </c>
    </row>
    <row r="1307" spans="1:38" x14ac:dyDescent="0.3">
      <c r="A1307" t="str">
        <f>"SO21000375"</f>
        <v>SO21000375</v>
      </c>
      <c r="B1307" t="str">
        <f>"E000345204"</f>
        <v>E000345204</v>
      </c>
      <c r="C1307" t="str">
        <f>"בוצעה"</f>
        <v>בוצעה</v>
      </c>
      <c r="E1307" s="3">
        <v>44427</v>
      </c>
      <c r="F1307" s="3">
        <v>44469</v>
      </c>
      <c r="G1307" t="str">
        <f>"700065"</f>
        <v>700065</v>
      </c>
      <c r="H1307" t="str">
        <f>"אלתא מערכות בע""מ"</f>
        <v>אלתא מערכות בע"מ</v>
      </c>
      <c r="I1307" t="str">
        <f>"רחמים זרוק"</f>
        <v>רחמים זרוק</v>
      </c>
      <c r="J1307" t="str">
        <f>"OP-AR02699"</f>
        <v>OP-AR02699</v>
      </c>
      <c r="K1307" s="1" t="str">
        <f>"1020B114-001   CABLE ASSY 1W19"</f>
        <v>1020B114-001   CABLE ASSY 1W19</v>
      </c>
      <c r="L1307">
        <v>2</v>
      </c>
      <c r="M1307" t="str">
        <f>"PR21000585"</f>
        <v>PR21000585</v>
      </c>
      <c r="N1307" t="str">
        <f>"CABEL"</f>
        <v>CABEL</v>
      </c>
      <c r="O1307">
        <v>233.54</v>
      </c>
      <c r="P1307" t="str">
        <f>"$"</f>
        <v>$</v>
      </c>
      <c r="Q1307" t="str">
        <f>"117"</f>
        <v>117</v>
      </c>
      <c r="R1307" t="str">
        <f>"רתמות"</f>
        <v>רתמות</v>
      </c>
      <c r="S1307" t="str">
        <f>"040"</f>
        <v>040</v>
      </c>
      <c r="T1307" t="str">
        <f>"עמר ליגל"</f>
        <v>עמר ליגל</v>
      </c>
      <c r="U1307">
        <v>0</v>
      </c>
      <c r="V1307">
        <v>0</v>
      </c>
      <c r="W1307">
        <v>233.54</v>
      </c>
      <c r="X1307">
        <v>467.08</v>
      </c>
      <c r="Z1307" t="str">
        <f>"Y"</f>
        <v>Y</v>
      </c>
      <c r="AA1307">
        <v>0</v>
      </c>
      <c r="AC1307">
        <v>0</v>
      </c>
      <c r="AE1307">
        <v>0</v>
      </c>
      <c r="AF1307">
        <v>0</v>
      </c>
      <c r="AG1307">
        <v>756.44</v>
      </c>
      <c r="AH1307">
        <v>0</v>
      </c>
      <c r="AI1307" s="2">
        <v>1512.87</v>
      </c>
      <c r="AJ1307">
        <v>467.08</v>
      </c>
      <c r="AK1307">
        <v>467.08</v>
      </c>
      <c r="AL1307" t="str">
        <f>"$"</f>
        <v>$</v>
      </c>
    </row>
    <row r="1308" spans="1:38" x14ac:dyDescent="0.3">
      <c r="A1308" t="str">
        <f>"SO21000375"</f>
        <v>SO21000375</v>
      </c>
      <c r="B1308" t="str">
        <f>"E000345204"</f>
        <v>E000345204</v>
      </c>
      <c r="C1308" t="str">
        <f>"בוצעה"</f>
        <v>בוצעה</v>
      </c>
      <c r="E1308" s="3">
        <v>44427</v>
      </c>
      <c r="F1308" s="3">
        <v>44614</v>
      </c>
      <c r="G1308" t="str">
        <f>"700065"</f>
        <v>700065</v>
      </c>
      <c r="H1308" t="str">
        <f>"אלתא מערכות בע""מ"</f>
        <v>אלתא מערכות בע"מ</v>
      </c>
      <c r="I1308" t="str">
        <f>"רחמים זרוק"</f>
        <v>רחמים זרוק</v>
      </c>
      <c r="J1308" t="str">
        <f>"000"</f>
        <v>000</v>
      </c>
      <c r="K1308" s="1" t="str">
        <f>"הזמנת שירות לטובת קליטת פריט"</f>
        <v>הזמנת שירות לטובת קליטת פריט</v>
      </c>
      <c r="L1308">
        <v>1</v>
      </c>
      <c r="M1308" t="str">
        <f>"PR21000585"</f>
        <v>PR21000585</v>
      </c>
      <c r="N1308" t="str">
        <f>"CABEL"</f>
        <v>CABEL</v>
      </c>
      <c r="O1308" s="2">
        <v>2065.42</v>
      </c>
      <c r="P1308" t="str">
        <f>"$"</f>
        <v>$</v>
      </c>
      <c r="Q1308" t="str">
        <f>"117"</f>
        <v>117</v>
      </c>
      <c r="R1308" t="str">
        <f>"רתמות"</f>
        <v>רתמות</v>
      </c>
      <c r="S1308" t="str">
        <f>"040"</f>
        <v>040</v>
      </c>
      <c r="T1308" t="str">
        <f>"עמר ליגל"</f>
        <v>עמר ליגל</v>
      </c>
      <c r="U1308">
        <v>0</v>
      </c>
      <c r="V1308">
        <v>0</v>
      </c>
      <c r="W1308" s="2">
        <v>2065.42</v>
      </c>
      <c r="X1308" s="2">
        <v>2065.42</v>
      </c>
      <c r="Z1308" t="str">
        <f>"Y"</f>
        <v>Y</v>
      </c>
      <c r="AA1308">
        <v>1</v>
      </c>
      <c r="AC1308">
        <v>0</v>
      </c>
      <c r="AE1308">
        <v>0</v>
      </c>
      <c r="AF1308">
        <v>0</v>
      </c>
      <c r="AG1308" s="2">
        <v>6689.9</v>
      </c>
      <c r="AH1308">
        <v>0</v>
      </c>
      <c r="AI1308" s="2">
        <v>6689.9</v>
      </c>
      <c r="AJ1308" s="2">
        <v>2065.42</v>
      </c>
      <c r="AK1308" s="2">
        <v>2065.42</v>
      </c>
      <c r="AL1308" t="str">
        <f>"$"</f>
        <v>$</v>
      </c>
    </row>
    <row r="1309" spans="1:38" x14ac:dyDescent="0.3">
      <c r="A1309" t="str">
        <f>"SO21000376"</f>
        <v>SO21000376</v>
      </c>
      <c r="B1309" t="str">
        <f>"E000345674"</f>
        <v>E000345674</v>
      </c>
      <c r="C1309" t="str">
        <f>"בוצעה"</f>
        <v>בוצעה</v>
      </c>
      <c r="E1309" s="3">
        <v>44427</v>
      </c>
      <c r="F1309" s="3">
        <v>44530</v>
      </c>
      <c r="G1309" t="str">
        <f>"700065"</f>
        <v>700065</v>
      </c>
      <c r="H1309" t="str">
        <f>"אלתא מערכות בע""מ"</f>
        <v>אלתא מערכות בע"מ</v>
      </c>
      <c r="I1309" t="str">
        <f>"רחמים זרוק"</f>
        <v>רחמים זרוק</v>
      </c>
      <c r="J1309" t="str">
        <f>"OP-AR02200"</f>
        <v>OP-AR02200</v>
      </c>
      <c r="K1309" s="1" t="str">
        <f>"9008C162-001   HARNESS WT162 - DAU CONTROL NOSE"</f>
        <v>9008C162-001   HARNESS WT162 - DAU CONTROL NOSE</v>
      </c>
      <c r="L1309">
        <v>1</v>
      </c>
      <c r="M1309" t="str">
        <f>"PR21000592"</f>
        <v>PR21000592</v>
      </c>
      <c r="N1309" t="str">
        <f>"9008C162-001"</f>
        <v>9008C162-001</v>
      </c>
      <c r="O1309">
        <v>735.23</v>
      </c>
      <c r="P1309" t="str">
        <f>"$"</f>
        <v>$</v>
      </c>
      <c r="Q1309" t="str">
        <f>"117"</f>
        <v>117</v>
      </c>
      <c r="R1309" t="str">
        <f>"רתמות"</f>
        <v>רתמות</v>
      </c>
      <c r="S1309" t="str">
        <f>"040"</f>
        <v>040</v>
      </c>
      <c r="T1309" t="str">
        <f>"עמר ליגל"</f>
        <v>עמר ליגל</v>
      </c>
      <c r="U1309">
        <v>0</v>
      </c>
      <c r="V1309">
        <v>0</v>
      </c>
      <c r="W1309">
        <v>735.23</v>
      </c>
      <c r="X1309">
        <v>735.23</v>
      </c>
      <c r="Z1309" t="str">
        <f>"Y"</f>
        <v>Y</v>
      </c>
      <c r="AA1309">
        <v>0</v>
      </c>
      <c r="AC1309">
        <v>0</v>
      </c>
      <c r="AE1309">
        <v>0</v>
      </c>
      <c r="AF1309">
        <v>0</v>
      </c>
      <c r="AG1309" s="2">
        <v>2381.41</v>
      </c>
      <c r="AH1309">
        <v>0</v>
      </c>
      <c r="AI1309" s="2">
        <v>2381.41</v>
      </c>
      <c r="AJ1309">
        <v>735.23</v>
      </c>
      <c r="AK1309">
        <v>735.23</v>
      </c>
      <c r="AL1309" t="str">
        <f>"$"</f>
        <v>$</v>
      </c>
    </row>
    <row r="1310" spans="1:38" x14ac:dyDescent="0.3">
      <c r="A1310" t="str">
        <f>"SO21000396"</f>
        <v>SO21000396</v>
      </c>
      <c r="B1310" t="str">
        <f>"1פנימית"</f>
        <v>1פנימית</v>
      </c>
      <c r="C1310" t="str">
        <f>"בוצעה"</f>
        <v>בוצעה</v>
      </c>
      <c r="E1310" s="3">
        <v>44444</v>
      </c>
      <c r="F1310" s="3">
        <v>44444</v>
      </c>
      <c r="G1310" t="str">
        <f>"700065"</f>
        <v>700065</v>
      </c>
      <c r="H1310" t="str">
        <f>"אלתא מערכות בע""מ"</f>
        <v>אלתא מערכות בע"מ</v>
      </c>
      <c r="I1310" t="str">
        <f>"ערן שלו"</f>
        <v>ערן שלו</v>
      </c>
      <c r="J1310" t="str">
        <f>"OP-ML00190"</f>
        <v>OP-ML00190</v>
      </c>
      <c r="K1310" s="1" t="str">
        <f>"RPU RECTIFIER RACK"</f>
        <v>RPU RECTIFIER RACK</v>
      </c>
      <c r="L1310">
        <v>1</v>
      </c>
      <c r="M1310" t="str">
        <f>"PR20000699"</f>
        <v>PR20000699</v>
      </c>
      <c r="N1310" t="str">
        <f>"1038C906-001 RPU2"</f>
        <v>1038C906-001 RPU2</v>
      </c>
      <c r="O1310">
        <v>0</v>
      </c>
      <c r="P1310" t="str">
        <f>"$"</f>
        <v>$</v>
      </c>
      <c r="Q1310" t="str">
        <f>"118"</f>
        <v>118</v>
      </c>
      <c r="R1310" t="str">
        <f>"מערכות"</f>
        <v>מערכות</v>
      </c>
      <c r="S1310" t="str">
        <f>"034"</f>
        <v>034</v>
      </c>
      <c r="T1310" t="str">
        <f>"עמר ליגל"</f>
        <v>עמר ליגל</v>
      </c>
      <c r="U1310">
        <v>0</v>
      </c>
      <c r="V1310">
        <v>0</v>
      </c>
      <c r="W1310">
        <v>0</v>
      </c>
      <c r="X1310">
        <v>0</v>
      </c>
      <c r="Z1310" t="str">
        <f>"Y"</f>
        <v>Y</v>
      </c>
      <c r="AA1310">
        <v>0</v>
      </c>
      <c r="AC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 t="str">
        <f>"$"</f>
        <v>$</v>
      </c>
    </row>
    <row r="1311" spans="1:38" x14ac:dyDescent="0.3">
      <c r="A1311" t="str">
        <f>"SO21000406"</f>
        <v>SO21000406</v>
      </c>
      <c r="B1311" t="str">
        <f>"E000345587"</f>
        <v>E000345587</v>
      </c>
      <c r="C1311" t="str">
        <f>"בוצעה"</f>
        <v>בוצעה</v>
      </c>
      <c r="E1311" s="3">
        <v>44458</v>
      </c>
      <c r="F1311" s="3">
        <v>44602</v>
      </c>
      <c r="G1311" t="str">
        <f>"700065"</f>
        <v>700065</v>
      </c>
      <c r="H1311" t="str">
        <f>"אלתא מערכות בע""מ"</f>
        <v>אלתא מערכות בע"מ</v>
      </c>
      <c r="I1311" t="str">
        <f>"רחמים זרוק"</f>
        <v>רחמים זרוק</v>
      </c>
      <c r="J1311" t="str">
        <f>"OP-AR02793"</f>
        <v>OP-AR02793</v>
      </c>
      <c r="K1311" s="1" t="str">
        <f>"2126B064-001   SHW4 - TEST Plug Signal CABLE ASSY"</f>
        <v>2126B064-001   SHW4 - TEST Plug Signal CABLE ASSY</v>
      </c>
      <c r="L1311">
        <v>2</v>
      </c>
      <c r="M1311" t="str">
        <f>"PR21000643"</f>
        <v>PR21000643</v>
      </c>
      <c r="N1311" t="str">
        <f>"CABEL"</f>
        <v>CABEL</v>
      </c>
      <c r="O1311">
        <v>953.73</v>
      </c>
      <c r="P1311" t="str">
        <f>"$"</f>
        <v>$</v>
      </c>
      <c r="Q1311" t="str">
        <f>"117"</f>
        <v>117</v>
      </c>
      <c r="R1311" t="str">
        <f>"רתמות"</f>
        <v>רתמות</v>
      </c>
      <c r="S1311" t="str">
        <f>"040"</f>
        <v>040</v>
      </c>
      <c r="T1311" t="str">
        <f>"עמר ליגל"</f>
        <v>עמר ליגל</v>
      </c>
      <c r="U1311">
        <v>0</v>
      </c>
      <c r="V1311">
        <v>0</v>
      </c>
      <c r="W1311">
        <v>953.73</v>
      </c>
      <c r="X1311" s="2">
        <v>1907.46</v>
      </c>
      <c r="Z1311" t="str">
        <f>"Y"</f>
        <v>Y</v>
      </c>
      <c r="AA1311">
        <v>0</v>
      </c>
      <c r="AC1311">
        <v>0</v>
      </c>
      <c r="AE1311">
        <v>0</v>
      </c>
      <c r="AF1311">
        <v>0</v>
      </c>
      <c r="AG1311" s="2">
        <v>3058.61</v>
      </c>
      <c r="AH1311">
        <v>0</v>
      </c>
      <c r="AI1311" s="2">
        <v>6117.22</v>
      </c>
      <c r="AJ1311" s="2">
        <v>1907.46</v>
      </c>
      <c r="AK1311" s="2">
        <v>1907.46</v>
      </c>
      <c r="AL1311" t="str">
        <f>"$"</f>
        <v>$</v>
      </c>
    </row>
    <row r="1312" spans="1:38" x14ac:dyDescent="0.3">
      <c r="A1312" t="str">
        <f>"SO21000406"</f>
        <v>SO21000406</v>
      </c>
      <c r="B1312" t="str">
        <f>"E000345587"</f>
        <v>E000345587</v>
      </c>
      <c r="C1312" t="str">
        <f>"בוצעה"</f>
        <v>בוצעה</v>
      </c>
      <c r="E1312" s="3">
        <v>44458</v>
      </c>
      <c r="F1312" s="3">
        <v>44602</v>
      </c>
      <c r="G1312" t="str">
        <f>"700065"</f>
        <v>700065</v>
      </c>
      <c r="H1312" t="str">
        <f>"אלתא מערכות בע""מ"</f>
        <v>אלתא מערכות בע"מ</v>
      </c>
      <c r="I1312" t="str">
        <f>"רחמים זרוק"</f>
        <v>רחמים זרוק</v>
      </c>
      <c r="J1312" t="str">
        <f>"OP-AR02794"</f>
        <v>OP-AR02794</v>
      </c>
      <c r="K1312" s="1" t="str">
        <f>"2215B490-001   BFU-GR CABLE"</f>
        <v>2215B490-001   BFU-GR CABLE</v>
      </c>
      <c r="L1312">
        <v>1</v>
      </c>
      <c r="M1312" t="str">
        <f>"PR21000643"</f>
        <v>PR21000643</v>
      </c>
      <c r="N1312" t="str">
        <f>"CABEL"</f>
        <v>CABEL</v>
      </c>
      <c r="O1312">
        <v>653.03</v>
      </c>
      <c r="P1312" t="str">
        <f>"$"</f>
        <v>$</v>
      </c>
      <c r="Q1312" t="str">
        <f>"117"</f>
        <v>117</v>
      </c>
      <c r="R1312" t="str">
        <f>"רתמות"</f>
        <v>רתמות</v>
      </c>
      <c r="S1312" t="str">
        <f>"040"</f>
        <v>040</v>
      </c>
      <c r="T1312" t="str">
        <f>"עמר ליגל"</f>
        <v>עמר ליגל</v>
      </c>
      <c r="U1312">
        <v>0</v>
      </c>
      <c r="V1312">
        <v>0</v>
      </c>
      <c r="W1312">
        <v>653.03</v>
      </c>
      <c r="X1312">
        <v>653.03</v>
      </c>
      <c r="Z1312" t="str">
        <f>"Y"</f>
        <v>Y</v>
      </c>
      <c r="AA1312">
        <v>0</v>
      </c>
      <c r="AC1312">
        <v>0</v>
      </c>
      <c r="AE1312">
        <v>0</v>
      </c>
      <c r="AF1312">
        <v>0</v>
      </c>
      <c r="AG1312" s="2">
        <v>2094.27</v>
      </c>
      <c r="AH1312">
        <v>0</v>
      </c>
      <c r="AI1312" s="2">
        <v>2094.27</v>
      </c>
      <c r="AJ1312">
        <v>653.03</v>
      </c>
      <c r="AK1312">
        <v>653.03</v>
      </c>
      <c r="AL1312" t="str">
        <f>"$"</f>
        <v>$</v>
      </c>
    </row>
    <row r="1313" spans="1:38" x14ac:dyDescent="0.3">
      <c r="A1313" t="str">
        <f>"SO21000406"</f>
        <v>SO21000406</v>
      </c>
      <c r="B1313" t="str">
        <f>"E000345587"</f>
        <v>E000345587</v>
      </c>
      <c r="C1313" t="str">
        <f>"בוצעה"</f>
        <v>בוצעה</v>
      </c>
      <c r="E1313" s="3">
        <v>44458</v>
      </c>
      <c r="F1313" s="3">
        <v>44602</v>
      </c>
      <c r="G1313" t="str">
        <f>"700065"</f>
        <v>700065</v>
      </c>
      <c r="H1313" t="str">
        <f>"אלתא מערכות בע""מ"</f>
        <v>אלתא מערכות בע"מ</v>
      </c>
      <c r="I1313" t="str">
        <f>"רחמים זרוק"</f>
        <v>רחמים זרוק</v>
      </c>
      <c r="J1313" t="str">
        <f>"OP-AR02795"</f>
        <v>OP-AR02795</v>
      </c>
      <c r="K1313" s="1" t="str">
        <f>"2218B940-001   W5S CABLE ASSY"</f>
        <v>2218B940-001   W5S CABLE ASSY</v>
      </c>
      <c r="L1313">
        <v>1</v>
      </c>
      <c r="M1313" t="str">
        <f>"PR21000643"</f>
        <v>PR21000643</v>
      </c>
      <c r="N1313" t="str">
        <f>"CABEL"</f>
        <v>CABEL</v>
      </c>
      <c r="O1313">
        <v>611.29</v>
      </c>
      <c r="P1313" t="str">
        <f>"$"</f>
        <v>$</v>
      </c>
      <c r="Q1313" t="str">
        <f>"117"</f>
        <v>117</v>
      </c>
      <c r="R1313" t="str">
        <f>"רתמות"</f>
        <v>רתמות</v>
      </c>
      <c r="S1313" t="str">
        <f>"040"</f>
        <v>040</v>
      </c>
      <c r="T1313" t="str">
        <f>"עמר ליגל"</f>
        <v>עמר ליגל</v>
      </c>
      <c r="U1313">
        <v>0</v>
      </c>
      <c r="V1313">
        <v>0</v>
      </c>
      <c r="W1313">
        <v>611.29</v>
      </c>
      <c r="X1313">
        <v>611.29</v>
      </c>
      <c r="Z1313" t="str">
        <f>"Y"</f>
        <v>Y</v>
      </c>
      <c r="AA1313">
        <v>0</v>
      </c>
      <c r="AC1313">
        <v>0</v>
      </c>
      <c r="AE1313">
        <v>0</v>
      </c>
      <c r="AF1313">
        <v>0</v>
      </c>
      <c r="AG1313" s="2">
        <v>1960.41</v>
      </c>
      <c r="AH1313">
        <v>0</v>
      </c>
      <c r="AI1313" s="2">
        <v>1960.41</v>
      </c>
      <c r="AJ1313">
        <v>611.29</v>
      </c>
      <c r="AK1313">
        <v>611.29</v>
      </c>
      <c r="AL1313" t="str">
        <f>"$"</f>
        <v>$</v>
      </c>
    </row>
    <row r="1314" spans="1:38" x14ac:dyDescent="0.3">
      <c r="A1314" t="str">
        <f>"SO21000406"</f>
        <v>SO21000406</v>
      </c>
      <c r="B1314" t="str">
        <f>"E000345587"</f>
        <v>E000345587</v>
      </c>
      <c r="C1314" t="str">
        <f>"בוצעה"</f>
        <v>בוצעה</v>
      </c>
      <c r="E1314" s="3">
        <v>44458</v>
      </c>
      <c r="F1314" s="3">
        <v>44602</v>
      </c>
      <c r="G1314" t="str">
        <f>"700065"</f>
        <v>700065</v>
      </c>
      <c r="H1314" t="str">
        <f>"אלתא מערכות בע""מ"</f>
        <v>אלתא מערכות בע"מ</v>
      </c>
      <c r="I1314" t="str">
        <f>"רחמים זרוק"</f>
        <v>רחמים זרוק</v>
      </c>
      <c r="J1314" t="str">
        <f>"OP-AR02796"</f>
        <v>OP-AR02796</v>
      </c>
      <c r="K1314" s="1" t="str">
        <f>"2218B942-001   W51SP1 CABLE ASSY"</f>
        <v>2218B942-001   W51SP1 CABLE ASSY</v>
      </c>
      <c r="L1314">
        <v>1</v>
      </c>
      <c r="M1314" t="str">
        <f>"PR21000643"</f>
        <v>PR21000643</v>
      </c>
      <c r="N1314" t="str">
        <f>"CABEL"</f>
        <v>CABEL</v>
      </c>
      <c r="O1314">
        <v>264.91000000000003</v>
      </c>
      <c r="P1314" t="str">
        <f>"$"</f>
        <v>$</v>
      </c>
      <c r="Q1314" t="str">
        <f>"117"</f>
        <v>117</v>
      </c>
      <c r="R1314" t="str">
        <f>"רתמות"</f>
        <v>רתמות</v>
      </c>
      <c r="S1314" t="str">
        <f>"040"</f>
        <v>040</v>
      </c>
      <c r="T1314" t="str">
        <f>"עמר ליגל"</f>
        <v>עמר ליגל</v>
      </c>
      <c r="U1314">
        <v>0</v>
      </c>
      <c r="V1314">
        <v>0</v>
      </c>
      <c r="W1314">
        <v>264.91000000000003</v>
      </c>
      <c r="X1314">
        <v>264.91000000000003</v>
      </c>
      <c r="Z1314" t="str">
        <f>"Y"</f>
        <v>Y</v>
      </c>
      <c r="AA1314">
        <v>0</v>
      </c>
      <c r="AC1314">
        <v>0</v>
      </c>
      <c r="AE1314">
        <v>0</v>
      </c>
      <c r="AF1314">
        <v>0</v>
      </c>
      <c r="AG1314">
        <v>849.57</v>
      </c>
      <c r="AH1314">
        <v>0</v>
      </c>
      <c r="AI1314">
        <v>849.57</v>
      </c>
      <c r="AJ1314">
        <v>264.91000000000003</v>
      </c>
      <c r="AK1314">
        <v>264.91000000000003</v>
      </c>
      <c r="AL1314" t="str">
        <f>"$"</f>
        <v>$</v>
      </c>
    </row>
    <row r="1315" spans="1:38" x14ac:dyDescent="0.3">
      <c r="A1315" t="str">
        <f>"SO21000406"</f>
        <v>SO21000406</v>
      </c>
      <c r="B1315" t="str">
        <f>"E000345587"</f>
        <v>E000345587</v>
      </c>
      <c r="C1315" t="str">
        <f>"בוצעה"</f>
        <v>בוצעה</v>
      </c>
      <c r="E1315" s="3">
        <v>44458</v>
      </c>
      <c r="F1315" s="3">
        <v>44602</v>
      </c>
      <c r="G1315" t="str">
        <f>"700065"</f>
        <v>700065</v>
      </c>
      <c r="H1315" t="str">
        <f>"אלתא מערכות בע""מ"</f>
        <v>אלתא מערכות בע"מ</v>
      </c>
      <c r="I1315" t="str">
        <f>"רחמים זרוק"</f>
        <v>רחמים זרוק</v>
      </c>
      <c r="J1315" t="str">
        <f>"OP-AR02797"</f>
        <v>OP-AR02797</v>
      </c>
      <c r="K1315" s="1" t="str">
        <f>"2218B944-001   W51SP2 CABLE ASSY"</f>
        <v>2218B944-001   W51SP2 CABLE ASSY</v>
      </c>
      <c r="L1315">
        <v>1</v>
      </c>
      <c r="M1315" t="str">
        <f>"PR21000643"</f>
        <v>PR21000643</v>
      </c>
      <c r="N1315" t="str">
        <f>"CABEL"</f>
        <v>CABEL</v>
      </c>
      <c r="O1315">
        <v>264.20999999999998</v>
      </c>
      <c r="P1315" t="str">
        <f>"$"</f>
        <v>$</v>
      </c>
      <c r="Q1315" t="str">
        <f>"117"</f>
        <v>117</v>
      </c>
      <c r="R1315" t="str">
        <f>"רתמות"</f>
        <v>רתמות</v>
      </c>
      <c r="S1315" t="str">
        <f>"040"</f>
        <v>040</v>
      </c>
      <c r="T1315" t="str">
        <f>"עמר ליגל"</f>
        <v>עמר ליגל</v>
      </c>
      <c r="U1315">
        <v>0</v>
      </c>
      <c r="V1315">
        <v>0</v>
      </c>
      <c r="W1315">
        <v>264.20999999999998</v>
      </c>
      <c r="X1315">
        <v>264.20999999999998</v>
      </c>
      <c r="Z1315" t="str">
        <f>"Y"</f>
        <v>Y</v>
      </c>
      <c r="AA1315">
        <v>0</v>
      </c>
      <c r="AC1315">
        <v>0</v>
      </c>
      <c r="AE1315">
        <v>0</v>
      </c>
      <c r="AF1315">
        <v>0</v>
      </c>
      <c r="AG1315">
        <v>847.32</v>
      </c>
      <c r="AH1315">
        <v>0</v>
      </c>
      <c r="AI1315">
        <v>847.32</v>
      </c>
      <c r="AJ1315">
        <v>264.20999999999998</v>
      </c>
      <c r="AK1315">
        <v>264.20999999999998</v>
      </c>
      <c r="AL1315" t="str">
        <f>"$"</f>
        <v>$</v>
      </c>
    </row>
    <row r="1316" spans="1:38" x14ac:dyDescent="0.3">
      <c r="A1316" t="str">
        <f>"SO21000406"</f>
        <v>SO21000406</v>
      </c>
      <c r="B1316" t="str">
        <f>"E000345587"</f>
        <v>E000345587</v>
      </c>
      <c r="C1316" t="str">
        <f>"בוצעה"</f>
        <v>בוצעה</v>
      </c>
      <c r="E1316" s="3">
        <v>44458</v>
      </c>
      <c r="F1316" s="3">
        <v>44706</v>
      </c>
      <c r="G1316" t="str">
        <f>"700065"</f>
        <v>700065</v>
      </c>
      <c r="H1316" t="str">
        <f>"אלתא מערכות בע""מ"</f>
        <v>אלתא מערכות בע"מ</v>
      </c>
      <c r="I1316" t="str">
        <f>"רחמים זרוק"</f>
        <v>רחמים זרוק</v>
      </c>
      <c r="J1316" t="str">
        <f>"OP-AR02798"</f>
        <v>OP-AR02798</v>
      </c>
      <c r="K1316" s="1" t="str">
        <f>"NRE לכבלים בהזמנה E000345587"</f>
        <v>NRE לכבלים בהזמנה E000345587</v>
      </c>
      <c r="L1316">
        <v>1</v>
      </c>
      <c r="M1316" t="str">
        <f>"PR21000643"</f>
        <v>PR21000643</v>
      </c>
      <c r="N1316" t="str">
        <f>"CABEL"</f>
        <v>CABEL</v>
      </c>
      <c r="O1316">
        <v>378</v>
      </c>
      <c r="P1316" t="str">
        <f>"$"</f>
        <v>$</v>
      </c>
      <c r="Q1316" t="str">
        <f>"117"</f>
        <v>117</v>
      </c>
      <c r="R1316" t="str">
        <f>"רתמות"</f>
        <v>רתמות</v>
      </c>
      <c r="S1316" t="str">
        <f>"040"</f>
        <v>040</v>
      </c>
      <c r="T1316" t="str">
        <f>"עמר ליגל"</f>
        <v>עמר ליגל</v>
      </c>
      <c r="U1316">
        <v>0</v>
      </c>
      <c r="V1316">
        <v>0</v>
      </c>
      <c r="W1316">
        <v>378</v>
      </c>
      <c r="X1316">
        <v>378</v>
      </c>
      <c r="Z1316" t="str">
        <f>"Y"</f>
        <v>Y</v>
      </c>
      <c r="AA1316">
        <v>1</v>
      </c>
      <c r="AC1316">
        <v>0</v>
      </c>
      <c r="AE1316">
        <v>0</v>
      </c>
      <c r="AF1316">
        <v>0</v>
      </c>
      <c r="AG1316" s="2">
        <v>1212.25</v>
      </c>
      <c r="AH1316">
        <v>0</v>
      </c>
      <c r="AI1316" s="2">
        <v>1212.25</v>
      </c>
      <c r="AJ1316">
        <v>378</v>
      </c>
      <c r="AK1316">
        <v>378</v>
      </c>
      <c r="AL1316" t="str">
        <f>"$"</f>
        <v>$</v>
      </c>
    </row>
    <row r="1317" spans="1:38" x14ac:dyDescent="0.3">
      <c r="A1317" t="str">
        <f>"SO21000407"</f>
        <v>SO21000407</v>
      </c>
      <c r="B1317" t="str">
        <f>"פפנימית"</f>
        <v>פפנימית</v>
      </c>
      <c r="C1317" t="str">
        <f>"בוצעה"</f>
        <v>בוצעה</v>
      </c>
      <c r="E1317" s="3">
        <v>44458</v>
      </c>
      <c r="F1317" s="3">
        <v>44458</v>
      </c>
      <c r="G1317" t="str">
        <f>"700065"</f>
        <v>700065</v>
      </c>
      <c r="H1317" t="str">
        <f>"אלתא מערכות בע""מ"</f>
        <v>אלתא מערכות בע"מ</v>
      </c>
      <c r="I1317" t="str">
        <f>"ערן שלו"</f>
        <v>ערן שלו</v>
      </c>
      <c r="J1317" t="str">
        <f>"CB1215050"</f>
        <v>CB1215050</v>
      </c>
      <c r="K1317" s="1" t="str">
        <f>"כבל פוליאוריתן 5X50 H07BQ-F"</f>
        <v>כבל פוליאוריתן 5X50 H07BQ-F</v>
      </c>
      <c r="L1317">
        <v>7</v>
      </c>
      <c r="M1317" t="str">
        <f>"PR20000698"</f>
        <v>PR20000698</v>
      </c>
      <c r="N1317" t="str">
        <f>"1038C906-001 RPU1"</f>
        <v>1038C906-001 RPU1</v>
      </c>
      <c r="O1317">
        <v>0</v>
      </c>
      <c r="P1317" t="str">
        <f>"$"</f>
        <v>$</v>
      </c>
      <c r="Q1317" t="str">
        <f>"118"</f>
        <v>118</v>
      </c>
      <c r="R1317" t="str">
        <f>"מערכות"</f>
        <v>מערכות</v>
      </c>
      <c r="S1317" t="str">
        <f>"034"</f>
        <v>034</v>
      </c>
      <c r="T1317" t="str">
        <f>"עמר ליגל"</f>
        <v>עמר ליגל</v>
      </c>
      <c r="U1317">
        <v>0</v>
      </c>
      <c r="V1317">
        <v>0</v>
      </c>
      <c r="W1317">
        <v>0</v>
      </c>
      <c r="X1317">
        <v>0</v>
      </c>
      <c r="Z1317" t="str">
        <f>"Y"</f>
        <v>Y</v>
      </c>
      <c r="AA1317">
        <v>0</v>
      </c>
      <c r="AC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 t="str">
        <f>"$"</f>
        <v>$</v>
      </c>
    </row>
    <row r="1318" spans="1:38" x14ac:dyDescent="0.3">
      <c r="A1318" t="str">
        <f>"SO21000411"</f>
        <v>SO21000411</v>
      </c>
      <c r="B1318" t="str">
        <f>"בויח אללל הנמזה"</f>
        <v>בויח אללל הנמזה</v>
      </c>
      <c r="C1318" t="str">
        <f>"בוצעה"</f>
        <v>בוצעה</v>
      </c>
      <c r="E1318" s="3">
        <v>44461</v>
      </c>
      <c r="F1318" s="3">
        <v>44576</v>
      </c>
      <c r="G1318" t="str">
        <f>"700065"</f>
        <v>700065</v>
      </c>
      <c r="H1318" t="str">
        <f>"אלתא מערכות בע""מ"</f>
        <v>אלתא מערכות בע"מ</v>
      </c>
      <c r="I1318" t="str">
        <f>"ערן שלו"</f>
        <v>ערן שלו</v>
      </c>
      <c r="J1318" t="str">
        <f>"OP-AR01088"</f>
        <v>OP-AR01088</v>
      </c>
      <c r="K1318" s="1" t="str">
        <f>"1038H185-001 SRASR POWER DISTRIUTION UNIT"</f>
        <v>1038H185-001 SRASR POWER DISTRIUTION UNIT</v>
      </c>
      <c r="L1318">
        <v>1</v>
      </c>
      <c r="M1318" t="str">
        <f>"PR21000153"</f>
        <v>PR21000153</v>
      </c>
      <c r="N1318" t="str">
        <f>"PDU ליטא"</f>
        <v>PDU ליטא</v>
      </c>
      <c r="O1318">
        <v>0</v>
      </c>
      <c r="P1318" t="str">
        <f>"$"</f>
        <v>$</v>
      </c>
      <c r="Q1318" t="str">
        <f>"118"</f>
        <v>118</v>
      </c>
      <c r="R1318" t="str">
        <f>"מערכות"</f>
        <v>מערכות</v>
      </c>
      <c r="S1318" t="str">
        <f>"034"</f>
        <v>034</v>
      </c>
      <c r="T1318" t="str">
        <f>"עמר ליגל"</f>
        <v>עמר ליגל</v>
      </c>
      <c r="U1318">
        <v>0</v>
      </c>
      <c r="V1318">
        <v>0</v>
      </c>
      <c r="W1318">
        <v>0</v>
      </c>
      <c r="X1318">
        <v>0</v>
      </c>
      <c r="Z1318" t="str">
        <f>"Y"</f>
        <v>Y</v>
      </c>
      <c r="AA1318">
        <v>1</v>
      </c>
      <c r="AC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 t="str">
        <f>"$"</f>
        <v>$</v>
      </c>
    </row>
    <row r="1319" spans="1:38" x14ac:dyDescent="0.3">
      <c r="A1319" t="str">
        <f>"SO21000415"</f>
        <v>SO21000415</v>
      </c>
      <c r="B1319" t="str">
        <f>"E000346556"</f>
        <v>E000346556</v>
      </c>
      <c r="C1319" t="str">
        <f>"בוצעה"</f>
        <v>בוצעה</v>
      </c>
      <c r="E1319" s="3">
        <v>44468</v>
      </c>
      <c r="F1319" s="3">
        <v>44469</v>
      </c>
      <c r="G1319" t="str">
        <f>"700065"</f>
        <v>700065</v>
      </c>
      <c r="H1319" t="str">
        <f>"אלתא מערכות בע""מ"</f>
        <v>אלתא מערכות בע"מ</v>
      </c>
      <c r="I1319" t="str">
        <f>"רוני דידי"</f>
        <v>רוני דידי</v>
      </c>
      <c r="J1319" t="str">
        <f>"cust000992"</f>
        <v>cust000992</v>
      </c>
      <c r="K1319" s="1" t="str">
        <f>"POWER DISTRIBUTION BOARD 06/07 אלתא ספינות"</f>
        <v>POWER DISTRIBUTION BOARD 06/07 אלתא ספינות</v>
      </c>
      <c r="L1319">
        <v>1</v>
      </c>
      <c r="M1319" t="str">
        <f>"PR21000647"</f>
        <v>PR21000647</v>
      </c>
      <c r="N1319" t="str">
        <f>"תיקון לוח 6/7"</f>
        <v>תיקון לוח 6/7</v>
      </c>
      <c r="O1319" s="2">
        <v>28500</v>
      </c>
      <c r="P1319" t="str">
        <f>"$"</f>
        <v>$</v>
      </c>
      <c r="Q1319" t="str">
        <f>"118"</f>
        <v>118</v>
      </c>
      <c r="R1319" t="str">
        <f>"מערכות"</f>
        <v>מערכות</v>
      </c>
      <c r="S1319" t="str">
        <f>"007"</f>
        <v>007</v>
      </c>
      <c r="T1319" t="str">
        <f>"עמר ליגל"</f>
        <v>עמר ליגל</v>
      </c>
      <c r="U1319">
        <v>0</v>
      </c>
      <c r="V1319">
        <v>0</v>
      </c>
      <c r="W1319" s="2">
        <v>28500</v>
      </c>
      <c r="X1319" s="2">
        <v>28500</v>
      </c>
      <c r="Z1319" t="str">
        <f>"Y"</f>
        <v>Y</v>
      </c>
      <c r="AA1319">
        <v>0</v>
      </c>
      <c r="AC1319">
        <v>0</v>
      </c>
      <c r="AE1319">
        <v>0</v>
      </c>
      <c r="AF1319">
        <v>0</v>
      </c>
      <c r="AG1319" s="2">
        <v>91399.5</v>
      </c>
      <c r="AH1319">
        <v>0</v>
      </c>
      <c r="AI1319" s="2">
        <v>91399.5</v>
      </c>
      <c r="AJ1319" s="2">
        <v>28500</v>
      </c>
      <c r="AK1319" s="2">
        <v>28500</v>
      </c>
      <c r="AL1319" t="str">
        <f>"$"</f>
        <v>$</v>
      </c>
    </row>
    <row r="1320" spans="1:38" x14ac:dyDescent="0.3">
      <c r="A1320" t="str">
        <f>"SO21000418"</f>
        <v>SO21000418</v>
      </c>
      <c r="B1320" t="str">
        <f>"E000346956"</f>
        <v>E000346956</v>
      </c>
      <c r="C1320" t="str">
        <f>"בוצעה"</f>
        <v>בוצעה</v>
      </c>
      <c r="E1320" s="3">
        <v>44474</v>
      </c>
      <c r="F1320" s="3">
        <v>44474</v>
      </c>
      <c r="G1320" t="str">
        <f>"700065"</f>
        <v>700065</v>
      </c>
      <c r="H1320" t="str">
        <f>"אלתא מערכות בע""מ"</f>
        <v>אלתא מערכות בע"מ</v>
      </c>
      <c r="I1320" t="str">
        <f>"ערן שלו"</f>
        <v>ערן שלו</v>
      </c>
      <c r="J1320" t="str">
        <f>"000"</f>
        <v>000</v>
      </c>
      <c r="K1320" s="1" t="str">
        <f>"תשלום עבור אנליזות, שינוי תוכניות עבודה"</f>
        <v>תשלום עבור אנליזות, שינוי תוכניות עבודה</v>
      </c>
      <c r="L1320">
        <v>1</v>
      </c>
      <c r="M1320" t="str">
        <f>"PR20000358"</f>
        <v>PR20000358</v>
      </c>
      <c r="N1320" t="str">
        <f>"הזמנת קרונות RPU לצ'כיה"</f>
        <v>הזמנת קרונות RPU לצ'כיה</v>
      </c>
      <c r="O1320" s="2">
        <v>70000</v>
      </c>
      <c r="P1320" t="str">
        <f>"$"</f>
        <v>$</v>
      </c>
      <c r="Q1320" t="str">
        <f>"119"</f>
        <v>119</v>
      </c>
      <c r="R1320" t="str">
        <f>"פלטפורמות"</f>
        <v>פלטפורמות</v>
      </c>
      <c r="S1320" t="str">
        <f>"034"</f>
        <v>034</v>
      </c>
      <c r="T1320" t="str">
        <f>"עמר ליגל"</f>
        <v>עמר ליגל</v>
      </c>
      <c r="U1320">
        <v>0</v>
      </c>
      <c r="V1320">
        <v>0</v>
      </c>
      <c r="W1320" s="2">
        <v>70000</v>
      </c>
      <c r="X1320" s="2">
        <v>70000</v>
      </c>
      <c r="Z1320" t="str">
        <f>"Y"</f>
        <v>Y</v>
      </c>
      <c r="AA1320">
        <v>1</v>
      </c>
      <c r="AC1320">
        <v>0</v>
      </c>
      <c r="AE1320">
        <v>0</v>
      </c>
      <c r="AF1320">
        <v>0</v>
      </c>
      <c r="AG1320" s="2">
        <v>225190</v>
      </c>
      <c r="AH1320">
        <v>0</v>
      </c>
      <c r="AI1320" s="2">
        <v>225190</v>
      </c>
      <c r="AJ1320" s="2">
        <v>70000</v>
      </c>
      <c r="AK1320" s="2">
        <v>70000</v>
      </c>
      <c r="AL1320" t="str">
        <f>"$"</f>
        <v>$</v>
      </c>
    </row>
    <row r="1321" spans="1:38" x14ac:dyDescent="0.3">
      <c r="A1321" t="str">
        <f>"SO21000418"</f>
        <v>SO21000418</v>
      </c>
      <c r="B1321" t="str">
        <f>"E000346956"</f>
        <v>E000346956</v>
      </c>
      <c r="C1321" t="str">
        <f>"בוצעה"</f>
        <v>בוצעה</v>
      </c>
      <c r="E1321" s="3">
        <v>44474</v>
      </c>
      <c r="F1321" s="3">
        <v>44474</v>
      </c>
      <c r="G1321" t="str">
        <f>"700065"</f>
        <v>700065</v>
      </c>
      <c r="H1321" t="str">
        <f>"אלתא מערכות בע""מ"</f>
        <v>אלתא מערכות בע"מ</v>
      </c>
      <c r="I1321" t="str">
        <f>"ערן שלו"</f>
        <v>ערן שלו</v>
      </c>
      <c r="J1321" t="str">
        <f>"000"</f>
        <v>000</v>
      </c>
      <c r="K1321" s="1" t="str">
        <f>"תוספת עבור חומר גלם וש""ע בייצור ה RPU"</f>
        <v>תוספת עבור חומר גלם וש"ע בייצור ה RPU</v>
      </c>
      <c r="L1321">
        <v>1</v>
      </c>
      <c r="M1321" t="str">
        <f>"PR20000698"</f>
        <v>PR20000698</v>
      </c>
      <c r="N1321" t="str">
        <f>"1038C906-001 RPU1"</f>
        <v>1038C906-001 RPU1</v>
      </c>
      <c r="O1321" s="2">
        <v>25000</v>
      </c>
      <c r="P1321" t="str">
        <f>"$"</f>
        <v>$</v>
      </c>
      <c r="Q1321" t="str">
        <f>"119"</f>
        <v>119</v>
      </c>
      <c r="R1321" t="str">
        <f>"פלטפורמות"</f>
        <v>פלטפורמות</v>
      </c>
      <c r="S1321" t="str">
        <f>"034"</f>
        <v>034</v>
      </c>
      <c r="T1321" t="str">
        <f>"עמר ליגל"</f>
        <v>עמר ליגל</v>
      </c>
      <c r="U1321">
        <v>0</v>
      </c>
      <c r="V1321">
        <v>0</v>
      </c>
      <c r="W1321" s="2">
        <v>25000</v>
      </c>
      <c r="X1321" s="2">
        <v>25000</v>
      </c>
      <c r="Z1321" t="str">
        <f>"Y"</f>
        <v>Y</v>
      </c>
      <c r="AA1321">
        <v>1</v>
      </c>
      <c r="AC1321">
        <v>0</v>
      </c>
      <c r="AE1321">
        <v>0</v>
      </c>
      <c r="AF1321">
        <v>0</v>
      </c>
      <c r="AG1321" s="2">
        <v>80425</v>
      </c>
      <c r="AH1321">
        <v>0</v>
      </c>
      <c r="AI1321" s="2">
        <v>80425</v>
      </c>
      <c r="AJ1321" s="2">
        <v>25000</v>
      </c>
      <c r="AK1321" s="2">
        <v>25000</v>
      </c>
      <c r="AL1321" t="str">
        <f>"$"</f>
        <v>$</v>
      </c>
    </row>
    <row r="1322" spans="1:38" x14ac:dyDescent="0.3">
      <c r="A1322" t="str">
        <f>"SO21000418"</f>
        <v>SO21000418</v>
      </c>
      <c r="B1322" t="str">
        <f>"E000346956"</f>
        <v>E000346956</v>
      </c>
      <c r="C1322" t="str">
        <f>"בוצעה"</f>
        <v>בוצעה</v>
      </c>
      <c r="E1322" s="3">
        <v>44474</v>
      </c>
      <c r="F1322" s="3">
        <v>44620</v>
      </c>
      <c r="G1322" t="str">
        <f>"700065"</f>
        <v>700065</v>
      </c>
      <c r="H1322" t="str">
        <f>"אלתא מערכות בע""מ"</f>
        <v>אלתא מערכות בע"מ</v>
      </c>
      <c r="I1322" t="str">
        <f>"ערן שלו"</f>
        <v>ערן שלו</v>
      </c>
      <c r="J1322" t="str">
        <f>"000"</f>
        <v>000</v>
      </c>
      <c r="K1322" s="1" t="str">
        <f>"תוספת עבור חומר גלם וש""ע בייצור ה RPU"</f>
        <v>תוספת עבור חומר גלם וש"ע בייצור ה RPU</v>
      </c>
      <c r="L1322">
        <v>1</v>
      </c>
      <c r="M1322" t="str">
        <f>"PR20000699"</f>
        <v>PR20000699</v>
      </c>
      <c r="N1322" t="str">
        <f>"1038C906-001 RPU2"</f>
        <v>1038C906-001 RPU2</v>
      </c>
      <c r="O1322" s="2">
        <v>25000</v>
      </c>
      <c r="P1322" t="str">
        <f>"$"</f>
        <v>$</v>
      </c>
      <c r="Q1322" t="str">
        <f>"119"</f>
        <v>119</v>
      </c>
      <c r="R1322" t="str">
        <f>"פלטפורמות"</f>
        <v>פלטפורמות</v>
      </c>
      <c r="S1322" t="str">
        <f>"034"</f>
        <v>034</v>
      </c>
      <c r="T1322" t="str">
        <f>"עמר ליגל"</f>
        <v>עמר ליגל</v>
      </c>
      <c r="U1322">
        <v>0</v>
      </c>
      <c r="V1322">
        <v>0</v>
      </c>
      <c r="W1322" s="2">
        <v>25000</v>
      </c>
      <c r="X1322" s="2">
        <v>25000</v>
      </c>
      <c r="Z1322" t="str">
        <f>"Y"</f>
        <v>Y</v>
      </c>
      <c r="AA1322">
        <v>0</v>
      </c>
      <c r="AC1322">
        <v>0</v>
      </c>
      <c r="AE1322">
        <v>0</v>
      </c>
      <c r="AF1322">
        <v>0</v>
      </c>
      <c r="AG1322" s="2">
        <v>80425</v>
      </c>
      <c r="AH1322">
        <v>0</v>
      </c>
      <c r="AI1322" s="2">
        <v>80425</v>
      </c>
      <c r="AJ1322" s="2">
        <v>25000</v>
      </c>
      <c r="AK1322" s="2">
        <v>25000</v>
      </c>
      <c r="AL1322" t="str">
        <f>"$"</f>
        <v>$</v>
      </c>
    </row>
    <row r="1323" spans="1:38" x14ac:dyDescent="0.3">
      <c r="A1323" t="str">
        <f>"SO21000418"</f>
        <v>SO21000418</v>
      </c>
      <c r="B1323" t="str">
        <f>"E000346956"</f>
        <v>E000346956</v>
      </c>
      <c r="C1323" t="str">
        <f>"בוצעה"</f>
        <v>בוצעה</v>
      </c>
      <c r="E1323" s="3">
        <v>44474</v>
      </c>
      <c r="F1323" s="3">
        <v>44742</v>
      </c>
      <c r="G1323" t="str">
        <f>"700065"</f>
        <v>700065</v>
      </c>
      <c r="H1323" t="str">
        <f>"אלתא מערכות בע""מ"</f>
        <v>אלתא מערכות בע"מ</v>
      </c>
      <c r="I1323" t="str">
        <f>"ערן שלו"</f>
        <v>ערן שלו</v>
      </c>
      <c r="J1323" t="str">
        <f>"000"</f>
        <v>000</v>
      </c>
      <c r="K1323" s="1" t="str">
        <f>"תוספת עבור חומר גלם וש""ע בייצור ה RPU"</f>
        <v>תוספת עבור חומר גלם וש"ע בייצור ה RPU</v>
      </c>
      <c r="L1323">
        <v>1</v>
      </c>
      <c r="M1323" t="str">
        <f>"PR20000700"</f>
        <v>PR20000700</v>
      </c>
      <c r="N1323" t="str">
        <f>"1038C906-001 RPU3"</f>
        <v>1038C906-001 RPU3</v>
      </c>
      <c r="O1323" s="2">
        <v>25000</v>
      </c>
      <c r="P1323" t="str">
        <f>"$"</f>
        <v>$</v>
      </c>
      <c r="Q1323" t="str">
        <f>"119"</f>
        <v>119</v>
      </c>
      <c r="R1323" t="str">
        <f>"פלטפורמות"</f>
        <v>פלטפורמות</v>
      </c>
      <c r="S1323" t="str">
        <f>"034"</f>
        <v>034</v>
      </c>
      <c r="T1323" t="str">
        <f>"עמר ליגל"</f>
        <v>עמר ליגל</v>
      </c>
      <c r="U1323">
        <v>0</v>
      </c>
      <c r="V1323">
        <v>0</v>
      </c>
      <c r="W1323" s="2">
        <v>25000</v>
      </c>
      <c r="X1323" s="2">
        <v>25000</v>
      </c>
      <c r="Z1323" t="str">
        <f>"Y"</f>
        <v>Y</v>
      </c>
      <c r="AA1323">
        <v>1</v>
      </c>
      <c r="AC1323">
        <v>0</v>
      </c>
      <c r="AE1323">
        <v>0</v>
      </c>
      <c r="AF1323">
        <v>0</v>
      </c>
      <c r="AG1323" s="2">
        <v>80425</v>
      </c>
      <c r="AH1323">
        <v>0</v>
      </c>
      <c r="AI1323" s="2">
        <v>80425</v>
      </c>
      <c r="AJ1323" s="2">
        <v>25000</v>
      </c>
      <c r="AK1323" s="2">
        <v>25000</v>
      </c>
      <c r="AL1323" t="str">
        <f>"$"</f>
        <v>$</v>
      </c>
    </row>
    <row r="1324" spans="1:38" x14ac:dyDescent="0.3">
      <c r="A1324" t="str">
        <f>"SO21000418"</f>
        <v>SO21000418</v>
      </c>
      <c r="B1324" t="str">
        <f>"E000346956"</f>
        <v>E000346956</v>
      </c>
      <c r="C1324" t="str">
        <f>"בוצעה"</f>
        <v>בוצעה</v>
      </c>
      <c r="E1324" s="3">
        <v>44474</v>
      </c>
      <c r="F1324" s="3">
        <v>44772</v>
      </c>
      <c r="G1324" t="str">
        <f>"700065"</f>
        <v>700065</v>
      </c>
      <c r="H1324" t="str">
        <f>"אלתא מערכות בע""מ"</f>
        <v>אלתא מערכות בע"מ</v>
      </c>
      <c r="I1324" t="str">
        <f>"ערן שלו"</f>
        <v>ערן שלו</v>
      </c>
      <c r="J1324" t="str">
        <f>"000"</f>
        <v>000</v>
      </c>
      <c r="K1324" s="1" t="str">
        <f>"תוספת עבור חומר גלם וש""ע בייצור ה RPU"</f>
        <v>תוספת עבור חומר גלם וש"ע בייצור ה RPU</v>
      </c>
      <c r="L1324">
        <v>1</v>
      </c>
      <c r="M1324" t="str">
        <f>"PR20000701"</f>
        <v>PR20000701</v>
      </c>
      <c r="N1324" t="str">
        <f>"108C906-001 RPU4"</f>
        <v>108C906-001 RPU4</v>
      </c>
      <c r="O1324" s="2">
        <v>25000</v>
      </c>
      <c r="P1324" t="str">
        <f>"$"</f>
        <v>$</v>
      </c>
      <c r="Q1324" t="str">
        <f>"119"</f>
        <v>119</v>
      </c>
      <c r="R1324" t="str">
        <f>"פלטפורמות"</f>
        <v>פלטפורמות</v>
      </c>
      <c r="S1324" t="str">
        <f>"034"</f>
        <v>034</v>
      </c>
      <c r="T1324" t="str">
        <f>"עמר ליגל"</f>
        <v>עמר ליגל</v>
      </c>
      <c r="U1324">
        <v>0</v>
      </c>
      <c r="V1324">
        <v>0</v>
      </c>
      <c r="W1324" s="2">
        <v>25000</v>
      </c>
      <c r="X1324" s="2">
        <v>25000</v>
      </c>
      <c r="Z1324" t="str">
        <f>"Y"</f>
        <v>Y</v>
      </c>
      <c r="AA1324">
        <v>1</v>
      </c>
      <c r="AC1324">
        <v>0</v>
      </c>
      <c r="AE1324">
        <v>0</v>
      </c>
      <c r="AF1324">
        <v>0</v>
      </c>
      <c r="AG1324" s="2">
        <v>80425</v>
      </c>
      <c r="AH1324">
        <v>0</v>
      </c>
      <c r="AI1324" s="2">
        <v>80425</v>
      </c>
      <c r="AJ1324" s="2">
        <v>25000</v>
      </c>
      <c r="AK1324" s="2">
        <v>25000</v>
      </c>
      <c r="AL1324" t="str">
        <f>"$"</f>
        <v>$</v>
      </c>
    </row>
    <row r="1325" spans="1:38" x14ac:dyDescent="0.3">
      <c r="A1325" t="str">
        <f>"SO21000418"</f>
        <v>SO21000418</v>
      </c>
      <c r="B1325" t="str">
        <f>"E000346956"</f>
        <v>E000346956</v>
      </c>
      <c r="C1325" t="str">
        <f>"בוצעה"</f>
        <v>בוצעה</v>
      </c>
      <c r="E1325" s="3">
        <v>44474</v>
      </c>
      <c r="F1325" s="3">
        <v>44803</v>
      </c>
      <c r="G1325" t="str">
        <f>"700065"</f>
        <v>700065</v>
      </c>
      <c r="H1325" t="str">
        <f>"אלתא מערכות בע""מ"</f>
        <v>אלתא מערכות בע"מ</v>
      </c>
      <c r="I1325" t="str">
        <f>"ערן שלו"</f>
        <v>ערן שלו</v>
      </c>
      <c r="J1325" t="str">
        <f>"000"</f>
        <v>000</v>
      </c>
      <c r="K1325" s="1" t="str">
        <f>"תוספת עבור חומר גלם וש""ע בייצור ה RPU"</f>
        <v>תוספת עבור חומר גלם וש"ע בייצור ה RPU</v>
      </c>
      <c r="L1325">
        <v>1</v>
      </c>
      <c r="M1325" t="str">
        <f>"PR20000702"</f>
        <v>PR20000702</v>
      </c>
      <c r="N1325" t="str">
        <f>"108C906-001 RPU5"</f>
        <v>108C906-001 RPU5</v>
      </c>
      <c r="O1325" s="2">
        <v>25000</v>
      </c>
      <c r="P1325" t="str">
        <f>"$"</f>
        <v>$</v>
      </c>
      <c r="Q1325" t="str">
        <f>"119"</f>
        <v>119</v>
      </c>
      <c r="R1325" t="str">
        <f>"פלטפורמות"</f>
        <v>פלטפורמות</v>
      </c>
      <c r="S1325" t="str">
        <f>"034"</f>
        <v>034</v>
      </c>
      <c r="T1325" t="str">
        <f>"עמר ליגל"</f>
        <v>עמר ליגל</v>
      </c>
      <c r="U1325">
        <v>0</v>
      </c>
      <c r="V1325">
        <v>0</v>
      </c>
      <c r="W1325" s="2">
        <v>25000</v>
      </c>
      <c r="X1325" s="2">
        <v>25000</v>
      </c>
      <c r="Z1325" t="str">
        <f>"Y"</f>
        <v>Y</v>
      </c>
      <c r="AA1325">
        <v>1</v>
      </c>
      <c r="AC1325">
        <v>0</v>
      </c>
      <c r="AE1325">
        <v>0</v>
      </c>
      <c r="AF1325">
        <v>0</v>
      </c>
      <c r="AG1325" s="2">
        <v>80425</v>
      </c>
      <c r="AH1325">
        <v>0</v>
      </c>
      <c r="AI1325" s="2">
        <v>80425</v>
      </c>
      <c r="AJ1325" s="2">
        <v>25000</v>
      </c>
      <c r="AK1325" s="2">
        <v>25000</v>
      </c>
      <c r="AL1325" t="str">
        <f>"$"</f>
        <v>$</v>
      </c>
    </row>
    <row r="1326" spans="1:38" x14ac:dyDescent="0.3">
      <c r="A1326" t="str">
        <f>"SO21000418"</f>
        <v>SO21000418</v>
      </c>
      <c r="B1326" t="str">
        <f>"E000346956"</f>
        <v>E000346956</v>
      </c>
      <c r="C1326" t="str">
        <f>"בוצעה"</f>
        <v>בוצעה</v>
      </c>
      <c r="E1326" s="3">
        <v>44474</v>
      </c>
      <c r="F1326" s="3">
        <v>44834</v>
      </c>
      <c r="G1326" t="str">
        <f>"700065"</f>
        <v>700065</v>
      </c>
      <c r="H1326" t="str">
        <f>"אלתא מערכות בע""מ"</f>
        <v>אלתא מערכות בע"מ</v>
      </c>
      <c r="I1326" t="str">
        <f>"ערן שלו"</f>
        <v>ערן שלו</v>
      </c>
      <c r="J1326" t="str">
        <f>"000"</f>
        <v>000</v>
      </c>
      <c r="K1326" s="1" t="str">
        <f>"תוספת עבור חומר גלם וש""ע בייצור ה RPU"</f>
        <v>תוספת עבור חומר גלם וש"ע בייצור ה RPU</v>
      </c>
      <c r="L1326">
        <v>1</v>
      </c>
      <c r="M1326" t="str">
        <f>"PR20000703"</f>
        <v>PR20000703</v>
      </c>
      <c r="N1326" t="str">
        <f>"108C906-001 RPU6"</f>
        <v>108C906-001 RPU6</v>
      </c>
      <c r="O1326" s="2">
        <v>25000</v>
      </c>
      <c r="P1326" t="str">
        <f>"$"</f>
        <v>$</v>
      </c>
      <c r="Q1326" t="str">
        <f>"119"</f>
        <v>119</v>
      </c>
      <c r="R1326" t="str">
        <f>"פלטפורמות"</f>
        <v>פלטפורמות</v>
      </c>
      <c r="S1326" t="str">
        <f>"034"</f>
        <v>034</v>
      </c>
      <c r="T1326" t="str">
        <f>"עמר ליגל"</f>
        <v>עמר ליגל</v>
      </c>
      <c r="U1326">
        <v>0</v>
      </c>
      <c r="V1326">
        <v>0</v>
      </c>
      <c r="W1326" s="2">
        <v>25000</v>
      </c>
      <c r="X1326" s="2">
        <v>25000</v>
      </c>
      <c r="Z1326" t="str">
        <f>"Y"</f>
        <v>Y</v>
      </c>
      <c r="AA1326">
        <v>1</v>
      </c>
      <c r="AC1326">
        <v>0</v>
      </c>
      <c r="AE1326">
        <v>0</v>
      </c>
      <c r="AF1326">
        <v>0</v>
      </c>
      <c r="AG1326" s="2">
        <v>80425</v>
      </c>
      <c r="AH1326">
        <v>0</v>
      </c>
      <c r="AI1326" s="2">
        <v>80425</v>
      </c>
      <c r="AJ1326" s="2">
        <v>25000</v>
      </c>
      <c r="AK1326" s="2">
        <v>25000</v>
      </c>
      <c r="AL1326" t="str">
        <f>"$"</f>
        <v>$</v>
      </c>
    </row>
    <row r="1327" spans="1:38" x14ac:dyDescent="0.3">
      <c r="A1327" t="str">
        <f>"SO21000418"</f>
        <v>SO21000418</v>
      </c>
      <c r="B1327" t="str">
        <f>"E000346956"</f>
        <v>E000346956</v>
      </c>
      <c r="C1327" t="str">
        <f>"בוצעה"</f>
        <v>בוצעה</v>
      </c>
      <c r="E1327" s="3">
        <v>44474</v>
      </c>
      <c r="F1327" s="3">
        <v>44864</v>
      </c>
      <c r="G1327" t="str">
        <f>"700065"</f>
        <v>700065</v>
      </c>
      <c r="H1327" t="str">
        <f>"אלתא מערכות בע""מ"</f>
        <v>אלתא מערכות בע"מ</v>
      </c>
      <c r="I1327" t="str">
        <f>"ערן שלו"</f>
        <v>ערן שלו</v>
      </c>
      <c r="J1327" t="str">
        <f>"000"</f>
        <v>000</v>
      </c>
      <c r="K1327" s="1" t="str">
        <f>"תוספת עבור חומר גלם וש""ע בייצור ה RPU"</f>
        <v>תוספת עבור חומר גלם וש"ע בייצור ה RPU</v>
      </c>
      <c r="L1327">
        <v>1</v>
      </c>
      <c r="M1327" t="str">
        <f>"PR20000704"</f>
        <v>PR20000704</v>
      </c>
      <c r="N1327" t="str">
        <f>"108C906-001 RPU7"</f>
        <v>108C906-001 RPU7</v>
      </c>
      <c r="O1327" s="2">
        <v>25000</v>
      </c>
      <c r="P1327" t="str">
        <f>"$"</f>
        <v>$</v>
      </c>
      <c r="Q1327" t="str">
        <f>"119"</f>
        <v>119</v>
      </c>
      <c r="R1327" t="str">
        <f>"פלטפורמות"</f>
        <v>פלטפורמות</v>
      </c>
      <c r="S1327" t="str">
        <f>"034"</f>
        <v>034</v>
      </c>
      <c r="T1327" t="str">
        <f>"עמר ליגל"</f>
        <v>עמר ליגל</v>
      </c>
      <c r="U1327">
        <v>0</v>
      </c>
      <c r="V1327">
        <v>0</v>
      </c>
      <c r="W1327" s="2">
        <v>25000</v>
      </c>
      <c r="X1327" s="2">
        <v>25000</v>
      </c>
      <c r="Z1327" t="str">
        <f>"Y"</f>
        <v>Y</v>
      </c>
      <c r="AA1327">
        <v>1</v>
      </c>
      <c r="AC1327">
        <v>0</v>
      </c>
      <c r="AE1327">
        <v>0</v>
      </c>
      <c r="AF1327">
        <v>0</v>
      </c>
      <c r="AG1327" s="2">
        <v>80425</v>
      </c>
      <c r="AH1327">
        <v>0</v>
      </c>
      <c r="AI1327" s="2">
        <v>80425</v>
      </c>
      <c r="AJ1327" s="2">
        <v>25000</v>
      </c>
      <c r="AK1327" s="2">
        <v>25000</v>
      </c>
      <c r="AL1327" t="str">
        <f>"$"</f>
        <v>$</v>
      </c>
    </row>
    <row r="1328" spans="1:38" x14ac:dyDescent="0.3">
      <c r="A1328" t="str">
        <f>"SO21000418"</f>
        <v>SO21000418</v>
      </c>
      <c r="B1328" t="str">
        <f>"E000346956"</f>
        <v>E000346956</v>
      </c>
      <c r="C1328" t="str">
        <f>"בוצעה"</f>
        <v>בוצעה</v>
      </c>
      <c r="E1328" s="3">
        <v>44474</v>
      </c>
      <c r="F1328" s="3">
        <v>44895</v>
      </c>
      <c r="G1328" t="str">
        <f>"700065"</f>
        <v>700065</v>
      </c>
      <c r="H1328" t="str">
        <f>"אלתא מערכות בע""מ"</f>
        <v>אלתא מערכות בע"מ</v>
      </c>
      <c r="I1328" t="str">
        <f>"ערן שלו"</f>
        <v>ערן שלו</v>
      </c>
      <c r="J1328" t="str">
        <f>"000"</f>
        <v>000</v>
      </c>
      <c r="K1328" s="1" t="str">
        <f>"תוספת עבור חומר גלם וש""ע בייצור ה RPU"</f>
        <v>תוספת עבור חומר גלם וש"ע בייצור ה RPU</v>
      </c>
      <c r="L1328">
        <v>1</v>
      </c>
      <c r="M1328" t="str">
        <f>"PR20000705"</f>
        <v>PR20000705</v>
      </c>
      <c r="N1328" t="str">
        <f>"108C906-001 RPU8"</f>
        <v>108C906-001 RPU8</v>
      </c>
      <c r="O1328" s="2">
        <v>25000</v>
      </c>
      <c r="P1328" t="str">
        <f>"$"</f>
        <v>$</v>
      </c>
      <c r="Q1328" t="str">
        <f>"119"</f>
        <v>119</v>
      </c>
      <c r="R1328" t="str">
        <f>"פלטפורמות"</f>
        <v>פלטפורמות</v>
      </c>
      <c r="S1328" t="str">
        <f>"034"</f>
        <v>034</v>
      </c>
      <c r="T1328" t="str">
        <f>"עמר ליגל"</f>
        <v>עמר ליגל</v>
      </c>
      <c r="U1328">
        <v>0</v>
      </c>
      <c r="V1328">
        <v>0</v>
      </c>
      <c r="W1328" s="2">
        <v>25000</v>
      </c>
      <c r="X1328" s="2">
        <v>25000</v>
      </c>
      <c r="Z1328" t="str">
        <f>"Y"</f>
        <v>Y</v>
      </c>
      <c r="AA1328">
        <v>1</v>
      </c>
      <c r="AC1328">
        <v>0</v>
      </c>
      <c r="AE1328">
        <v>0</v>
      </c>
      <c r="AF1328">
        <v>0</v>
      </c>
      <c r="AG1328" s="2">
        <v>80425</v>
      </c>
      <c r="AH1328">
        <v>0</v>
      </c>
      <c r="AI1328" s="2">
        <v>80425</v>
      </c>
      <c r="AJ1328" s="2">
        <v>25000</v>
      </c>
      <c r="AK1328" s="2">
        <v>25000</v>
      </c>
      <c r="AL1328" t="str">
        <f>"$"</f>
        <v>$</v>
      </c>
    </row>
    <row r="1329" spans="1:38" x14ac:dyDescent="0.3">
      <c r="A1329" t="str">
        <f>"SO21000423"</f>
        <v>SO21000423</v>
      </c>
      <c r="B1329" t="str">
        <f>"E000342872"</f>
        <v>E000342872</v>
      </c>
      <c r="C1329" t="str">
        <f>"בוצעה"</f>
        <v>בוצעה</v>
      </c>
      <c r="E1329" s="3">
        <v>44475</v>
      </c>
      <c r="F1329" s="3">
        <v>44540</v>
      </c>
      <c r="G1329" t="str">
        <f>"700065"</f>
        <v>700065</v>
      </c>
      <c r="H1329" t="str">
        <f>"אלתא מערכות בע""מ"</f>
        <v>אלתא מערכות בע"מ</v>
      </c>
      <c r="I1329" t="str">
        <f>"רחמים זרוק"</f>
        <v>רחמים זרוק</v>
      </c>
      <c r="J1329" t="str">
        <f>"OP-AR02802"</f>
        <v>OP-AR02802</v>
      </c>
      <c r="K1329" s="1" t="str">
        <f>"1035E025-001   ETHERNET CABLE W025 - PDB/POE1 TO CAMERA"</f>
        <v>1035E025-001   ETHERNET CABLE W025 - PDB/POE1 TO CAMERA</v>
      </c>
      <c r="L1329">
        <v>1</v>
      </c>
      <c r="M1329" t="str">
        <f>"PR21000663"</f>
        <v>PR21000663</v>
      </c>
      <c r="N1329" t="str">
        <f>"CABEL"</f>
        <v>CABEL</v>
      </c>
      <c r="O1329">
        <v>243.86</v>
      </c>
      <c r="P1329" t="str">
        <f>"$"</f>
        <v>$</v>
      </c>
      <c r="Q1329" t="str">
        <f>"117"</f>
        <v>117</v>
      </c>
      <c r="R1329" t="str">
        <f>"רתמות"</f>
        <v>רתמות</v>
      </c>
      <c r="S1329" t="str">
        <f>"040"</f>
        <v>040</v>
      </c>
      <c r="T1329" t="str">
        <f>"עמר ליגל"</f>
        <v>עמר ליגל</v>
      </c>
      <c r="U1329">
        <v>0</v>
      </c>
      <c r="V1329">
        <v>0</v>
      </c>
      <c r="W1329">
        <v>243.86</v>
      </c>
      <c r="X1329">
        <v>243.86</v>
      </c>
      <c r="Z1329" t="str">
        <f>"Y"</f>
        <v>Y</v>
      </c>
      <c r="AA1329">
        <v>0</v>
      </c>
      <c r="AC1329">
        <v>0</v>
      </c>
      <c r="AE1329">
        <v>0</v>
      </c>
      <c r="AF1329">
        <v>0</v>
      </c>
      <c r="AG1329">
        <v>784.5</v>
      </c>
      <c r="AH1329">
        <v>0</v>
      </c>
      <c r="AI1329">
        <v>784.5</v>
      </c>
      <c r="AJ1329">
        <v>243.86</v>
      </c>
      <c r="AK1329">
        <v>243.86</v>
      </c>
      <c r="AL1329" t="str">
        <f>"$"</f>
        <v>$</v>
      </c>
    </row>
    <row r="1330" spans="1:38" x14ac:dyDescent="0.3">
      <c r="A1330" t="str">
        <f>"SO21000423"</f>
        <v>SO21000423</v>
      </c>
      <c r="B1330" t="str">
        <f>"E000342872"</f>
        <v>E000342872</v>
      </c>
      <c r="C1330" t="str">
        <f>"בוצעה"</f>
        <v>בוצעה</v>
      </c>
      <c r="E1330" s="3">
        <v>44475</v>
      </c>
      <c r="F1330" s="3">
        <v>44540</v>
      </c>
      <c r="G1330" t="str">
        <f>"700065"</f>
        <v>700065</v>
      </c>
      <c r="H1330" t="str">
        <f>"אלתא מערכות בע""מ"</f>
        <v>אלתא מערכות בע"מ</v>
      </c>
      <c r="I1330" t="str">
        <f>"רחמים זרוק"</f>
        <v>רחמים זרוק</v>
      </c>
      <c r="J1330" t="str">
        <f>"OP-AR02803"</f>
        <v>OP-AR02803</v>
      </c>
      <c r="K1330" s="1" t="str">
        <f>"1035E026-001   ETHERNET CABLE W026 - PDB/POE2 TO CAMERA"</f>
        <v>1035E026-001   ETHERNET CABLE W026 - PDB/POE2 TO CAMERA</v>
      </c>
      <c r="L1330">
        <v>1</v>
      </c>
      <c r="M1330" t="str">
        <f>"PR21000663"</f>
        <v>PR21000663</v>
      </c>
      <c r="N1330" t="str">
        <f>"CABEL"</f>
        <v>CABEL</v>
      </c>
      <c r="O1330">
        <v>327.13</v>
      </c>
      <c r="P1330" t="str">
        <f>"$"</f>
        <v>$</v>
      </c>
      <c r="Q1330" t="str">
        <f>"117"</f>
        <v>117</v>
      </c>
      <c r="R1330" t="str">
        <f>"רתמות"</f>
        <v>רתמות</v>
      </c>
      <c r="S1330" t="str">
        <f>"040"</f>
        <v>040</v>
      </c>
      <c r="T1330" t="str">
        <f>"עמר ליגל"</f>
        <v>עמר ליגל</v>
      </c>
      <c r="U1330">
        <v>0</v>
      </c>
      <c r="V1330">
        <v>0</v>
      </c>
      <c r="W1330">
        <v>327.13</v>
      </c>
      <c r="X1330">
        <v>327.13</v>
      </c>
      <c r="Z1330" t="str">
        <f>"Y"</f>
        <v>Y</v>
      </c>
      <c r="AA1330">
        <v>0</v>
      </c>
      <c r="AC1330">
        <v>0</v>
      </c>
      <c r="AE1330">
        <v>0</v>
      </c>
      <c r="AF1330">
        <v>0</v>
      </c>
      <c r="AG1330" s="2">
        <v>1052.3800000000001</v>
      </c>
      <c r="AH1330">
        <v>0</v>
      </c>
      <c r="AI1330" s="2">
        <v>1052.3800000000001</v>
      </c>
      <c r="AJ1330">
        <v>327.13</v>
      </c>
      <c r="AK1330">
        <v>327.13</v>
      </c>
      <c r="AL1330" t="str">
        <f>"$"</f>
        <v>$</v>
      </c>
    </row>
    <row r="1331" spans="1:38" x14ac:dyDescent="0.3">
      <c r="A1331" t="str">
        <f>"SO21000425"</f>
        <v>SO21000425</v>
      </c>
      <c r="B1331" t="str">
        <f>"E000347628"</f>
        <v>E000347628</v>
      </c>
      <c r="C1331" t="str">
        <f>"בסיום הרכבה"</f>
        <v>בסיום הרכבה</v>
      </c>
      <c r="E1331" s="3">
        <v>44476</v>
      </c>
      <c r="F1331" s="3">
        <v>44630</v>
      </c>
      <c r="G1331" t="str">
        <f>"700065"</f>
        <v>700065</v>
      </c>
      <c r="H1331" t="str">
        <f>"אלתא מערכות בע""מ"</f>
        <v>אלתא מערכות בע"מ</v>
      </c>
      <c r="I1331" t="str">
        <f>"רחמים זרוק"</f>
        <v>רחמים זרוק</v>
      </c>
      <c r="J1331" t="str">
        <f>"OP-AR02585"</f>
        <v>OP-AR02585</v>
      </c>
      <c r="K1331" s="1" t="str">
        <f>"1001K760-001   IMPROVED FCR CAMERA WIRING"</f>
        <v>1001K760-001   IMPROVED FCR CAMERA WIRING</v>
      </c>
      <c r="L1331">
        <v>2</v>
      </c>
      <c r="M1331" t="str">
        <f>"PR21000664"</f>
        <v>PR21000664</v>
      </c>
      <c r="N1331" t="str">
        <f>"1001K760-001"</f>
        <v>1001K760-001</v>
      </c>
      <c r="O1331">
        <v>605.58000000000004</v>
      </c>
      <c r="P1331" t="str">
        <f>"$"</f>
        <v>$</v>
      </c>
      <c r="Q1331" t="str">
        <f>"117"</f>
        <v>117</v>
      </c>
      <c r="R1331" t="str">
        <f>"רתמות"</f>
        <v>רתמות</v>
      </c>
      <c r="S1331" t="str">
        <f>"040"</f>
        <v>040</v>
      </c>
      <c r="T1331" t="str">
        <f>"עמר ליגל"</f>
        <v>עמר ליגל</v>
      </c>
      <c r="U1331">
        <v>0</v>
      </c>
      <c r="V1331">
        <v>0</v>
      </c>
      <c r="W1331">
        <v>605.58000000000004</v>
      </c>
      <c r="X1331" s="2">
        <v>1211.1600000000001</v>
      </c>
      <c r="Z1331" t="str">
        <f>"Y"</f>
        <v>Y</v>
      </c>
      <c r="AA1331">
        <v>0</v>
      </c>
      <c r="AC1331">
        <v>0</v>
      </c>
      <c r="AE1331">
        <v>0</v>
      </c>
      <c r="AF1331">
        <v>0</v>
      </c>
      <c r="AG1331" s="2">
        <v>1948.15</v>
      </c>
      <c r="AH1331">
        <v>0</v>
      </c>
      <c r="AI1331" s="2">
        <v>3896.3</v>
      </c>
      <c r="AJ1331" s="2">
        <v>1211.1600000000001</v>
      </c>
      <c r="AK1331" s="2">
        <v>1211.1600000000001</v>
      </c>
      <c r="AL1331" t="str">
        <f>"$"</f>
        <v>$</v>
      </c>
    </row>
    <row r="1332" spans="1:38" x14ac:dyDescent="0.3">
      <c r="A1332" t="str">
        <f>"SO21000426"</f>
        <v>SO21000426</v>
      </c>
      <c r="B1332" t="str">
        <f>"E000347550"</f>
        <v>E000347550</v>
      </c>
      <c r="C1332" t="str">
        <f>"בוצעה"</f>
        <v>בוצעה</v>
      </c>
      <c r="E1332" s="3">
        <v>44476</v>
      </c>
      <c r="F1332" s="3">
        <v>44591</v>
      </c>
      <c r="G1332" t="str">
        <f>"700065"</f>
        <v>700065</v>
      </c>
      <c r="H1332" t="str">
        <f>"אלתא מערכות בע""מ"</f>
        <v>אלתא מערכות בע"מ</v>
      </c>
      <c r="I1332" t="str">
        <f>"רחמים זרוק"</f>
        <v>רחמים זרוק</v>
      </c>
      <c r="J1332" t="str">
        <f>"OP-AR02804"</f>
        <v>OP-AR02804</v>
      </c>
      <c r="K1332" s="1" t="str">
        <f>"1034Y298-001    J6 ROB CABLE"</f>
        <v>1034Y298-001    J6 ROB CABLE</v>
      </c>
      <c r="L1332">
        <v>1</v>
      </c>
      <c r="M1332" t="str">
        <f>"PR21000665"</f>
        <v>PR21000665</v>
      </c>
      <c r="N1332" t="str">
        <f>"CABEL"</f>
        <v>CABEL</v>
      </c>
      <c r="O1332">
        <v>405.08</v>
      </c>
      <c r="P1332" t="str">
        <f>"$"</f>
        <v>$</v>
      </c>
      <c r="Q1332" t="str">
        <f>"117"</f>
        <v>117</v>
      </c>
      <c r="R1332" t="str">
        <f>"רתמות"</f>
        <v>רתמות</v>
      </c>
      <c r="S1332" t="str">
        <f>"040"</f>
        <v>040</v>
      </c>
      <c r="T1332" t="str">
        <f>"עמר ליגל"</f>
        <v>עמר ליגל</v>
      </c>
      <c r="U1332">
        <v>0</v>
      </c>
      <c r="V1332">
        <v>0</v>
      </c>
      <c r="W1332">
        <v>405.08</v>
      </c>
      <c r="X1332">
        <v>405.08</v>
      </c>
      <c r="Z1332" t="str">
        <f>"Y"</f>
        <v>Y</v>
      </c>
      <c r="AA1332">
        <v>0</v>
      </c>
      <c r="AC1332">
        <v>0</v>
      </c>
      <c r="AE1332">
        <v>0</v>
      </c>
      <c r="AF1332">
        <v>0</v>
      </c>
      <c r="AG1332" s="2">
        <v>1303.1400000000001</v>
      </c>
      <c r="AH1332">
        <v>0</v>
      </c>
      <c r="AI1332" s="2">
        <v>1303.1400000000001</v>
      </c>
      <c r="AJ1332">
        <v>405.08</v>
      </c>
      <c r="AK1332">
        <v>405.08</v>
      </c>
      <c r="AL1332" t="str">
        <f>"$"</f>
        <v>$</v>
      </c>
    </row>
    <row r="1333" spans="1:38" x14ac:dyDescent="0.3">
      <c r="A1333" t="str">
        <f>"SO21000426"</f>
        <v>SO21000426</v>
      </c>
      <c r="B1333" t="str">
        <f>"E000347550"</f>
        <v>E000347550</v>
      </c>
      <c r="C1333" t="str">
        <f>"בוצעה"</f>
        <v>בוצעה</v>
      </c>
      <c r="E1333" s="3">
        <v>44476</v>
      </c>
      <c r="F1333" s="3">
        <v>44545</v>
      </c>
      <c r="G1333" t="str">
        <f>"700065"</f>
        <v>700065</v>
      </c>
      <c r="H1333" t="str">
        <f>"אלתא מערכות בע""מ"</f>
        <v>אלתא מערכות בע"מ</v>
      </c>
      <c r="I1333" t="str">
        <f>"רחמים זרוק"</f>
        <v>רחמים זרוק</v>
      </c>
      <c r="J1333" t="str">
        <f>"OP-AR02805"</f>
        <v>OP-AR02805</v>
      </c>
      <c r="K1333" s="1" t="str">
        <f>"1037U903-001    PS LAB CABLE"</f>
        <v>1037U903-001    PS LAB CABLE</v>
      </c>
      <c r="L1333">
        <v>2</v>
      </c>
      <c r="M1333" t="str">
        <f>"PR21000665"</f>
        <v>PR21000665</v>
      </c>
      <c r="N1333" t="str">
        <f>"CABEL"</f>
        <v>CABEL</v>
      </c>
      <c r="O1333">
        <v>316.25</v>
      </c>
      <c r="P1333" t="str">
        <f>"$"</f>
        <v>$</v>
      </c>
      <c r="Q1333" t="str">
        <f>"117"</f>
        <v>117</v>
      </c>
      <c r="R1333" t="str">
        <f>"רתמות"</f>
        <v>רתמות</v>
      </c>
      <c r="S1333" t="str">
        <f>"040"</f>
        <v>040</v>
      </c>
      <c r="T1333" t="str">
        <f>"עמר ליגל"</f>
        <v>עמר ליגל</v>
      </c>
      <c r="U1333">
        <v>0</v>
      </c>
      <c r="V1333">
        <v>0</v>
      </c>
      <c r="W1333">
        <v>316.25</v>
      </c>
      <c r="X1333">
        <v>632.5</v>
      </c>
      <c r="Z1333" t="str">
        <f>"Y"</f>
        <v>Y</v>
      </c>
      <c r="AA1333">
        <v>0</v>
      </c>
      <c r="AC1333">
        <v>0</v>
      </c>
      <c r="AE1333">
        <v>0</v>
      </c>
      <c r="AF1333">
        <v>0</v>
      </c>
      <c r="AG1333" s="2">
        <v>1017.38</v>
      </c>
      <c r="AH1333">
        <v>0</v>
      </c>
      <c r="AI1333" s="2">
        <v>2034.75</v>
      </c>
      <c r="AJ1333">
        <v>632.5</v>
      </c>
      <c r="AK1333">
        <v>632.5</v>
      </c>
      <c r="AL1333" t="str">
        <f>"$"</f>
        <v>$</v>
      </c>
    </row>
    <row r="1334" spans="1:38" x14ac:dyDescent="0.3">
      <c r="A1334" t="str">
        <f>"SO21000426"</f>
        <v>SO21000426</v>
      </c>
      <c r="B1334" t="str">
        <f>"E000347550"</f>
        <v>E000347550</v>
      </c>
      <c r="C1334" t="str">
        <f>"בוצעה"</f>
        <v>בוצעה</v>
      </c>
      <c r="E1334" s="3">
        <v>44476</v>
      </c>
      <c r="F1334" s="3">
        <v>44803</v>
      </c>
      <c r="G1334" t="str">
        <f>"700065"</f>
        <v>700065</v>
      </c>
      <c r="H1334" t="str">
        <f>"אלתא מערכות בע""מ"</f>
        <v>אלתא מערכות בע"מ</v>
      </c>
      <c r="I1334" t="str">
        <f>"רחמים זרוק"</f>
        <v>רחמים זרוק</v>
      </c>
      <c r="J1334" t="str">
        <f>"OP-AR02806"</f>
        <v>OP-AR02806</v>
      </c>
      <c r="K1334" s="1" t="str">
        <f>"1037U914-001    TEST NEW LAB CABLE"</f>
        <v>1037U914-001    TEST NEW LAB CABLE</v>
      </c>
      <c r="L1334">
        <v>2</v>
      </c>
      <c r="M1334" t="str">
        <f>"PR21000666"</f>
        <v>PR21000666</v>
      </c>
      <c r="N1334" t="str">
        <f>"CABEL"</f>
        <v>CABEL</v>
      </c>
      <c r="O1334">
        <v>617.92999999999995</v>
      </c>
      <c r="P1334" t="str">
        <f>"$"</f>
        <v>$</v>
      </c>
      <c r="Q1334" t="str">
        <f>"117"</f>
        <v>117</v>
      </c>
      <c r="R1334" t="str">
        <f>"רתמות"</f>
        <v>רתמות</v>
      </c>
      <c r="S1334" t="str">
        <f>"040"</f>
        <v>040</v>
      </c>
      <c r="T1334" t="str">
        <f>"עמר ליגל"</f>
        <v>עמר ליגל</v>
      </c>
      <c r="U1334">
        <v>0</v>
      </c>
      <c r="V1334">
        <v>0</v>
      </c>
      <c r="W1334">
        <v>617.92999999999995</v>
      </c>
      <c r="X1334" s="2">
        <v>1235.8599999999999</v>
      </c>
      <c r="Z1334" t="str">
        <f>"Y"</f>
        <v>Y</v>
      </c>
      <c r="AA1334">
        <v>0</v>
      </c>
      <c r="AC1334">
        <v>0</v>
      </c>
      <c r="AE1334">
        <v>0</v>
      </c>
      <c r="AF1334">
        <v>0</v>
      </c>
      <c r="AG1334" s="2">
        <v>1987.88</v>
      </c>
      <c r="AH1334">
        <v>0</v>
      </c>
      <c r="AI1334" s="2">
        <v>3975.76</v>
      </c>
      <c r="AJ1334" s="2">
        <v>1235.8599999999999</v>
      </c>
      <c r="AK1334" s="2">
        <v>1235.8599999999999</v>
      </c>
      <c r="AL1334" t="str">
        <f>"$"</f>
        <v>$</v>
      </c>
    </row>
    <row r="1335" spans="1:38" x14ac:dyDescent="0.3">
      <c r="A1335" t="str">
        <f>"SO21000426"</f>
        <v>SO21000426</v>
      </c>
      <c r="B1335" t="str">
        <f>"E000347550"</f>
        <v>E000347550</v>
      </c>
      <c r="C1335" t="str">
        <f>"בוצעה"</f>
        <v>בוצעה</v>
      </c>
      <c r="E1335" s="3">
        <v>44476</v>
      </c>
      <c r="F1335" s="3">
        <v>44591</v>
      </c>
      <c r="G1335" t="str">
        <f>"700065"</f>
        <v>700065</v>
      </c>
      <c r="H1335" t="str">
        <f>"אלתא מערכות בע""מ"</f>
        <v>אלתא מערכות בע"מ</v>
      </c>
      <c r="I1335" t="str">
        <f>"רחמים זרוק"</f>
        <v>רחמים זרוק</v>
      </c>
      <c r="J1335" t="str">
        <f>"OP-AR02857"</f>
        <v>OP-AR02857</v>
      </c>
      <c r="K1335" s="1" t="str">
        <f>"6980A804-001   W4- V8 COMP INTERNAL CABLE"</f>
        <v>6980A804-001   W4- V8 COMP INTERNAL CABLE</v>
      </c>
      <c r="L1335">
        <v>0</v>
      </c>
      <c r="M1335" t="str">
        <f>"PR21000666"</f>
        <v>PR21000666</v>
      </c>
      <c r="N1335" t="str">
        <f>"CABEL"</f>
        <v>CABEL</v>
      </c>
      <c r="O1335">
        <v>0</v>
      </c>
      <c r="P1335" t="str">
        <f>"$"</f>
        <v>$</v>
      </c>
      <c r="Q1335" t="str">
        <f>"117"</f>
        <v>117</v>
      </c>
      <c r="R1335" t="str">
        <f>"רתמות"</f>
        <v>רתמות</v>
      </c>
      <c r="S1335" t="str">
        <f>"040"</f>
        <v>040</v>
      </c>
      <c r="T1335" t="str">
        <f>"עמר ליגל"</f>
        <v>עמר ליגל</v>
      </c>
      <c r="U1335">
        <v>0</v>
      </c>
      <c r="V1335">
        <v>0</v>
      </c>
      <c r="W1335">
        <v>0</v>
      </c>
      <c r="X1335">
        <v>0</v>
      </c>
      <c r="Z1335" t="str">
        <f>"Y"</f>
        <v>Y</v>
      </c>
      <c r="AA1335">
        <v>0</v>
      </c>
      <c r="AC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 t="str">
        <f>"$"</f>
        <v>$</v>
      </c>
    </row>
    <row r="1336" spans="1:38" x14ac:dyDescent="0.3">
      <c r="A1336" t="str">
        <f>"SO21000426"</f>
        <v>SO21000426</v>
      </c>
      <c r="B1336" t="str">
        <f>"E000347550"</f>
        <v>E000347550</v>
      </c>
      <c r="C1336" t="str">
        <f>"בוצעה"</f>
        <v>בוצעה</v>
      </c>
      <c r="E1336" s="3">
        <v>44476</v>
      </c>
      <c r="F1336" s="3">
        <v>44591</v>
      </c>
      <c r="G1336" t="str">
        <f>"700065"</f>
        <v>700065</v>
      </c>
      <c r="H1336" t="str">
        <f>"אלתא מערכות בע""מ"</f>
        <v>אלתא מערכות בע"מ</v>
      </c>
      <c r="I1336" t="str">
        <f>"רחמים זרוק"</f>
        <v>רחמים זרוק</v>
      </c>
      <c r="J1336" t="str">
        <f>"OP-AR02857"</f>
        <v>OP-AR02857</v>
      </c>
      <c r="K1336" s="1" t="str">
        <f>"6980A804-001   W4- V8 COMP INTERNAL CABLE"</f>
        <v>6980A804-001   W4- V8 COMP INTERNAL CABLE</v>
      </c>
      <c r="L1336">
        <v>7</v>
      </c>
      <c r="O1336">
        <v>0</v>
      </c>
      <c r="P1336" t="str">
        <f>"$"</f>
        <v>$</v>
      </c>
      <c r="Q1336" t="str">
        <f>"117"</f>
        <v>117</v>
      </c>
      <c r="R1336" t="str">
        <f>"רתמות"</f>
        <v>רתמות</v>
      </c>
      <c r="S1336" t="str">
        <f>"040"</f>
        <v>040</v>
      </c>
      <c r="T1336" t="str">
        <f>"עמר ליגל"</f>
        <v>עמר ליגל</v>
      </c>
      <c r="U1336">
        <v>0</v>
      </c>
      <c r="V1336">
        <v>0</v>
      </c>
      <c r="W1336">
        <v>0</v>
      </c>
      <c r="X1336">
        <v>0</v>
      </c>
      <c r="Z1336" t="str">
        <f>"Y"</f>
        <v>Y</v>
      </c>
      <c r="AA1336">
        <v>0</v>
      </c>
      <c r="AC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 t="str">
        <f>"$"</f>
        <v>$</v>
      </c>
    </row>
    <row r="1337" spans="1:38" x14ac:dyDescent="0.3">
      <c r="A1337" t="str">
        <f>"SO21000426"</f>
        <v>SO21000426</v>
      </c>
      <c r="B1337" t="str">
        <f>"E000347550"</f>
        <v>E000347550</v>
      </c>
      <c r="C1337" t="str">
        <f>"בוצעה"</f>
        <v>בוצעה</v>
      </c>
      <c r="E1337" s="3">
        <v>44476</v>
      </c>
      <c r="F1337" s="3">
        <v>44644</v>
      </c>
      <c r="G1337" t="str">
        <f>"700065"</f>
        <v>700065</v>
      </c>
      <c r="H1337" t="str">
        <f>"אלתא מערכות בע""מ"</f>
        <v>אלתא מערכות בע"מ</v>
      </c>
      <c r="I1337" t="str">
        <f>"רחמים זרוק"</f>
        <v>רחמים זרוק</v>
      </c>
      <c r="J1337" t="str">
        <f>"OP-AR02857"</f>
        <v>OP-AR02857</v>
      </c>
      <c r="K1337" s="1" t="str">
        <f>"6980A804-001   W4- V8 COMP INTERNAL CABLE"</f>
        <v>6980A804-001   W4- V8 COMP INTERNAL CABLE</v>
      </c>
      <c r="L1337">
        <v>7</v>
      </c>
      <c r="O1337">
        <v>296.8</v>
      </c>
      <c r="P1337" t="str">
        <f>"$"</f>
        <v>$</v>
      </c>
      <c r="Q1337" t="str">
        <f>"117"</f>
        <v>117</v>
      </c>
      <c r="R1337" t="str">
        <f>"רתמות"</f>
        <v>רתמות</v>
      </c>
      <c r="S1337" t="str">
        <f>"040"</f>
        <v>040</v>
      </c>
      <c r="T1337" t="str">
        <f>"עמר ליגל"</f>
        <v>עמר ליגל</v>
      </c>
      <c r="U1337">
        <v>0</v>
      </c>
      <c r="V1337">
        <v>0</v>
      </c>
      <c r="W1337">
        <v>296.8</v>
      </c>
      <c r="X1337" s="2">
        <v>2077.6</v>
      </c>
      <c r="Z1337" t="str">
        <f>"Y"</f>
        <v>Y</v>
      </c>
      <c r="AA1337">
        <v>0</v>
      </c>
      <c r="AC1337">
        <v>0</v>
      </c>
      <c r="AE1337">
        <v>0</v>
      </c>
      <c r="AF1337">
        <v>0</v>
      </c>
      <c r="AG1337">
        <v>954.81</v>
      </c>
      <c r="AH1337">
        <v>0</v>
      </c>
      <c r="AI1337" s="2">
        <v>6683.64</v>
      </c>
      <c r="AJ1337" s="2">
        <v>2077.6</v>
      </c>
      <c r="AK1337" s="2">
        <v>2077.6</v>
      </c>
      <c r="AL1337" t="str">
        <f>"$"</f>
        <v>$</v>
      </c>
    </row>
    <row r="1338" spans="1:38" x14ac:dyDescent="0.3">
      <c r="A1338" t="str">
        <f>"SO21000432"</f>
        <v>SO21000432</v>
      </c>
      <c r="B1338" t="str">
        <f>"E000347797"</f>
        <v>E000347797</v>
      </c>
      <c r="C1338" t="str">
        <f>"בוצעה"</f>
        <v>בוצעה</v>
      </c>
      <c r="E1338" s="3">
        <v>44479</v>
      </c>
      <c r="F1338" s="3">
        <v>44620</v>
      </c>
      <c r="G1338" t="str">
        <f>"700065"</f>
        <v>700065</v>
      </c>
      <c r="H1338" t="str">
        <f>"אלתא מערכות בע""מ"</f>
        <v>אלתא מערכות בע"מ</v>
      </c>
      <c r="I1338" t="str">
        <f>"ערן שלו"</f>
        <v>ערן שלו</v>
      </c>
      <c r="J1338" t="str">
        <f>"PS0400063"</f>
        <v>PS0400063</v>
      </c>
      <c r="K1338" s="1" t="str">
        <f>"TSI-EPC-48V-230Vac-Module MEDIA ( Stainless)"</f>
        <v>TSI-EPC-48V-230Vac-Module MEDIA ( Stainless)</v>
      </c>
      <c r="L1338">
        <v>5</v>
      </c>
      <c r="M1338" t="str">
        <f>"PR21000671"</f>
        <v>PR21000671</v>
      </c>
      <c r="N1338" t="str">
        <f>"ספקים"</f>
        <v>ספקים</v>
      </c>
      <c r="O1338" s="2">
        <v>3550</v>
      </c>
      <c r="P1338" t="str">
        <f>"$"</f>
        <v>$</v>
      </c>
      <c r="Q1338" t="str">
        <f>"118"</f>
        <v>118</v>
      </c>
      <c r="R1338" t="str">
        <f>"מערכות"</f>
        <v>מערכות</v>
      </c>
      <c r="S1338" t="str">
        <f>"034"</f>
        <v>034</v>
      </c>
      <c r="T1338" t="str">
        <f>"עמר ליגל"</f>
        <v>עמר ליגל</v>
      </c>
      <c r="U1338">
        <v>0</v>
      </c>
      <c r="V1338">
        <v>0</v>
      </c>
      <c r="W1338" s="2">
        <v>3550</v>
      </c>
      <c r="X1338" s="2">
        <v>17750</v>
      </c>
      <c r="Z1338" t="str">
        <f>"Y"</f>
        <v>Y</v>
      </c>
      <c r="AA1338">
        <v>0</v>
      </c>
      <c r="AC1338">
        <v>0</v>
      </c>
      <c r="AE1338">
        <v>0</v>
      </c>
      <c r="AF1338">
        <v>0</v>
      </c>
      <c r="AG1338" s="2">
        <v>11470.05</v>
      </c>
      <c r="AH1338">
        <v>0</v>
      </c>
      <c r="AI1338" s="2">
        <v>57350.25</v>
      </c>
      <c r="AJ1338" s="2">
        <v>17750</v>
      </c>
      <c r="AK1338" s="2">
        <v>17750</v>
      </c>
      <c r="AL1338" t="str">
        <f>"$"</f>
        <v>$</v>
      </c>
    </row>
    <row r="1339" spans="1:38" x14ac:dyDescent="0.3">
      <c r="A1339" t="str">
        <f>"SO21000432"</f>
        <v>SO21000432</v>
      </c>
      <c r="B1339" t="str">
        <f>"E000347797"</f>
        <v>E000347797</v>
      </c>
      <c r="C1339" t="str">
        <f>"בוצעה"</f>
        <v>בוצעה</v>
      </c>
      <c r="E1339" s="3">
        <v>44479</v>
      </c>
      <c r="F1339" s="3">
        <v>44562</v>
      </c>
      <c r="G1339" t="str">
        <f>"700065"</f>
        <v>700065</v>
      </c>
      <c r="H1339" t="str">
        <f>"אלתא מערכות בע""מ"</f>
        <v>אלתא מערכות בע"מ</v>
      </c>
      <c r="I1339" t="str">
        <f>"ערן שלו"</f>
        <v>ערן שלו</v>
      </c>
      <c r="J1339" t="str">
        <f>"PS0200013"</f>
        <v>PS0200013</v>
      </c>
      <c r="K1339" s="1" t="str">
        <f>"DPR6000B-48"</f>
        <v>DPR6000B-48</v>
      </c>
      <c r="L1339">
        <v>5</v>
      </c>
      <c r="M1339" t="str">
        <f>"PR21000671"</f>
        <v>PR21000671</v>
      </c>
      <c r="N1339" t="str">
        <f>"ספקים"</f>
        <v>ספקים</v>
      </c>
      <c r="O1339" s="2">
        <v>1640</v>
      </c>
      <c r="P1339" t="str">
        <f>"$"</f>
        <v>$</v>
      </c>
      <c r="Q1339" t="str">
        <f>"118"</f>
        <v>118</v>
      </c>
      <c r="R1339" t="str">
        <f>"מערכות"</f>
        <v>מערכות</v>
      </c>
      <c r="S1339" t="str">
        <f>"034"</f>
        <v>034</v>
      </c>
      <c r="T1339" t="str">
        <f>"עמר ליגל"</f>
        <v>עמר ליגל</v>
      </c>
      <c r="U1339">
        <v>0</v>
      </c>
      <c r="V1339">
        <v>0</v>
      </c>
      <c r="W1339" s="2">
        <v>1640</v>
      </c>
      <c r="X1339" s="2">
        <v>8200</v>
      </c>
      <c r="Z1339" t="str">
        <f>"Y"</f>
        <v>Y</v>
      </c>
      <c r="AA1339">
        <v>0</v>
      </c>
      <c r="AC1339">
        <v>0</v>
      </c>
      <c r="AE1339">
        <v>0</v>
      </c>
      <c r="AF1339">
        <v>0</v>
      </c>
      <c r="AG1339" s="2">
        <v>5298.84</v>
      </c>
      <c r="AH1339">
        <v>0</v>
      </c>
      <c r="AI1339" s="2">
        <v>26494.2</v>
      </c>
      <c r="AJ1339" s="2">
        <v>8200</v>
      </c>
      <c r="AK1339" s="2">
        <v>8200</v>
      </c>
      <c r="AL1339" t="str">
        <f>"$"</f>
        <v>$</v>
      </c>
    </row>
    <row r="1340" spans="1:38" x14ac:dyDescent="0.3">
      <c r="A1340" t="str">
        <f>"SO21000435"</f>
        <v>SO21000435</v>
      </c>
      <c r="B1340" t="str">
        <f>"E000347054"</f>
        <v>E000347054</v>
      </c>
      <c r="C1340" t="str">
        <f>"בוצעה"</f>
        <v>בוצעה</v>
      </c>
      <c r="E1340" s="3">
        <v>44486</v>
      </c>
      <c r="F1340" s="3">
        <v>44520</v>
      </c>
      <c r="G1340" t="str">
        <f>"700065"</f>
        <v>700065</v>
      </c>
      <c r="H1340" t="str">
        <f>"אלתא מערכות בע""מ"</f>
        <v>אלתא מערכות בע"מ</v>
      </c>
      <c r="I1340" t="str">
        <f>"רחמים זרוק"</f>
        <v>רחמים זרוק</v>
      </c>
      <c r="J1340" t="str">
        <f>"OP-AR02809"</f>
        <v>OP-AR02809</v>
      </c>
      <c r="K1340" s="1" t="str">
        <f>"1039F055-001   HARNESS WF055 - RTS POWER CABLE 12VDC"</f>
        <v>1039F055-001   HARNESS WF055 - RTS POWER CABLE 12VDC</v>
      </c>
      <c r="L1340">
        <v>5</v>
      </c>
      <c r="M1340" t="str">
        <f>"PR21000685"</f>
        <v>PR21000685</v>
      </c>
      <c r="N1340" t="str">
        <f>"CABEL"</f>
        <v>CABEL</v>
      </c>
      <c r="O1340">
        <v>97.36</v>
      </c>
      <c r="P1340" t="str">
        <f>"$"</f>
        <v>$</v>
      </c>
      <c r="Q1340" t="str">
        <f>"117"</f>
        <v>117</v>
      </c>
      <c r="R1340" t="str">
        <f>"רתמות"</f>
        <v>רתמות</v>
      </c>
      <c r="S1340" t="str">
        <f>"040"</f>
        <v>040</v>
      </c>
      <c r="T1340" t="str">
        <f>"עמר ליגל"</f>
        <v>עמר ליגל</v>
      </c>
      <c r="U1340">
        <v>0</v>
      </c>
      <c r="V1340">
        <v>0</v>
      </c>
      <c r="W1340">
        <v>97.36</v>
      </c>
      <c r="X1340">
        <v>486.8</v>
      </c>
      <c r="Z1340" t="str">
        <f>"Y"</f>
        <v>Y</v>
      </c>
      <c r="AA1340">
        <v>0</v>
      </c>
      <c r="AC1340">
        <v>0</v>
      </c>
      <c r="AE1340">
        <v>0</v>
      </c>
      <c r="AF1340">
        <v>0</v>
      </c>
      <c r="AG1340">
        <v>313.39999999999998</v>
      </c>
      <c r="AH1340">
        <v>0</v>
      </c>
      <c r="AI1340" s="2">
        <v>1567.01</v>
      </c>
      <c r="AJ1340">
        <v>486.8</v>
      </c>
      <c r="AK1340">
        <v>486.8</v>
      </c>
      <c r="AL1340" t="str">
        <f>"$"</f>
        <v>$</v>
      </c>
    </row>
    <row r="1341" spans="1:38" x14ac:dyDescent="0.3">
      <c r="A1341" t="str">
        <f>"SO21000435"</f>
        <v>SO21000435</v>
      </c>
      <c r="B1341" t="str">
        <f>"E000347054"</f>
        <v>E000347054</v>
      </c>
      <c r="C1341" t="str">
        <f>"בוצעה"</f>
        <v>בוצעה</v>
      </c>
      <c r="E1341" s="3">
        <v>44486</v>
      </c>
      <c r="F1341" s="3">
        <v>44565</v>
      </c>
      <c r="G1341" t="str">
        <f>"700065"</f>
        <v>700065</v>
      </c>
      <c r="H1341" t="str">
        <f>"אלתא מערכות בע""מ"</f>
        <v>אלתא מערכות בע"מ</v>
      </c>
      <c r="I1341" t="str">
        <f>"רחמים זרוק"</f>
        <v>רחמים זרוק</v>
      </c>
      <c r="J1341" t="str">
        <f>"OP-AR02810"</f>
        <v>OP-AR02810</v>
      </c>
      <c r="K1341" s="1" t="str">
        <f>"2216B032-001   NMS-AV ANT DEBUG CABLE ASSY"</f>
        <v>2216B032-001   NMS-AV ANT DEBUG CABLE ASSY</v>
      </c>
      <c r="L1341">
        <v>1</v>
      </c>
      <c r="M1341" t="str">
        <f>"PR21000685"</f>
        <v>PR21000685</v>
      </c>
      <c r="N1341" t="str">
        <f>"CABEL"</f>
        <v>CABEL</v>
      </c>
      <c r="O1341">
        <v>975.22</v>
      </c>
      <c r="P1341" t="str">
        <f>"$"</f>
        <v>$</v>
      </c>
      <c r="Q1341" t="str">
        <f>"117"</f>
        <v>117</v>
      </c>
      <c r="R1341" t="str">
        <f>"רתמות"</f>
        <v>רתמות</v>
      </c>
      <c r="S1341" t="str">
        <f>"040"</f>
        <v>040</v>
      </c>
      <c r="T1341" t="str">
        <f>"עמר ליגל"</f>
        <v>עמר ליגל</v>
      </c>
      <c r="U1341">
        <v>0</v>
      </c>
      <c r="V1341">
        <v>0</v>
      </c>
      <c r="W1341">
        <v>975.22</v>
      </c>
      <c r="X1341">
        <v>975.22</v>
      </c>
      <c r="Z1341" t="str">
        <f>"Y"</f>
        <v>Y</v>
      </c>
      <c r="AA1341">
        <v>0</v>
      </c>
      <c r="AC1341">
        <v>0</v>
      </c>
      <c r="AE1341">
        <v>0</v>
      </c>
      <c r="AF1341">
        <v>0</v>
      </c>
      <c r="AG1341" s="2">
        <v>3139.23</v>
      </c>
      <c r="AH1341">
        <v>0</v>
      </c>
      <c r="AI1341" s="2">
        <v>3139.23</v>
      </c>
      <c r="AJ1341">
        <v>975.22</v>
      </c>
      <c r="AK1341">
        <v>975.22</v>
      </c>
      <c r="AL1341" t="str">
        <f>"$"</f>
        <v>$</v>
      </c>
    </row>
    <row r="1342" spans="1:38" x14ac:dyDescent="0.3">
      <c r="A1342" t="str">
        <f>"SO21000435"</f>
        <v>SO21000435</v>
      </c>
      <c r="B1342" t="str">
        <f>"E000347054"</f>
        <v>E000347054</v>
      </c>
      <c r="C1342" t="str">
        <f>"בוצעה"</f>
        <v>בוצעה</v>
      </c>
      <c r="E1342" s="3">
        <v>44486</v>
      </c>
      <c r="F1342" s="3">
        <v>44545</v>
      </c>
      <c r="G1342" t="str">
        <f>"700065"</f>
        <v>700065</v>
      </c>
      <c r="H1342" t="str">
        <f>"אלתא מערכות בע""מ"</f>
        <v>אלתא מערכות בע"מ</v>
      </c>
      <c r="I1342" t="str">
        <f>"רחמים זרוק"</f>
        <v>רחמים זרוק</v>
      </c>
      <c r="J1342" t="str">
        <f>"OP-AR02811"</f>
        <v>OP-AR02811</v>
      </c>
      <c r="K1342" s="1" t="str">
        <f>"1038C382-001   ETHERNET CABLE WC382 - COMCON PANEL - JU"</f>
        <v>1038C382-001   ETHERNET CABLE WC382 - COMCON PANEL - JU</v>
      </c>
      <c r="L1342">
        <v>8</v>
      </c>
      <c r="M1342" t="str">
        <f>"PR21000685"</f>
        <v>PR21000685</v>
      </c>
      <c r="N1342" t="str">
        <f>"CABEL"</f>
        <v>CABEL</v>
      </c>
      <c r="O1342">
        <v>181.78</v>
      </c>
      <c r="P1342" t="str">
        <f>"$"</f>
        <v>$</v>
      </c>
      <c r="Q1342" t="str">
        <f>"117"</f>
        <v>117</v>
      </c>
      <c r="R1342" t="str">
        <f>"רתמות"</f>
        <v>רתמות</v>
      </c>
      <c r="S1342" t="str">
        <f>"040"</f>
        <v>040</v>
      </c>
      <c r="T1342" t="str">
        <f>"עמר ליגל"</f>
        <v>עמר ליגל</v>
      </c>
      <c r="U1342">
        <v>0</v>
      </c>
      <c r="V1342">
        <v>0</v>
      </c>
      <c r="W1342">
        <v>181.78</v>
      </c>
      <c r="X1342" s="2">
        <v>1454.24</v>
      </c>
      <c r="Z1342" t="str">
        <f>"Y"</f>
        <v>Y</v>
      </c>
      <c r="AA1342">
        <v>0</v>
      </c>
      <c r="AC1342">
        <v>0</v>
      </c>
      <c r="AE1342">
        <v>0</v>
      </c>
      <c r="AF1342">
        <v>0</v>
      </c>
      <c r="AG1342">
        <v>585.15</v>
      </c>
      <c r="AH1342">
        <v>0</v>
      </c>
      <c r="AI1342" s="2">
        <v>4681.2</v>
      </c>
      <c r="AJ1342" s="2">
        <v>1454.24</v>
      </c>
      <c r="AK1342" s="2">
        <v>1454.24</v>
      </c>
      <c r="AL1342" t="str">
        <f>"$"</f>
        <v>$</v>
      </c>
    </row>
    <row r="1343" spans="1:38" x14ac:dyDescent="0.3">
      <c r="A1343" t="str">
        <f>"SO21000435"</f>
        <v>SO21000435</v>
      </c>
      <c r="B1343" t="str">
        <f>"E000347054"</f>
        <v>E000347054</v>
      </c>
      <c r="C1343" t="str">
        <f>"בוצעה"</f>
        <v>בוצעה</v>
      </c>
      <c r="E1343" s="3">
        <v>44486</v>
      </c>
      <c r="F1343" s="3">
        <v>44565</v>
      </c>
      <c r="G1343" t="str">
        <f>"700065"</f>
        <v>700065</v>
      </c>
      <c r="H1343" t="str">
        <f>"אלתא מערכות בע""מ"</f>
        <v>אלתא מערכות בע"מ</v>
      </c>
      <c r="I1343" t="str">
        <f>"רחמים זרוק"</f>
        <v>רחמים זרוק</v>
      </c>
      <c r="J1343" t="str">
        <f>"OP-AR02812"</f>
        <v>OP-AR02812</v>
      </c>
      <c r="K1343" s="1" t="str">
        <f>"2081B138-001   W49F-8 FILTER OUTPUT POWER CABLE"</f>
        <v>2081B138-001   W49F-8 FILTER OUTPUT POWER CABLE</v>
      </c>
      <c r="L1343">
        <v>4</v>
      </c>
      <c r="M1343" t="str">
        <f>"PR21000685"</f>
        <v>PR21000685</v>
      </c>
      <c r="N1343" t="str">
        <f>"CABEL"</f>
        <v>CABEL</v>
      </c>
      <c r="O1343">
        <v>589.42999999999995</v>
      </c>
      <c r="P1343" t="str">
        <f>"$"</f>
        <v>$</v>
      </c>
      <c r="Q1343" t="str">
        <f>"117"</f>
        <v>117</v>
      </c>
      <c r="R1343" t="str">
        <f>"רתמות"</f>
        <v>רתמות</v>
      </c>
      <c r="S1343" t="str">
        <f>"040"</f>
        <v>040</v>
      </c>
      <c r="T1343" t="str">
        <f>"עמר ליגל"</f>
        <v>עמר ליגל</v>
      </c>
      <c r="U1343">
        <v>0</v>
      </c>
      <c r="V1343">
        <v>0</v>
      </c>
      <c r="W1343">
        <v>589.42999999999995</v>
      </c>
      <c r="X1343" s="2">
        <v>2357.7199999999998</v>
      </c>
      <c r="Z1343" t="str">
        <f>"Y"</f>
        <v>Y</v>
      </c>
      <c r="AA1343">
        <v>0</v>
      </c>
      <c r="AC1343">
        <v>0</v>
      </c>
      <c r="AE1343">
        <v>0</v>
      </c>
      <c r="AF1343">
        <v>0</v>
      </c>
      <c r="AG1343" s="2">
        <v>1897.38</v>
      </c>
      <c r="AH1343">
        <v>0</v>
      </c>
      <c r="AI1343" s="2">
        <v>7589.5</v>
      </c>
      <c r="AJ1343" s="2">
        <v>2357.7199999999998</v>
      </c>
      <c r="AK1343" s="2">
        <v>2357.7199999999998</v>
      </c>
      <c r="AL1343" t="str">
        <f>"$"</f>
        <v>$</v>
      </c>
    </row>
    <row r="1344" spans="1:38" x14ac:dyDescent="0.3">
      <c r="A1344" t="str">
        <f>"SO21000435"</f>
        <v>SO21000435</v>
      </c>
      <c r="B1344" t="str">
        <f>"E000347054"</f>
        <v>E000347054</v>
      </c>
      <c r="C1344" t="str">
        <f>"בוצעה"</f>
        <v>בוצעה</v>
      </c>
      <c r="E1344" s="3">
        <v>44486</v>
      </c>
      <c r="F1344" s="3">
        <v>44565</v>
      </c>
      <c r="G1344" t="str">
        <f>"700065"</f>
        <v>700065</v>
      </c>
      <c r="H1344" t="str">
        <f>"אלתא מערכות בע""מ"</f>
        <v>אלתא מערכות בע"מ</v>
      </c>
      <c r="I1344" t="str">
        <f>"רחמים זרוק"</f>
        <v>רחמים זרוק</v>
      </c>
      <c r="J1344" t="str">
        <f>"OP-AR02148"</f>
        <v>OP-AR02148</v>
      </c>
      <c r="K1344" s="1" t="str">
        <f>"9002H708-001  HARNESS W5708 - POD LVCS J5 DC POW"</f>
        <v>9002H708-001  HARNESS W5708 - POD LVCS J5 DC POW</v>
      </c>
      <c r="L1344">
        <v>5</v>
      </c>
      <c r="M1344" t="str">
        <f>"PR21000685"</f>
        <v>PR21000685</v>
      </c>
      <c r="N1344" t="str">
        <f>"CABEL"</f>
        <v>CABEL</v>
      </c>
      <c r="O1344">
        <v>593.64</v>
      </c>
      <c r="P1344" t="str">
        <f>"$"</f>
        <v>$</v>
      </c>
      <c r="Q1344" t="str">
        <f>"117"</f>
        <v>117</v>
      </c>
      <c r="R1344" t="str">
        <f>"רתמות"</f>
        <v>רתמות</v>
      </c>
      <c r="S1344" t="str">
        <f>"040"</f>
        <v>040</v>
      </c>
      <c r="T1344" t="str">
        <f>"עמר ליגל"</f>
        <v>עמר ליגל</v>
      </c>
      <c r="U1344">
        <v>0</v>
      </c>
      <c r="V1344">
        <v>0</v>
      </c>
      <c r="W1344">
        <v>593.64</v>
      </c>
      <c r="X1344" s="2">
        <v>2968.2</v>
      </c>
      <c r="Z1344" t="str">
        <f>"Y"</f>
        <v>Y</v>
      </c>
      <c r="AA1344">
        <v>0</v>
      </c>
      <c r="AC1344">
        <v>0</v>
      </c>
      <c r="AE1344">
        <v>0</v>
      </c>
      <c r="AF1344">
        <v>0</v>
      </c>
      <c r="AG1344" s="2">
        <v>1910.93</v>
      </c>
      <c r="AH1344">
        <v>0</v>
      </c>
      <c r="AI1344" s="2">
        <v>9554.64</v>
      </c>
      <c r="AJ1344" s="2">
        <v>2968.2</v>
      </c>
      <c r="AK1344" s="2">
        <v>2968.2</v>
      </c>
      <c r="AL1344" t="str">
        <f>"$"</f>
        <v>$</v>
      </c>
    </row>
    <row r="1345" spans="1:38" x14ac:dyDescent="0.3">
      <c r="A1345" t="str">
        <f>"SO21000435"</f>
        <v>SO21000435</v>
      </c>
      <c r="B1345" t="str">
        <f>"E000347054"</f>
        <v>E000347054</v>
      </c>
      <c r="C1345" t="str">
        <f>"בוצעה"</f>
        <v>בוצעה</v>
      </c>
      <c r="E1345" s="3">
        <v>44486</v>
      </c>
      <c r="F1345" s="3">
        <v>44530</v>
      </c>
      <c r="G1345" t="str">
        <f>"700065"</f>
        <v>700065</v>
      </c>
      <c r="H1345" t="str">
        <f>"אלתא מערכות בע""מ"</f>
        <v>אלתא מערכות בע"מ</v>
      </c>
      <c r="I1345" t="str">
        <f>"רחמים זרוק"</f>
        <v>רחמים זרוק</v>
      </c>
      <c r="J1345" t="str">
        <f>"OP-AR02813"</f>
        <v>OP-AR02813</v>
      </c>
      <c r="K1345" s="1" t="str">
        <f>"4050B460-001    CABLE ASSY JIG POWER"</f>
        <v>4050B460-001    CABLE ASSY JIG POWER</v>
      </c>
      <c r="L1345">
        <v>8</v>
      </c>
      <c r="M1345" t="str">
        <f>"PR21000685"</f>
        <v>PR21000685</v>
      </c>
      <c r="N1345" t="str">
        <f>"CABEL"</f>
        <v>CABEL</v>
      </c>
      <c r="O1345">
        <v>70.95</v>
      </c>
      <c r="P1345" t="str">
        <f>"$"</f>
        <v>$</v>
      </c>
      <c r="Q1345" t="str">
        <f>"117"</f>
        <v>117</v>
      </c>
      <c r="R1345" t="str">
        <f>"רתמות"</f>
        <v>רתמות</v>
      </c>
      <c r="S1345" t="str">
        <f>"040"</f>
        <v>040</v>
      </c>
      <c r="T1345" t="str">
        <f>"עמר ליגל"</f>
        <v>עמר ליגל</v>
      </c>
      <c r="U1345">
        <v>0</v>
      </c>
      <c r="V1345">
        <v>0</v>
      </c>
      <c r="W1345">
        <v>70.95</v>
      </c>
      <c r="X1345">
        <v>567.6</v>
      </c>
      <c r="Z1345" t="str">
        <f>"Y"</f>
        <v>Y</v>
      </c>
      <c r="AA1345">
        <v>0</v>
      </c>
      <c r="AC1345">
        <v>0</v>
      </c>
      <c r="AE1345">
        <v>0</v>
      </c>
      <c r="AF1345">
        <v>0</v>
      </c>
      <c r="AG1345">
        <v>228.39</v>
      </c>
      <c r="AH1345">
        <v>0</v>
      </c>
      <c r="AI1345" s="2">
        <v>1827.1</v>
      </c>
      <c r="AJ1345">
        <v>567.6</v>
      </c>
      <c r="AK1345">
        <v>567.6</v>
      </c>
      <c r="AL1345" t="str">
        <f>"$"</f>
        <v>$</v>
      </c>
    </row>
    <row r="1346" spans="1:38" x14ac:dyDescent="0.3">
      <c r="A1346" t="str">
        <f>"SO21000435"</f>
        <v>SO21000435</v>
      </c>
      <c r="B1346" t="str">
        <f>"E000347054"</f>
        <v>E000347054</v>
      </c>
      <c r="C1346" t="str">
        <f>"בוצעה"</f>
        <v>בוצעה</v>
      </c>
      <c r="E1346" s="3">
        <v>44486</v>
      </c>
      <c r="F1346" s="3">
        <v>44545</v>
      </c>
      <c r="G1346" t="str">
        <f>"700065"</f>
        <v>700065</v>
      </c>
      <c r="H1346" t="str">
        <f>"אלתא מערכות בע""מ"</f>
        <v>אלתא מערכות בע"מ</v>
      </c>
      <c r="I1346" t="str">
        <f>"רחמים זרוק"</f>
        <v>רחמים זרוק</v>
      </c>
      <c r="J1346" t="str">
        <f>"OP-AR02814"</f>
        <v>OP-AR02814</v>
      </c>
      <c r="K1346" s="1" t="str">
        <f>"2211B088-001   ANT. POWER CABLE"</f>
        <v>2211B088-001   ANT. POWER CABLE</v>
      </c>
      <c r="L1346">
        <v>1</v>
      </c>
      <c r="M1346" t="str">
        <f>"PR21000685"</f>
        <v>PR21000685</v>
      </c>
      <c r="N1346" t="str">
        <f>"CABEL"</f>
        <v>CABEL</v>
      </c>
      <c r="O1346">
        <v>347.13</v>
      </c>
      <c r="P1346" t="str">
        <f>"$"</f>
        <v>$</v>
      </c>
      <c r="Q1346" t="str">
        <f>"117"</f>
        <v>117</v>
      </c>
      <c r="R1346" t="str">
        <f>"רתמות"</f>
        <v>רתמות</v>
      </c>
      <c r="S1346" t="str">
        <f>"040"</f>
        <v>040</v>
      </c>
      <c r="T1346" t="str">
        <f>"עמר ליגל"</f>
        <v>עמר ליגל</v>
      </c>
      <c r="U1346">
        <v>0</v>
      </c>
      <c r="V1346">
        <v>0</v>
      </c>
      <c r="W1346">
        <v>347.13</v>
      </c>
      <c r="X1346">
        <v>347.13</v>
      </c>
      <c r="Z1346" t="str">
        <f>"Y"</f>
        <v>Y</v>
      </c>
      <c r="AA1346">
        <v>0</v>
      </c>
      <c r="AC1346">
        <v>0</v>
      </c>
      <c r="AE1346">
        <v>0</v>
      </c>
      <c r="AF1346">
        <v>0</v>
      </c>
      <c r="AG1346" s="2">
        <v>1117.4100000000001</v>
      </c>
      <c r="AH1346">
        <v>0</v>
      </c>
      <c r="AI1346" s="2">
        <v>1117.4100000000001</v>
      </c>
      <c r="AJ1346">
        <v>347.13</v>
      </c>
      <c r="AK1346">
        <v>347.13</v>
      </c>
      <c r="AL1346" t="str">
        <f>"$"</f>
        <v>$</v>
      </c>
    </row>
    <row r="1347" spans="1:38" x14ac:dyDescent="0.3">
      <c r="A1347" t="str">
        <f>"SO21000440"</f>
        <v>SO21000440</v>
      </c>
      <c r="B1347" t="str">
        <f>"פנמית"</f>
        <v>פנמית</v>
      </c>
      <c r="C1347" t="str">
        <f>"מאושרת לחיוב"</f>
        <v>מאושרת לחיוב</v>
      </c>
      <c r="E1347" s="3">
        <v>44493</v>
      </c>
      <c r="F1347" s="3">
        <v>44493</v>
      </c>
      <c r="G1347" t="str">
        <f>"700065"</f>
        <v>700065</v>
      </c>
      <c r="H1347" t="str">
        <f>"אלתא מערכות בע""מ"</f>
        <v>אלתא מערכות בע"מ</v>
      </c>
      <c r="J1347" t="str">
        <f>"PD0241323"</f>
        <v>PD0241323</v>
      </c>
      <c r="K1347" s="1" t="str">
        <f>"מגע עזר למא""ז S2C-H6R ABB S/F200"</f>
        <v>מגע עזר למא"ז S2C-H6R ABB S/F200</v>
      </c>
      <c r="L1347">
        <v>0</v>
      </c>
      <c r="M1347" t="str">
        <f>"PR21000756"</f>
        <v>PR21000756</v>
      </c>
      <c r="N1347" t="str">
        <f>"אספקת מגע עזר ללקוח"</f>
        <v>אספקת מגע עזר ללקוח</v>
      </c>
      <c r="O1347">
        <v>0</v>
      </c>
      <c r="P1347" t="str">
        <f>"$"</f>
        <v>$</v>
      </c>
      <c r="Q1347" t="str">
        <f>"070"</f>
        <v>070</v>
      </c>
      <c r="R1347" t="str">
        <f>"הזמנה פנימית"</f>
        <v>הזמנה פנימית</v>
      </c>
      <c r="T1347" t="str">
        <f>"עמר ליגל"</f>
        <v>עמר ליגל</v>
      </c>
      <c r="U1347">
        <v>0</v>
      </c>
      <c r="V1347">
        <v>0</v>
      </c>
      <c r="W1347">
        <v>0</v>
      </c>
      <c r="X1347">
        <v>0</v>
      </c>
      <c r="AA1347">
        <v>0</v>
      </c>
      <c r="AC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 t="str">
        <f>"$"</f>
        <v>$</v>
      </c>
    </row>
    <row r="1348" spans="1:38" x14ac:dyDescent="0.3">
      <c r="A1348" t="str">
        <f>"SO21000441"</f>
        <v>SO21000441</v>
      </c>
      <c r="B1348" t="str">
        <f>"פ"</f>
        <v>פ</v>
      </c>
      <c r="C1348" t="str">
        <f>"בוצעה"</f>
        <v>בוצעה</v>
      </c>
      <c r="E1348" s="3">
        <v>44493</v>
      </c>
      <c r="F1348" s="3">
        <v>44493</v>
      </c>
      <c r="G1348" t="str">
        <f>"700065"</f>
        <v>700065</v>
      </c>
      <c r="H1348" t="str">
        <f>"אלתא מערכות בע""מ"</f>
        <v>אלתא מערכות בע"מ</v>
      </c>
      <c r="I1348" t="str">
        <f>"ערן שלו"</f>
        <v>ערן שלו</v>
      </c>
      <c r="J1348" t="str">
        <f>"PD0241323"</f>
        <v>PD0241323</v>
      </c>
      <c r="K1348" s="1" t="str">
        <f>"מגע עזר למא""ז S2C-H6R ABB S/F200"</f>
        <v>מגע עזר למא"ז S2C-H6R ABB S/F200</v>
      </c>
      <c r="L1348">
        <v>1</v>
      </c>
      <c r="O1348">
        <v>0</v>
      </c>
      <c r="P1348" t="str">
        <f>"$"</f>
        <v>$</v>
      </c>
      <c r="Q1348" t="str">
        <f>"118"</f>
        <v>118</v>
      </c>
      <c r="R1348" t="str">
        <f>"מערכות"</f>
        <v>מערכות</v>
      </c>
      <c r="S1348" t="str">
        <f>"034"</f>
        <v>034</v>
      </c>
      <c r="T1348" t="str">
        <f>"עמר ליגל"</f>
        <v>עמר ליגל</v>
      </c>
      <c r="U1348">
        <v>0</v>
      </c>
      <c r="V1348">
        <v>0</v>
      </c>
      <c r="W1348">
        <v>0</v>
      </c>
      <c r="X1348">
        <v>0</v>
      </c>
      <c r="Z1348" t="str">
        <f>"Y"</f>
        <v>Y</v>
      </c>
      <c r="AA1348">
        <v>0</v>
      </c>
      <c r="AC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 t="str">
        <f>"$"</f>
        <v>$</v>
      </c>
    </row>
    <row r="1349" spans="1:38" x14ac:dyDescent="0.3">
      <c r="A1349" t="str">
        <f>"SO21000444"</f>
        <v>SO21000444</v>
      </c>
      <c r="B1349" t="str">
        <f>"ת"</f>
        <v>ת</v>
      </c>
      <c r="C1349" t="str">
        <f>"בבצוע"</f>
        <v>בבצוע</v>
      </c>
      <c r="E1349" s="3">
        <v>44495</v>
      </c>
      <c r="F1349" s="3">
        <v>44495</v>
      </c>
      <c r="G1349" t="str">
        <f>"700065"</f>
        <v>700065</v>
      </c>
      <c r="H1349" t="str">
        <f>"אלתא מערכות בע""מ"</f>
        <v>אלתא מערכות בע"מ</v>
      </c>
      <c r="I1349" t="str">
        <f>"ערן שלו"</f>
        <v>ערן שלו</v>
      </c>
      <c r="J1349" t="str">
        <f>"CB0800011"</f>
        <v>CB0800011</v>
      </c>
      <c r="K1349" s="1" t="str">
        <f>"כבל ניאופרן 1X70 H07RNF"</f>
        <v>כבל ניאופרן 1X70 H07RNF</v>
      </c>
      <c r="L1349">
        <v>13</v>
      </c>
      <c r="O1349">
        <v>0</v>
      </c>
      <c r="P1349" t="str">
        <f>"$"</f>
        <v>$</v>
      </c>
      <c r="Q1349" t="str">
        <f>"117"</f>
        <v>117</v>
      </c>
      <c r="R1349" t="str">
        <f>"רתמות"</f>
        <v>רתמות</v>
      </c>
      <c r="S1349" t="str">
        <f>"034"</f>
        <v>034</v>
      </c>
      <c r="T1349" t="str">
        <f>"עמר ליגל"</f>
        <v>עמר ליגל</v>
      </c>
      <c r="U1349">
        <v>0</v>
      </c>
      <c r="V1349">
        <v>0</v>
      </c>
      <c r="W1349">
        <v>0</v>
      </c>
      <c r="X1349">
        <v>0</v>
      </c>
      <c r="Z1349" t="str">
        <f>"Y"</f>
        <v>Y</v>
      </c>
      <c r="AA1349">
        <v>13</v>
      </c>
      <c r="AC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 t="str">
        <f>"$"</f>
        <v>$</v>
      </c>
    </row>
    <row r="1350" spans="1:38" x14ac:dyDescent="0.3">
      <c r="A1350" t="str">
        <f>"SO21000444"</f>
        <v>SO21000444</v>
      </c>
      <c r="B1350" t="str">
        <f>"ת"</f>
        <v>ת</v>
      </c>
      <c r="C1350" t="str">
        <f>"בבצוע"</f>
        <v>בבצוע</v>
      </c>
      <c r="E1350" s="3">
        <v>44495</v>
      </c>
      <c r="F1350" s="3">
        <v>44495</v>
      </c>
      <c r="G1350" t="str">
        <f>"700065"</f>
        <v>700065</v>
      </c>
      <c r="H1350" t="str">
        <f>"אלתא מערכות בע""מ"</f>
        <v>אלתא מערכות בע"מ</v>
      </c>
      <c r="I1350" t="str">
        <f>"ערן שלו"</f>
        <v>ערן שלו</v>
      </c>
      <c r="J1350" t="str">
        <f>"CB0112516"</f>
        <v>CB0112516</v>
      </c>
      <c r="K1350" s="1" t="str">
        <f>"כבל 3X25+16  XLP"</f>
        <v>כבל 3X25+16  XLP</v>
      </c>
      <c r="L1350">
        <v>32</v>
      </c>
      <c r="O1350">
        <v>0</v>
      </c>
      <c r="P1350" t="str">
        <f>"$"</f>
        <v>$</v>
      </c>
      <c r="Q1350" t="str">
        <f>"117"</f>
        <v>117</v>
      </c>
      <c r="R1350" t="str">
        <f>"רתמות"</f>
        <v>רתמות</v>
      </c>
      <c r="S1350" t="str">
        <f>"034"</f>
        <v>034</v>
      </c>
      <c r="T1350" t="str">
        <f>"עמר ליגל"</f>
        <v>עמר ליגל</v>
      </c>
      <c r="U1350">
        <v>0</v>
      </c>
      <c r="V1350">
        <v>0</v>
      </c>
      <c r="W1350">
        <v>0</v>
      </c>
      <c r="X1350">
        <v>0</v>
      </c>
      <c r="Z1350" t="str">
        <f>"Y"</f>
        <v>Y</v>
      </c>
      <c r="AA1350">
        <v>32</v>
      </c>
      <c r="AC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 t="str">
        <f>"$"</f>
        <v>$</v>
      </c>
    </row>
    <row r="1351" spans="1:38" x14ac:dyDescent="0.3">
      <c r="A1351" t="str">
        <f>"SO21000444"</f>
        <v>SO21000444</v>
      </c>
      <c r="B1351" t="str">
        <f>"ת"</f>
        <v>ת</v>
      </c>
      <c r="C1351" t="str">
        <f>"בבצוע"</f>
        <v>בבצוע</v>
      </c>
      <c r="E1351" s="3">
        <v>44495</v>
      </c>
      <c r="F1351" s="3">
        <v>44495</v>
      </c>
      <c r="G1351" t="str">
        <f>"700065"</f>
        <v>700065</v>
      </c>
      <c r="H1351" t="str">
        <f>"אלתא מערכות בע""מ"</f>
        <v>אלתא מערכות בע"מ</v>
      </c>
      <c r="I1351" t="str">
        <f>"ערן שלו"</f>
        <v>ערן שלו</v>
      </c>
      <c r="J1351" t="str">
        <f>"CB0813320"</f>
        <v>CB0813320</v>
      </c>
      <c r="K1351" s="1" t="str">
        <f>"כבל ניאופרן 4X95 H07RNF"</f>
        <v>כבל ניאופרן 4X95 H07RNF</v>
      </c>
      <c r="L1351">
        <v>12</v>
      </c>
      <c r="O1351">
        <v>0</v>
      </c>
      <c r="P1351" t="str">
        <f>"$"</f>
        <v>$</v>
      </c>
      <c r="Q1351" t="str">
        <f>"117"</f>
        <v>117</v>
      </c>
      <c r="R1351" t="str">
        <f>"רתמות"</f>
        <v>רתמות</v>
      </c>
      <c r="S1351" t="str">
        <f>"034"</f>
        <v>034</v>
      </c>
      <c r="T1351" t="str">
        <f>"עמר ליגל"</f>
        <v>עמר ליגל</v>
      </c>
      <c r="U1351">
        <v>0</v>
      </c>
      <c r="V1351">
        <v>0</v>
      </c>
      <c r="W1351">
        <v>0</v>
      </c>
      <c r="X1351">
        <v>0</v>
      </c>
      <c r="Z1351" t="str">
        <f>"Y"</f>
        <v>Y</v>
      </c>
      <c r="AA1351">
        <v>12</v>
      </c>
      <c r="AC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 t="str">
        <f>"$"</f>
        <v>$</v>
      </c>
    </row>
    <row r="1352" spans="1:38" x14ac:dyDescent="0.3">
      <c r="A1352" t="str">
        <f>"SO21000444"</f>
        <v>SO21000444</v>
      </c>
      <c r="B1352" t="str">
        <f>"ת"</f>
        <v>ת</v>
      </c>
      <c r="C1352" t="str">
        <f>"בבצוע"</f>
        <v>בבצוע</v>
      </c>
      <c r="E1352" s="3">
        <v>44495</v>
      </c>
      <c r="F1352" s="3">
        <v>44495</v>
      </c>
      <c r="G1352" t="str">
        <f>"700065"</f>
        <v>700065</v>
      </c>
      <c r="H1352" t="str">
        <f>"אלתא מערכות בע""מ"</f>
        <v>אלתא מערכות בע"מ</v>
      </c>
      <c r="I1352" t="str">
        <f>"ערן שלו"</f>
        <v>ערן שלו</v>
      </c>
      <c r="J1352" t="str">
        <f>"CB0810613"</f>
        <v>CB0810613</v>
      </c>
      <c r="K1352" s="1" t="str">
        <f>"כבל ניאופרן H07-RNF 4X50"</f>
        <v>כבל ניאופרן H07-RNF 4X50</v>
      </c>
      <c r="L1352">
        <v>20</v>
      </c>
      <c r="O1352">
        <v>0</v>
      </c>
      <c r="P1352" t="str">
        <f>"$"</f>
        <v>$</v>
      </c>
      <c r="Q1352" t="str">
        <f>"117"</f>
        <v>117</v>
      </c>
      <c r="R1352" t="str">
        <f>"רתמות"</f>
        <v>רתמות</v>
      </c>
      <c r="S1352" t="str">
        <f>"034"</f>
        <v>034</v>
      </c>
      <c r="T1352" t="str">
        <f>"עמר ליגל"</f>
        <v>עמר ליגל</v>
      </c>
      <c r="U1352">
        <v>0</v>
      </c>
      <c r="V1352">
        <v>0</v>
      </c>
      <c r="W1352">
        <v>0</v>
      </c>
      <c r="X1352">
        <v>0</v>
      </c>
      <c r="Z1352" t="str">
        <f>"Y"</f>
        <v>Y</v>
      </c>
      <c r="AA1352">
        <v>20</v>
      </c>
      <c r="AC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 t="str">
        <f>"$"</f>
        <v>$</v>
      </c>
    </row>
    <row r="1353" spans="1:38" x14ac:dyDescent="0.3">
      <c r="A1353" t="str">
        <f>"SO21000444"</f>
        <v>SO21000444</v>
      </c>
      <c r="B1353" t="str">
        <f>"ת"</f>
        <v>ת</v>
      </c>
      <c r="C1353" t="str">
        <f>"בבצוע"</f>
        <v>בבצוע</v>
      </c>
      <c r="E1353" s="3">
        <v>44495</v>
      </c>
      <c r="F1353" s="3">
        <v>44495</v>
      </c>
      <c r="G1353" t="str">
        <f>"700065"</f>
        <v>700065</v>
      </c>
      <c r="H1353" t="str">
        <f>"אלתא מערכות בע""מ"</f>
        <v>אלתא מערכות בע"מ</v>
      </c>
      <c r="I1353" t="str">
        <f>"ערן שלו"</f>
        <v>ערן שלו</v>
      </c>
      <c r="J1353" t="str">
        <f>"CB0810026"</f>
        <v>CB0810026</v>
      </c>
      <c r="K1353" s="1" t="str">
        <f>"כבל ניאופרן 3X2.5 H07RNF"</f>
        <v>כבל ניאופרן 3X2.5 H07RNF</v>
      </c>
      <c r="L1353">
        <v>120</v>
      </c>
      <c r="O1353">
        <v>0</v>
      </c>
      <c r="P1353" t="str">
        <f>"$"</f>
        <v>$</v>
      </c>
      <c r="Q1353" t="str">
        <f>"117"</f>
        <v>117</v>
      </c>
      <c r="R1353" t="str">
        <f>"רתמות"</f>
        <v>רתמות</v>
      </c>
      <c r="S1353" t="str">
        <f>"034"</f>
        <v>034</v>
      </c>
      <c r="T1353" t="str">
        <f>"עמר ליגל"</f>
        <v>עמר ליגל</v>
      </c>
      <c r="U1353">
        <v>0</v>
      </c>
      <c r="V1353">
        <v>0</v>
      </c>
      <c r="W1353">
        <v>0</v>
      </c>
      <c r="X1353">
        <v>0</v>
      </c>
      <c r="Z1353" t="str">
        <f>"Y"</f>
        <v>Y</v>
      </c>
      <c r="AA1353">
        <v>120</v>
      </c>
      <c r="AC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 t="str">
        <f>"$"</f>
        <v>$</v>
      </c>
    </row>
    <row r="1354" spans="1:38" x14ac:dyDescent="0.3">
      <c r="A1354" t="str">
        <f>"SO21000446"</f>
        <v>SO21000446</v>
      </c>
      <c r="B1354" t="str">
        <f>"E000349206"</f>
        <v>E000349206</v>
      </c>
      <c r="C1354" t="str">
        <f>"בוצעה"</f>
        <v>בוצעה</v>
      </c>
      <c r="E1354" s="3">
        <v>44496</v>
      </c>
      <c r="F1354" s="3">
        <v>44591</v>
      </c>
      <c r="G1354" t="str">
        <f>"700065"</f>
        <v>700065</v>
      </c>
      <c r="H1354" t="str">
        <f>"אלתא מערכות בע""מ"</f>
        <v>אלתא מערכות בע"מ</v>
      </c>
      <c r="I1354" t="str">
        <f>"רחמים זרוק"</f>
        <v>רחמים זרוק</v>
      </c>
      <c r="J1354" t="str">
        <f>"OP-AR02827"</f>
        <v>OP-AR02827</v>
      </c>
      <c r="K1354" s="1" t="str">
        <f>"1030L872-001    W2-MEU INTERNAL CABLE"</f>
        <v>1030L872-001    W2-MEU INTERNAL CABLE</v>
      </c>
      <c r="L1354">
        <v>2</v>
      </c>
      <c r="M1354" t="str">
        <f>"PR21000763"</f>
        <v>PR21000763</v>
      </c>
      <c r="N1354" t="str">
        <f>"CABEL"</f>
        <v>CABEL</v>
      </c>
      <c r="O1354">
        <v>210.55</v>
      </c>
      <c r="P1354" t="str">
        <f>"$"</f>
        <v>$</v>
      </c>
      <c r="Q1354" t="str">
        <f>"117"</f>
        <v>117</v>
      </c>
      <c r="R1354" t="str">
        <f>"רתמות"</f>
        <v>רתמות</v>
      </c>
      <c r="S1354" t="str">
        <f>"040"</f>
        <v>040</v>
      </c>
      <c r="T1354" t="str">
        <f>"עמר ליגל"</f>
        <v>עמר ליגל</v>
      </c>
      <c r="U1354">
        <v>0</v>
      </c>
      <c r="V1354">
        <v>0</v>
      </c>
      <c r="W1354">
        <v>210.55</v>
      </c>
      <c r="X1354">
        <v>421.1</v>
      </c>
      <c r="Z1354" t="str">
        <f>"Y"</f>
        <v>Y</v>
      </c>
      <c r="AA1354">
        <v>0</v>
      </c>
      <c r="AC1354">
        <v>0</v>
      </c>
      <c r="AE1354">
        <v>0</v>
      </c>
      <c r="AF1354">
        <v>0</v>
      </c>
      <c r="AG1354">
        <v>671.87</v>
      </c>
      <c r="AH1354">
        <v>0</v>
      </c>
      <c r="AI1354" s="2">
        <v>1343.73</v>
      </c>
      <c r="AJ1354">
        <v>421.1</v>
      </c>
      <c r="AK1354">
        <v>421.1</v>
      </c>
      <c r="AL1354" t="str">
        <f>"$"</f>
        <v>$</v>
      </c>
    </row>
    <row r="1355" spans="1:38" x14ac:dyDescent="0.3">
      <c r="A1355" t="str">
        <f>"SO21000446"</f>
        <v>SO21000446</v>
      </c>
      <c r="B1355" t="str">
        <f>"E000349206"</f>
        <v>E000349206</v>
      </c>
      <c r="C1355" t="str">
        <f>"בוצעה"</f>
        <v>בוצעה</v>
      </c>
      <c r="E1355" s="3">
        <v>44496</v>
      </c>
      <c r="F1355" s="3">
        <v>44591</v>
      </c>
      <c r="G1355" t="str">
        <f>"700065"</f>
        <v>700065</v>
      </c>
      <c r="H1355" t="str">
        <f>"אלתא מערכות בע""מ"</f>
        <v>אלתא מערכות בע"מ</v>
      </c>
      <c r="I1355" t="str">
        <f>"רחמים זרוק"</f>
        <v>רחמים זרוק</v>
      </c>
      <c r="J1355" t="str">
        <f>"OP-AR02826"</f>
        <v>OP-AR02826</v>
      </c>
      <c r="K1355" s="1" t="str">
        <f>"1030L871-001    W1-24V/ETH CABLE"</f>
        <v>1030L871-001    W1-24V/ETH CABLE</v>
      </c>
      <c r="L1355">
        <v>2</v>
      </c>
      <c r="M1355" t="str">
        <f>"PR21000763"</f>
        <v>PR21000763</v>
      </c>
      <c r="N1355" t="str">
        <f>"CABEL"</f>
        <v>CABEL</v>
      </c>
      <c r="O1355">
        <v>285.14999999999998</v>
      </c>
      <c r="P1355" t="str">
        <f>"$"</f>
        <v>$</v>
      </c>
      <c r="Q1355" t="str">
        <f>"117"</f>
        <v>117</v>
      </c>
      <c r="R1355" t="str">
        <f>"רתמות"</f>
        <v>רתמות</v>
      </c>
      <c r="S1355" t="str">
        <f>"040"</f>
        <v>040</v>
      </c>
      <c r="T1355" t="str">
        <f>"עמר ליגל"</f>
        <v>עמר ליגל</v>
      </c>
      <c r="U1355">
        <v>0</v>
      </c>
      <c r="V1355">
        <v>0</v>
      </c>
      <c r="W1355">
        <v>285.14999999999998</v>
      </c>
      <c r="X1355">
        <v>570.29999999999995</v>
      </c>
      <c r="Z1355" t="str">
        <f>"Y"</f>
        <v>Y</v>
      </c>
      <c r="AA1355">
        <v>0</v>
      </c>
      <c r="AC1355">
        <v>0</v>
      </c>
      <c r="AE1355">
        <v>0</v>
      </c>
      <c r="AF1355">
        <v>0</v>
      </c>
      <c r="AG1355">
        <v>909.91</v>
      </c>
      <c r="AH1355">
        <v>0</v>
      </c>
      <c r="AI1355" s="2">
        <v>1819.83</v>
      </c>
      <c r="AJ1355">
        <v>570.29999999999995</v>
      </c>
      <c r="AK1355">
        <v>570.29999999999995</v>
      </c>
      <c r="AL1355" t="str">
        <f>"$"</f>
        <v>$</v>
      </c>
    </row>
    <row r="1356" spans="1:38" x14ac:dyDescent="0.3">
      <c r="A1356" t="str">
        <f>"SO21000449"</f>
        <v>SO21000449</v>
      </c>
      <c r="B1356" t="str">
        <f>"E000349213"</f>
        <v>E000349213</v>
      </c>
      <c r="C1356" t="str">
        <f>"בוצעה"</f>
        <v>בוצעה</v>
      </c>
      <c r="E1356" s="3">
        <v>44497</v>
      </c>
      <c r="F1356" s="3">
        <v>44635</v>
      </c>
      <c r="G1356" t="str">
        <f>"700065"</f>
        <v>700065</v>
      </c>
      <c r="H1356" t="str">
        <f>"אלתא מערכות בע""מ"</f>
        <v>אלתא מערכות בע"מ</v>
      </c>
      <c r="I1356" t="str">
        <f>"רחמים זרוק"</f>
        <v>רחמים זרוק</v>
      </c>
      <c r="J1356" t="str">
        <f>"OP-AR01919"</f>
        <v>OP-AR01919</v>
      </c>
      <c r="K1356" s="1" t="str">
        <f>"1013P130-003 CABLE ASSY 1W47"</f>
        <v>1013P130-003 CABLE ASSY 1W47</v>
      </c>
      <c r="L1356">
        <v>29</v>
      </c>
      <c r="M1356" t="str">
        <f>"PR21000768"</f>
        <v>PR21000768</v>
      </c>
      <c r="N1356" t="str">
        <f>"1013P130-003"</f>
        <v>1013P130-003</v>
      </c>
      <c r="O1356" s="2">
        <v>1192.67</v>
      </c>
      <c r="P1356" t="str">
        <f>"$"</f>
        <v>$</v>
      </c>
      <c r="Q1356" t="str">
        <f>"117"</f>
        <v>117</v>
      </c>
      <c r="R1356" t="str">
        <f>"רתמות"</f>
        <v>רתמות</v>
      </c>
      <c r="S1356" t="str">
        <f>"040"</f>
        <v>040</v>
      </c>
      <c r="T1356" t="str">
        <f>"עמר ליגל"</f>
        <v>עמר ליגל</v>
      </c>
      <c r="U1356">
        <v>0</v>
      </c>
      <c r="V1356">
        <v>0</v>
      </c>
      <c r="W1356" s="2">
        <v>1192.67</v>
      </c>
      <c r="X1356" s="2">
        <v>34587.43</v>
      </c>
      <c r="Z1356" t="str">
        <f>"Y"</f>
        <v>Y</v>
      </c>
      <c r="AA1356">
        <v>0</v>
      </c>
      <c r="AC1356">
        <v>0</v>
      </c>
      <c r="AE1356">
        <v>0</v>
      </c>
      <c r="AF1356">
        <v>0</v>
      </c>
      <c r="AG1356" s="2">
        <v>3805.81</v>
      </c>
      <c r="AH1356">
        <v>0</v>
      </c>
      <c r="AI1356" s="2">
        <v>110368.49</v>
      </c>
      <c r="AJ1356" s="2">
        <v>34587.43</v>
      </c>
      <c r="AK1356" s="2">
        <v>34587.43</v>
      </c>
      <c r="AL1356" t="str">
        <f>"$"</f>
        <v>$</v>
      </c>
    </row>
    <row r="1357" spans="1:38" x14ac:dyDescent="0.3">
      <c r="A1357" t="str">
        <f>"SO21000450"</f>
        <v>SO21000450</v>
      </c>
      <c r="B1357" t="str">
        <f>"E000349592"</f>
        <v>E000349592</v>
      </c>
      <c r="C1357" t="str">
        <f>"בוצעה"</f>
        <v>בוצעה</v>
      </c>
      <c r="E1357" s="3">
        <v>44497</v>
      </c>
      <c r="F1357" s="3">
        <v>44581</v>
      </c>
      <c r="G1357" t="str">
        <f>"700065"</f>
        <v>700065</v>
      </c>
      <c r="H1357" t="str">
        <f>"אלתא מערכות בע""מ"</f>
        <v>אלתא מערכות בע"מ</v>
      </c>
      <c r="I1357" t="str">
        <f>"רחמים זרוק"</f>
        <v>רחמים זרוק</v>
      </c>
      <c r="J1357" t="str">
        <f>"OP-AR02829"</f>
        <v>OP-AR02829</v>
      </c>
      <c r="K1357" s="1" t="str">
        <f>"1039H858-001    HARNESS WY058 - PDU2 TO ADSB"</f>
        <v>1039H858-001    HARNESS WY058 - PDU2 TO ADSB</v>
      </c>
      <c r="L1357">
        <v>5</v>
      </c>
      <c r="M1357" t="str">
        <f>"PR21000767"</f>
        <v>PR21000767</v>
      </c>
      <c r="N1357" t="str">
        <f>"1039H858-001"</f>
        <v>1039H858-001</v>
      </c>
      <c r="O1357">
        <v>345.72</v>
      </c>
      <c r="P1357" t="str">
        <f>"$"</f>
        <v>$</v>
      </c>
      <c r="Q1357" t="str">
        <f>"117"</f>
        <v>117</v>
      </c>
      <c r="R1357" t="str">
        <f>"רתמות"</f>
        <v>רתמות</v>
      </c>
      <c r="S1357" t="str">
        <f>"040"</f>
        <v>040</v>
      </c>
      <c r="T1357" t="str">
        <f>"עמר ליגל"</f>
        <v>עמר ליגל</v>
      </c>
      <c r="U1357">
        <v>0</v>
      </c>
      <c r="V1357">
        <v>0</v>
      </c>
      <c r="W1357">
        <v>345.72</v>
      </c>
      <c r="X1357" s="2">
        <v>1728.6</v>
      </c>
      <c r="Z1357" t="str">
        <f>"Y"</f>
        <v>Y</v>
      </c>
      <c r="AA1357">
        <v>0</v>
      </c>
      <c r="AC1357">
        <v>0</v>
      </c>
      <c r="AE1357">
        <v>0</v>
      </c>
      <c r="AF1357">
        <v>0</v>
      </c>
      <c r="AG1357" s="2">
        <v>1103.19</v>
      </c>
      <c r="AH1357">
        <v>0</v>
      </c>
      <c r="AI1357" s="2">
        <v>5515.96</v>
      </c>
      <c r="AJ1357" s="2">
        <v>1728.6</v>
      </c>
      <c r="AK1357" s="2">
        <v>1728.6</v>
      </c>
      <c r="AL1357" t="str">
        <f>"$"</f>
        <v>$</v>
      </c>
    </row>
    <row r="1358" spans="1:38" x14ac:dyDescent="0.3">
      <c r="A1358" t="str">
        <f>"SO21000451"</f>
        <v>SO21000451</v>
      </c>
      <c r="B1358" t="str">
        <f>"E000349093"</f>
        <v>E000349093</v>
      </c>
      <c r="C1358" t="str">
        <f>"בוצעה"</f>
        <v>בוצעה</v>
      </c>
      <c r="E1358" s="3">
        <v>44497</v>
      </c>
      <c r="F1358" s="3">
        <v>44743</v>
      </c>
      <c r="G1358" t="str">
        <f>"700065"</f>
        <v>700065</v>
      </c>
      <c r="H1358" t="str">
        <f>"אלתא מערכות בע""מ"</f>
        <v>אלתא מערכות בע"מ</v>
      </c>
      <c r="I1358" t="str">
        <f>"ערן שלו"</f>
        <v>ערן שלו</v>
      </c>
      <c r="J1358" t="str">
        <f>"PS9900081"</f>
        <v>PS9900081</v>
      </c>
      <c r="K1358" s="1" t="str">
        <f>"מטען מצברים 1039V517-001 ירוק"</f>
        <v>מטען מצברים 1039V517-001 ירוק</v>
      </c>
      <c r="L1358">
        <v>1</v>
      </c>
      <c r="M1358" t="str">
        <f>"PR21000796"</f>
        <v>PR21000796</v>
      </c>
      <c r="N1358" t="str">
        <f>"אספקת מצברים ללקוח"</f>
        <v>אספקת מצברים ללקוח</v>
      </c>
      <c r="O1358" s="2">
        <v>6000</v>
      </c>
      <c r="P1358" t="str">
        <f>"$"</f>
        <v>$</v>
      </c>
      <c r="Q1358" t="str">
        <f>"118"</f>
        <v>118</v>
      </c>
      <c r="R1358" t="str">
        <f>"מערכות"</f>
        <v>מערכות</v>
      </c>
      <c r="S1358" t="str">
        <f>"034"</f>
        <v>034</v>
      </c>
      <c r="T1358" t="str">
        <f>"עמר ליגל"</f>
        <v>עמר ליגל</v>
      </c>
      <c r="U1358">
        <v>0</v>
      </c>
      <c r="V1358">
        <v>0</v>
      </c>
      <c r="W1358" s="2">
        <v>6000</v>
      </c>
      <c r="X1358" s="2">
        <v>6000</v>
      </c>
      <c r="Z1358" t="str">
        <f>"Y"</f>
        <v>Y</v>
      </c>
      <c r="AA1358">
        <v>0</v>
      </c>
      <c r="AC1358">
        <v>0</v>
      </c>
      <c r="AE1358">
        <v>0</v>
      </c>
      <c r="AF1358">
        <v>0</v>
      </c>
      <c r="AG1358" s="2">
        <v>19146</v>
      </c>
      <c r="AH1358">
        <v>0</v>
      </c>
      <c r="AI1358" s="2">
        <v>19146</v>
      </c>
      <c r="AJ1358" s="2">
        <v>6000</v>
      </c>
      <c r="AK1358" s="2">
        <v>6000</v>
      </c>
      <c r="AL1358" t="str">
        <f>"$"</f>
        <v>$</v>
      </c>
    </row>
    <row r="1359" spans="1:38" x14ac:dyDescent="0.3">
      <c r="A1359" t="str">
        <f>"SO21000451"</f>
        <v>SO21000451</v>
      </c>
      <c r="B1359" t="str">
        <f>"E000349093"</f>
        <v>E000349093</v>
      </c>
      <c r="C1359" t="str">
        <f>"בוצעה"</f>
        <v>בוצעה</v>
      </c>
      <c r="E1359" s="3">
        <v>44497</v>
      </c>
      <c r="F1359" s="3">
        <v>44743</v>
      </c>
      <c r="G1359" t="str">
        <f>"700065"</f>
        <v>700065</v>
      </c>
      <c r="H1359" t="str">
        <f>"אלתא מערכות בע""מ"</f>
        <v>אלתא מערכות בע"מ</v>
      </c>
      <c r="I1359" t="str">
        <f>"ערן שלו"</f>
        <v>ערן שלו</v>
      </c>
      <c r="J1359" t="str">
        <f>"PS9900118"</f>
        <v>PS9900118</v>
      </c>
      <c r="K1359" s="1" t="str">
        <f>"מטען מצברים 1029P515-001 אפור"</f>
        <v>מטען מצברים 1029P515-001 אפור</v>
      </c>
      <c r="L1359">
        <v>1</v>
      </c>
      <c r="M1359" t="str">
        <f>"PR21000796"</f>
        <v>PR21000796</v>
      </c>
      <c r="N1359" t="str">
        <f>"אספקת מצברים ללקוח"</f>
        <v>אספקת מצברים ללקוח</v>
      </c>
      <c r="O1359" s="2">
        <v>6000</v>
      </c>
      <c r="P1359" t="str">
        <f>"$"</f>
        <v>$</v>
      </c>
      <c r="Q1359" t="str">
        <f>"118"</f>
        <v>118</v>
      </c>
      <c r="R1359" t="str">
        <f>"מערכות"</f>
        <v>מערכות</v>
      </c>
      <c r="S1359" t="str">
        <f>"034"</f>
        <v>034</v>
      </c>
      <c r="T1359" t="str">
        <f>"עמר ליגל"</f>
        <v>עמר ליגל</v>
      </c>
      <c r="U1359">
        <v>0</v>
      </c>
      <c r="V1359">
        <v>0</v>
      </c>
      <c r="W1359" s="2">
        <v>6000</v>
      </c>
      <c r="X1359" s="2">
        <v>6000</v>
      </c>
      <c r="Z1359" t="str">
        <f>"Y"</f>
        <v>Y</v>
      </c>
      <c r="AA1359">
        <v>0</v>
      </c>
      <c r="AC1359">
        <v>0</v>
      </c>
      <c r="AE1359">
        <v>0</v>
      </c>
      <c r="AF1359">
        <v>0</v>
      </c>
      <c r="AG1359" s="2">
        <v>19146</v>
      </c>
      <c r="AH1359">
        <v>0</v>
      </c>
      <c r="AI1359" s="2">
        <v>19146</v>
      </c>
      <c r="AJ1359" s="2">
        <v>6000</v>
      </c>
      <c r="AK1359" s="2">
        <v>6000</v>
      </c>
      <c r="AL1359" t="str">
        <f>"$"</f>
        <v>$</v>
      </c>
    </row>
    <row r="1360" spans="1:38" x14ac:dyDescent="0.3">
      <c r="A1360" t="str">
        <f>"SO21000451"</f>
        <v>SO21000451</v>
      </c>
      <c r="B1360" t="str">
        <f>"E000349093"</f>
        <v>E000349093</v>
      </c>
      <c r="C1360" t="str">
        <f>"בוצעה"</f>
        <v>בוצעה</v>
      </c>
      <c r="E1360" s="3">
        <v>44497</v>
      </c>
      <c r="F1360" s="3">
        <v>44743</v>
      </c>
      <c r="G1360" t="str">
        <f>"700065"</f>
        <v>700065</v>
      </c>
      <c r="H1360" t="str">
        <f>"אלתא מערכות בע""מ"</f>
        <v>אלתא מערכות בע"מ</v>
      </c>
      <c r="I1360" t="str">
        <f>"ערן שלו"</f>
        <v>ערן שלו</v>
      </c>
      <c r="J1360" t="str">
        <f>"PS9900081"</f>
        <v>PS9900081</v>
      </c>
      <c r="K1360" s="1" t="str">
        <f>"מטען מצברים 1039V517-001 ירוק"</f>
        <v>מטען מצברים 1039V517-001 ירוק</v>
      </c>
      <c r="L1360">
        <v>1</v>
      </c>
      <c r="M1360" t="str">
        <f>"PR21000796"</f>
        <v>PR21000796</v>
      </c>
      <c r="N1360" t="str">
        <f>"אספקת מצברים ללקוח"</f>
        <v>אספקת מצברים ללקוח</v>
      </c>
      <c r="O1360" s="2">
        <v>6000</v>
      </c>
      <c r="P1360" t="str">
        <f>"$"</f>
        <v>$</v>
      </c>
      <c r="Q1360" t="str">
        <f>"118"</f>
        <v>118</v>
      </c>
      <c r="R1360" t="str">
        <f>"מערכות"</f>
        <v>מערכות</v>
      </c>
      <c r="S1360" t="str">
        <f>"034"</f>
        <v>034</v>
      </c>
      <c r="T1360" t="str">
        <f>"עמר ליגל"</f>
        <v>עמר ליגל</v>
      </c>
      <c r="U1360">
        <v>0</v>
      </c>
      <c r="V1360">
        <v>0</v>
      </c>
      <c r="W1360" s="2">
        <v>6000</v>
      </c>
      <c r="X1360" s="2">
        <v>6000</v>
      </c>
      <c r="Z1360" t="str">
        <f>"Y"</f>
        <v>Y</v>
      </c>
      <c r="AA1360">
        <v>0</v>
      </c>
      <c r="AC1360">
        <v>0</v>
      </c>
      <c r="AE1360">
        <v>0</v>
      </c>
      <c r="AF1360">
        <v>0</v>
      </c>
      <c r="AG1360" s="2">
        <v>19146</v>
      </c>
      <c r="AH1360">
        <v>0</v>
      </c>
      <c r="AI1360" s="2">
        <v>19146</v>
      </c>
      <c r="AJ1360" s="2">
        <v>6000</v>
      </c>
      <c r="AK1360" s="2">
        <v>6000</v>
      </c>
      <c r="AL1360" t="str">
        <f>"$"</f>
        <v>$</v>
      </c>
    </row>
    <row r="1361" spans="1:38" x14ac:dyDescent="0.3">
      <c r="A1361" t="str">
        <f>"SO21000451"</f>
        <v>SO21000451</v>
      </c>
      <c r="B1361" t="str">
        <f>"E000349093"</f>
        <v>E000349093</v>
      </c>
      <c r="C1361" t="str">
        <f>"בוצעה"</f>
        <v>בוצעה</v>
      </c>
      <c r="E1361" s="3">
        <v>44497</v>
      </c>
      <c r="F1361" s="3">
        <v>44743</v>
      </c>
      <c r="G1361" t="str">
        <f>"700065"</f>
        <v>700065</v>
      </c>
      <c r="H1361" t="str">
        <f>"אלתא מערכות בע""מ"</f>
        <v>אלתא מערכות בע"מ</v>
      </c>
      <c r="I1361" t="str">
        <f>"ערן שלו"</f>
        <v>ערן שלו</v>
      </c>
      <c r="J1361" t="str">
        <f>"PS9900118"</f>
        <v>PS9900118</v>
      </c>
      <c r="K1361" s="1" t="str">
        <f>"מטען מצברים 1029P515-001 אפור"</f>
        <v>מטען מצברים 1029P515-001 אפור</v>
      </c>
      <c r="L1361">
        <v>1</v>
      </c>
      <c r="M1361" t="str">
        <f>"PR21000796"</f>
        <v>PR21000796</v>
      </c>
      <c r="N1361" t="str">
        <f>"אספקת מצברים ללקוח"</f>
        <v>אספקת מצברים ללקוח</v>
      </c>
      <c r="O1361" s="2">
        <v>6000</v>
      </c>
      <c r="P1361" t="str">
        <f>"$"</f>
        <v>$</v>
      </c>
      <c r="Q1361" t="str">
        <f>"118"</f>
        <v>118</v>
      </c>
      <c r="R1361" t="str">
        <f>"מערכות"</f>
        <v>מערכות</v>
      </c>
      <c r="S1361" t="str">
        <f>"034"</f>
        <v>034</v>
      </c>
      <c r="T1361" t="str">
        <f>"עמר ליגל"</f>
        <v>עמר ליגל</v>
      </c>
      <c r="U1361">
        <v>0</v>
      </c>
      <c r="V1361">
        <v>0</v>
      </c>
      <c r="W1361" s="2">
        <v>6000</v>
      </c>
      <c r="X1361" s="2">
        <v>6000</v>
      </c>
      <c r="Z1361" t="str">
        <f>"Y"</f>
        <v>Y</v>
      </c>
      <c r="AA1361">
        <v>0</v>
      </c>
      <c r="AC1361">
        <v>0</v>
      </c>
      <c r="AE1361">
        <v>0</v>
      </c>
      <c r="AF1361">
        <v>0</v>
      </c>
      <c r="AG1361" s="2">
        <v>19146</v>
      </c>
      <c r="AH1361">
        <v>0</v>
      </c>
      <c r="AI1361" s="2">
        <v>19146</v>
      </c>
      <c r="AJ1361" s="2">
        <v>6000</v>
      </c>
      <c r="AK1361" s="2">
        <v>6000</v>
      </c>
      <c r="AL1361" t="str">
        <f>"$"</f>
        <v>$</v>
      </c>
    </row>
    <row r="1362" spans="1:38" x14ac:dyDescent="0.3">
      <c r="A1362" t="str">
        <f>"SO21000454"</f>
        <v>SO21000454</v>
      </c>
      <c r="B1362" t="str">
        <f>"E000348420"</f>
        <v>E000348420</v>
      </c>
      <c r="C1362" t="str">
        <f>"בוצעה"</f>
        <v>בוצעה</v>
      </c>
      <c r="E1362" s="3">
        <v>44501</v>
      </c>
      <c r="F1362" s="3">
        <v>44530</v>
      </c>
      <c r="G1362" t="str">
        <f>"700065"</f>
        <v>700065</v>
      </c>
      <c r="H1362" t="str">
        <f>"אלתא מערכות בע""מ"</f>
        <v>אלתא מערכות בע"מ</v>
      </c>
      <c r="I1362" t="str">
        <f>"ערן שלו"</f>
        <v>ערן שלו</v>
      </c>
      <c r="J1362" t="str">
        <f>"OP-KT00117"</f>
        <v>OP-KT00117</v>
      </c>
      <c r="K1362" s="1" t="str">
        <f>"1038C865-001 - SPARE PARTS KIT FOR PDB1 MADR"</f>
        <v>1038C865-001 - SPARE PARTS KIT FOR PDB1 MADR</v>
      </c>
      <c r="L1362">
        <v>1</v>
      </c>
      <c r="M1362" t="str">
        <f>"PR21000754"</f>
        <v>PR21000754</v>
      </c>
      <c r="N1362" t="str">
        <f>"RPU חלפים"</f>
        <v>RPU חלפים</v>
      </c>
      <c r="O1362" s="2">
        <v>4277</v>
      </c>
      <c r="P1362" t="str">
        <f>"$"</f>
        <v>$</v>
      </c>
      <c r="Q1362" t="str">
        <f>"118"</f>
        <v>118</v>
      </c>
      <c r="R1362" t="str">
        <f>"מערכות"</f>
        <v>מערכות</v>
      </c>
      <c r="S1362" t="str">
        <f>"034"</f>
        <v>034</v>
      </c>
      <c r="T1362" t="str">
        <f>"עמר ליגל"</f>
        <v>עמר ליגל</v>
      </c>
      <c r="U1362">
        <v>0</v>
      </c>
      <c r="V1362">
        <v>0</v>
      </c>
      <c r="W1362" s="2">
        <v>4277</v>
      </c>
      <c r="X1362" s="2">
        <v>4277</v>
      </c>
      <c r="Z1362" t="str">
        <f>"Y"</f>
        <v>Y</v>
      </c>
      <c r="AA1362">
        <v>0</v>
      </c>
      <c r="AC1362">
        <v>0</v>
      </c>
      <c r="AE1362">
        <v>0</v>
      </c>
      <c r="AF1362">
        <v>0</v>
      </c>
      <c r="AG1362" s="2">
        <v>13506.77</v>
      </c>
      <c r="AH1362">
        <v>0</v>
      </c>
      <c r="AI1362" s="2">
        <v>13506.77</v>
      </c>
      <c r="AJ1362" s="2">
        <v>4277</v>
      </c>
      <c r="AK1362" s="2">
        <v>4277</v>
      </c>
      <c r="AL1362" t="str">
        <f>"$"</f>
        <v>$</v>
      </c>
    </row>
    <row r="1363" spans="1:38" x14ac:dyDescent="0.3">
      <c r="A1363" t="str">
        <f>"SO21000454"</f>
        <v>SO21000454</v>
      </c>
      <c r="B1363" t="str">
        <f>"E000348420"</f>
        <v>E000348420</v>
      </c>
      <c r="C1363" t="str">
        <f>"בוצעה"</f>
        <v>בוצעה</v>
      </c>
      <c r="E1363" s="3">
        <v>44501</v>
      </c>
      <c r="F1363" s="3">
        <v>44530</v>
      </c>
      <c r="G1363" t="str">
        <f>"700065"</f>
        <v>700065</v>
      </c>
      <c r="H1363" t="str">
        <f>"אלתא מערכות בע""מ"</f>
        <v>אלתא מערכות בע"מ</v>
      </c>
      <c r="I1363" t="str">
        <f>"ערן שלו"</f>
        <v>ערן שלו</v>
      </c>
      <c r="J1363" t="str">
        <f>"OP-KR00002"</f>
        <v>OP-KR00002</v>
      </c>
      <c r="K1363" s="1" t="str">
        <f>"1038C875-001 - SPARE PARTS KIT FOR PDB2 MADR"</f>
        <v>1038C875-001 - SPARE PARTS KIT FOR PDB2 MADR</v>
      </c>
      <c r="L1363">
        <v>2</v>
      </c>
      <c r="M1363" t="str">
        <f>"PR21000754"</f>
        <v>PR21000754</v>
      </c>
      <c r="N1363" t="str">
        <f>"RPU חלפים"</f>
        <v>RPU חלפים</v>
      </c>
      <c r="O1363">
        <v>867.13</v>
      </c>
      <c r="P1363" t="str">
        <f>"$"</f>
        <v>$</v>
      </c>
      <c r="Q1363" t="str">
        <f>"118"</f>
        <v>118</v>
      </c>
      <c r="R1363" t="str">
        <f>"מערכות"</f>
        <v>מערכות</v>
      </c>
      <c r="S1363" t="str">
        <f>"034"</f>
        <v>034</v>
      </c>
      <c r="T1363" t="str">
        <f>"עמר ליגל"</f>
        <v>עמר ליגל</v>
      </c>
      <c r="U1363">
        <v>0</v>
      </c>
      <c r="V1363">
        <v>0</v>
      </c>
      <c r="W1363">
        <v>867.13</v>
      </c>
      <c r="X1363" s="2">
        <v>1734.26</v>
      </c>
      <c r="Z1363" t="str">
        <f>"Y"</f>
        <v>Y</v>
      </c>
      <c r="AA1363">
        <v>0</v>
      </c>
      <c r="AC1363">
        <v>0</v>
      </c>
      <c r="AE1363">
        <v>0</v>
      </c>
      <c r="AF1363">
        <v>0</v>
      </c>
      <c r="AG1363" s="2">
        <v>2738.4</v>
      </c>
      <c r="AH1363">
        <v>0</v>
      </c>
      <c r="AI1363" s="2">
        <v>5476.79</v>
      </c>
      <c r="AJ1363" s="2">
        <v>1734.26</v>
      </c>
      <c r="AK1363" s="2">
        <v>1734.26</v>
      </c>
      <c r="AL1363" t="str">
        <f>"$"</f>
        <v>$</v>
      </c>
    </row>
    <row r="1364" spans="1:38" x14ac:dyDescent="0.3">
      <c r="A1364" t="str">
        <f>"SO21000454"</f>
        <v>SO21000454</v>
      </c>
      <c r="B1364" t="str">
        <f>"E000348420"</f>
        <v>E000348420</v>
      </c>
      <c r="C1364" t="str">
        <f>"בוצעה"</f>
        <v>בוצעה</v>
      </c>
      <c r="E1364" s="3">
        <v>44501</v>
      </c>
      <c r="F1364" s="3">
        <v>44530</v>
      </c>
      <c r="G1364" t="str">
        <f>"700065"</f>
        <v>700065</v>
      </c>
      <c r="H1364" t="str">
        <f>"אלתא מערכות בע""מ"</f>
        <v>אלתא מערכות בע"מ</v>
      </c>
      <c r="I1364" t="str">
        <f>"ערן שלו"</f>
        <v>ערן שלו</v>
      </c>
      <c r="J1364" t="str">
        <f>"OP-KT00118"</f>
        <v>OP-KT00118</v>
      </c>
      <c r="K1364" s="1" t="str">
        <f>"1038C908-001 - SPARE PARTS KIT FOR DIESEL GENERATOR-RPU"</f>
        <v>1038C908-001 - SPARE PARTS KIT FOR DIESEL GENERATOR-RPU</v>
      </c>
      <c r="L1364">
        <v>1</v>
      </c>
      <c r="M1364" t="str">
        <f>"PR21000754"</f>
        <v>PR21000754</v>
      </c>
      <c r="N1364" t="str">
        <f>"RPU חלפים"</f>
        <v>RPU חלפים</v>
      </c>
      <c r="O1364" s="2">
        <v>3599.26</v>
      </c>
      <c r="P1364" t="str">
        <f>"$"</f>
        <v>$</v>
      </c>
      <c r="Q1364" t="str">
        <f>"118"</f>
        <v>118</v>
      </c>
      <c r="R1364" t="str">
        <f>"מערכות"</f>
        <v>מערכות</v>
      </c>
      <c r="S1364" t="str">
        <f>"034"</f>
        <v>034</v>
      </c>
      <c r="T1364" t="str">
        <f>"עמר ליגל"</f>
        <v>עמר ליגל</v>
      </c>
      <c r="U1364">
        <v>0</v>
      </c>
      <c r="V1364">
        <v>0</v>
      </c>
      <c r="W1364" s="2">
        <v>3599.26</v>
      </c>
      <c r="X1364" s="2">
        <v>3599.26</v>
      </c>
      <c r="Z1364" t="str">
        <f>"Y"</f>
        <v>Y</v>
      </c>
      <c r="AA1364">
        <v>0</v>
      </c>
      <c r="AC1364">
        <v>0</v>
      </c>
      <c r="AE1364">
        <v>0</v>
      </c>
      <c r="AF1364">
        <v>0</v>
      </c>
      <c r="AG1364" s="2">
        <v>11366.46</v>
      </c>
      <c r="AH1364">
        <v>0</v>
      </c>
      <c r="AI1364" s="2">
        <v>11366.46</v>
      </c>
      <c r="AJ1364" s="2">
        <v>3599.26</v>
      </c>
      <c r="AK1364" s="2">
        <v>3599.26</v>
      </c>
      <c r="AL1364" t="str">
        <f>"$"</f>
        <v>$</v>
      </c>
    </row>
    <row r="1365" spans="1:38" x14ac:dyDescent="0.3">
      <c r="A1365" t="str">
        <f>"SO21000454"</f>
        <v>SO21000454</v>
      </c>
      <c r="B1365" t="str">
        <f>"E000348420"</f>
        <v>E000348420</v>
      </c>
      <c r="C1365" t="str">
        <f>"בוצעה"</f>
        <v>בוצעה</v>
      </c>
      <c r="E1365" s="3">
        <v>44501</v>
      </c>
      <c r="F1365" s="3">
        <v>44530</v>
      </c>
      <c r="G1365" t="str">
        <f>"700065"</f>
        <v>700065</v>
      </c>
      <c r="H1365" t="str">
        <f>"אלתא מערכות בע""מ"</f>
        <v>אלתא מערכות בע"מ</v>
      </c>
      <c r="I1365" t="str">
        <f>"ערן שלו"</f>
        <v>ערן שלו</v>
      </c>
      <c r="J1365" t="str">
        <f>"OP-KT00119"</f>
        <v>OP-KT00119</v>
      </c>
      <c r="K1365" s="1" t="str">
        <f>"1038C878-001 - SPARE PARTS KIT FOR RECTIFIER RACK"</f>
        <v>1038C878-001 - SPARE PARTS KIT FOR RECTIFIER RACK</v>
      </c>
      <c r="L1365">
        <v>1</v>
      </c>
      <c r="M1365" t="str">
        <f>"PR21000754"</f>
        <v>PR21000754</v>
      </c>
      <c r="N1365" t="str">
        <f>"RPU חלפים"</f>
        <v>RPU חלפים</v>
      </c>
      <c r="O1365" s="2">
        <v>7541.71</v>
      </c>
      <c r="P1365" t="str">
        <f>"$"</f>
        <v>$</v>
      </c>
      <c r="Q1365" t="str">
        <f>"118"</f>
        <v>118</v>
      </c>
      <c r="R1365" t="str">
        <f>"מערכות"</f>
        <v>מערכות</v>
      </c>
      <c r="S1365" t="str">
        <f>"034"</f>
        <v>034</v>
      </c>
      <c r="T1365" t="str">
        <f>"עמר ליגל"</f>
        <v>עמר ליגל</v>
      </c>
      <c r="U1365">
        <v>0</v>
      </c>
      <c r="V1365">
        <v>0</v>
      </c>
      <c r="W1365" s="2">
        <v>7541.71</v>
      </c>
      <c r="X1365" s="2">
        <v>7541.71</v>
      </c>
      <c r="Z1365" t="str">
        <f>"Y"</f>
        <v>Y</v>
      </c>
      <c r="AA1365">
        <v>0</v>
      </c>
      <c r="AC1365">
        <v>0</v>
      </c>
      <c r="AE1365">
        <v>0</v>
      </c>
      <c r="AF1365">
        <v>0</v>
      </c>
      <c r="AG1365" s="2">
        <v>23816.720000000001</v>
      </c>
      <c r="AH1365">
        <v>0</v>
      </c>
      <c r="AI1365" s="2">
        <v>23816.720000000001</v>
      </c>
      <c r="AJ1365" s="2">
        <v>7541.71</v>
      </c>
      <c r="AK1365" s="2">
        <v>7541.71</v>
      </c>
      <c r="AL1365" t="str">
        <f>"$"</f>
        <v>$</v>
      </c>
    </row>
    <row r="1366" spans="1:38" x14ac:dyDescent="0.3">
      <c r="A1366" t="str">
        <f>"SO21000454"</f>
        <v>SO21000454</v>
      </c>
      <c r="B1366" t="str">
        <f>"E000348420"</f>
        <v>E000348420</v>
      </c>
      <c r="C1366" t="str">
        <f>"בוצעה"</f>
        <v>בוצעה</v>
      </c>
      <c r="E1366" s="3">
        <v>44501</v>
      </c>
      <c r="F1366" s="3">
        <v>44525</v>
      </c>
      <c r="G1366" t="str">
        <f>"700065"</f>
        <v>700065</v>
      </c>
      <c r="H1366" t="str">
        <f>"אלתא מערכות בע""מ"</f>
        <v>אלתא מערכות בע"מ</v>
      </c>
      <c r="I1366" t="str">
        <f>"ערן שלו"</f>
        <v>ערן שלו</v>
      </c>
      <c r="J1366" t="str">
        <f>"OP-KT00121"</f>
        <v>OP-KT00121</v>
      </c>
      <c r="K1366" s="1" t="str">
        <f>"1038 C 876 001 ORNET REPLACEMENT PARTS COMPLETION"</f>
        <v>1038 C 876 001 ORNET REPLACEMENT PARTS COMPLETION</v>
      </c>
      <c r="L1366">
        <v>1</v>
      </c>
      <c r="M1366" t="str">
        <f>"PR21000754"</f>
        <v>PR21000754</v>
      </c>
      <c r="N1366" t="str">
        <f>"RPU חלפים"</f>
        <v>RPU חלפים</v>
      </c>
      <c r="O1366" s="2">
        <v>8346.35</v>
      </c>
      <c r="P1366" t="str">
        <f>"$"</f>
        <v>$</v>
      </c>
      <c r="Q1366" t="str">
        <f>"118"</f>
        <v>118</v>
      </c>
      <c r="R1366" t="str">
        <f>"מערכות"</f>
        <v>מערכות</v>
      </c>
      <c r="S1366" t="str">
        <f>"034"</f>
        <v>034</v>
      </c>
      <c r="T1366" t="str">
        <f>"עמר ליגל"</f>
        <v>עמר ליגל</v>
      </c>
      <c r="U1366">
        <v>0</v>
      </c>
      <c r="V1366">
        <v>0</v>
      </c>
      <c r="W1366" s="2">
        <v>8346.35</v>
      </c>
      <c r="X1366" s="2">
        <v>8346.35</v>
      </c>
      <c r="Z1366" t="str">
        <f>"Y"</f>
        <v>Y</v>
      </c>
      <c r="AA1366">
        <v>0</v>
      </c>
      <c r="AC1366">
        <v>0</v>
      </c>
      <c r="AE1366">
        <v>0</v>
      </c>
      <c r="AF1366">
        <v>0</v>
      </c>
      <c r="AG1366" s="2">
        <v>26357.77</v>
      </c>
      <c r="AH1366">
        <v>0</v>
      </c>
      <c r="AI1366" s="2">
        <v>26357.77</v>
      </c>
      <c r="AJ1366" s="2">
        <v>8346.35</v>
      </c>
      <c r="AK1366" s="2">
        <v>8346.35</v>
      </c>
      <c r="AL1366" t="str">
        <f>"$"</f>
        <v>$</v>
      </c>
    </row>
    <row r="1367" spans="1:38" x14ac:dyDescent="0.3">
      <c r="A1367" t="str">
        <f>"SO21000454"</f>
        <v>SO21000454</v>
      </c>
      <c r="B1367" t="str">
        <f>"E000348420"</f>
        <v>E000348420</v>
      </c>
      <c r="C1367" t="str">
        <f>"בוצעה"</f>
        <v>בוצעה</v>
      </c>
      <c r="E1367" s="3">
        <v>44501</v>
      </c>
      <c r="F1367" s="3">
        <v>44525</v>
      </c>
      <c r="G1367" t="str">
        <f>"700065"</f>
        <v>700065</v>
      </c>
      <c r="H1367" t="str">
        <f>"אלתא מערכות בע""מ"</f>
        <v>אלתא מערכות בע"מ</v>
      </c>
      <c r="I1367" t="str">
        <f>"ערן שלו"</f>
        <v>ערן שלו</v>
      </c>
      <c r="J1367" t="str">
        <f>"OP-KT00122"</f>
        <v>OP-KT00122</v>
      </c>
      <c r="K1367" s="1" t="str">
        <f>"1041M385-001 - FILTERING VENTILATION SYS for RECTIFIER"</f>
        <v>1041M385-001 - FILTERING VENTILATION SYS for RECTIFIER</v>
      </c>
      <c r="L1367">
        <v>1</v>
      </c>
      <c r="M1367" t="str">
        <f>"PR21000754"</f>
        <v>PR21000754</v>
      </c>
      <c r="N1367" t="str">
        <f>"RPU חלפים"</f>
        <v>RPU חלפים</v>
      </c>
      <c r="O1367">
        <v>56.64</v>
      </c>
      <c r="P1367" t="str">
        <f>"$"</f>
        <v>$</v>
      </c>
      <c r="Q1367" t="str">
        <f>"118"</f>
        <v>118</v>
      </c>
      <c r="R1367" t="str">
        <f>"מערכות"</f>
        <v>מערכות</v>
      </c>
      <c r="S1367" t="str">
        <f>"034"</f>
        <v>034</v>
      </c>
      <c r="T1367" t="str">
        <f>"עמר ליגל"</f>
        <v>עמר ליגל</v>
      </c>
      <c r="U1367">
        <v>0</v>
      </c>
      <c r="V1367">
        <v>0</v>
      </c>
      <c r="W1367">
        <v>56.64</v>
      </c>
      <c r="X1367">
        <v>56.64</v>
      </c>
      <c r="Z1367" t="str">
        <f>"Y"</f>
        <v>Y</v>
      </c>
      <c r="AA1367">
        <v>0</v>
      </c>
      <c r="AC1367">
        <v>0</v>
      </c>
      <c r="AE1367">
        <v>0</v>
      </c>
      <c r="AF1367">
        <v>0</v>
      </c>
      <c r="AG1367">
        <v>178.87</v>
      </c>
      <c r="AH1367">
        <v>0</v>
      </c>
      <c r="AI1367">
        <v>178.87</v>
      </c>
      <c r="AJ1367">
        <v>56.64</v>
      </c>
      <c r="AK1367">
        <v>56.64</v>
      </c>
      <c r="AL1367" t="str">
        <f>"$"</f>
        <v>$</v>
      </c>
    </row>
    <row r="1368" spans="1:38" x14ac:dyDescent="0.3">
      <c r="A1368" t="str">
        <f>"SO21000456"</f>
        <v>SO21000456</v>
      </c>
      <c r="B1368" t="str">
        <f>"E000347157"</f>
        <v>E000347157</v>
      </c>
      <c r="C1368" t="str">
        <f>"בוצעה"</f>
        <v>בוצעה</v>
      </c>
      <c r="E1368" s="3">
        <v>44503</v>
      </c>
      <c r="F1368" s="3">
        <v>44499</v>
      </c>
      <c r="G1368" t="str">
        <f>"700065"</f>
        <v>700065</v>
      </c>
      <c r="H1368" t="str">
        <f>"אלתא מערכות בע""מ"</f>
        <v>אלתא מערכות בע"מ</v>
      </c>
      <c r="I1368" t="str">
        <f>"ערן שלו"</f>
        <v>ערן שלו</v>
      </c>
      <c r="J1368" t="str">
        <f>"cust001099"</f>
        <v>cust001099</v>
      </c>
      <c r="K1368" s="1" t="str">
        <f>"DPR 3500/24 אלתא"</f>
        <v>DPR 3500/24 אלתא</v>
      </c>
      <c r="L1368">
        <v>1</v>
      </c>
      <c r="O1368">
        <v>0.1</v>
      </c>
      <c r="P1368" t="str">
        <f>"$"</f>
        <v>$</v>
      </c>
      <c r="Q1368" t="str">
        <f>"118"</f>
        <v>118</v>
      </c>
      <c r="R1368" t="str">
        <f>"מערכות"</f>
        <v>מערכות</v>
      </c>
      <c r="S1368" t="str">
        <f>"034"</f>
        <v>034</v>
      </c>
      <c r="T1368" t="str">
        <f>"עמר ליגל"</f>
        <v>עמר ליגל</v>
      </c>
      <c r="U1368">
        <v>0</v>
      </c>
      <c r="V1368">
        <v>0</v>
      </c>
      <c r="W1368">
        <v>0.1</v>
      </c>
      <c r="X1368">
        <v>0.1</v>
      </c>
      <c r="Z1368" t="str">
        <f>"Y"</f>
        <v>Y</v>
      </c>
      <c r="AA1368">
        <v>0</v>
      </c>
      <c r="AC1368">
        <v>0</v>
      </c>
      <c r="AE1368">
        <v>0</v>
      </c>
      <c r="AF1368">
        <v>0</v>
      </c>
      <c r="AG1368">
        <v>0.31</v>
      </c>
      <c r="AH1368">
        <v>0</v>
      </c>
      <c r="AI1368">
        <v>0.31</v>
      </c>
      <c r="AJ1368">
        <v>0.1</v>
      </c>
      <c r="AK1368">
        <v>0.1</v>
      </c>
      <c r="AL1368" t="str">
        <f>"$"</f>
        <v>$</v>
      </c>
    </row>
    <row r="1369" spans="1:38" x14ac:dyDescent="0.3">
      <c r="A1369" t="str">
        <f>"SO21000456"</f>
        <v>SO21000456</v>
      </c>
      <c r="B1369" t="str">
        <f>"E000347157"</f>
        <v>E000347157</v>
      </c>
      <c r="C1369" t="str">
        <f>"בוצעה"</f>
        <v>בוצעה</v>
      </c>
      <c r="E1369" s="3">
        <v>44503</v>
      </c>
      <c r="F1369" s="3">
        <v>44499</v>
      </c>
      <c r="G1369" t="str">
        <f>"700065"</f>
        <v>700065</v>
      </c>
      <c r="H1369" t="str">
        <f>"אלתא מערכות בע""מ"</f>
        <v>אלתא מערכות בע"מ</v>
      </c>
      <c r="I1369" t="str">
        <f>"ערן שלו"</f>
        <v>ערן שלו</v>
      </c>
      <c r="J1369" t="str">
        <f>"cust001099"</f>
        <v>cust001099</v>
      </c>
      <c r="K1369" s="1" t="str">
        <f>"DPR 3500/24 אלתא"</f>
        <v>DPR 3500/24 אלתא</v>
      </c>
      <c r="L1369">
        <v>1</v>
      </c>
      <c r="O1369">
        <v>0.1</v>
      </c>
      <c r="P1369" t="str">
        <f>"$"</f>
        <v>$</v>
      </c>
      <c r="Q1369" t="str">
        <f>"118"</f>
        <v>118</v>
      </c>
      <c r="R1369" t="str">
        <f>"מערכות"</f>
        <v>מערכות</v>
      </c>
      <c r="S1369" t="str">
        <f>"034"</f>
        <v>034</v>
      </c>
      <c r="T1369" t="str">
        <f>"עמר ליגל"</f>
        <v>עמר ליגל</v>
      </c>
      <c r="U1369">
        <v>0</v>
      </c>
      <c r="V1369">
        <v>0</v>
      </c>
      <c r="W1369">
        <v>0.1</v>
      </c>
      <c r="X1369">
        <v>0.1</v>
      </c>
      <c r="Z1369" t="str">
        <f>"Y"</f>
        <v>Y</v>
      </c>
      <c r="AA1369">
        <v>0</v>
      </c>
      <c r="AC1369">
        <v>0</v>
      </c>
      <c r="AE1369">
        <v>0</v>
      </c>
      <c r="AF1369">
        <v>0</v>
      </c>
      <c r="AG1369">
        <v>0.31</v>
      </c>
      <c r="AH1369">
        <v>0</v>
      </c>
      <c r="AI1369">
        <v>0.31</v>
      </c>
      <c r="AJ1369">
        <v>0.1</v>
      </c>
      <c r="AK1369">
        <v>0.1</v>
      </c>
      <c r="AL1369" t="str">
        <f>"$"</f>
        <v>$</v>
      </c>
    </row>
    <row r="1370" spans="1:38" x14ac:dyDescent="0.3">
      <c r="A1370" t="str">
        <f>"SO21000456"</f>
        <v>SO21000456</v>
      </c>
      <c r="B1370" t="str">
        <f>"E000347157"</f>
        <v>E000347157</v>
      </c>
      <c r="C1370" t="str">
        <f>"בוצעה"</f>
        <v>בוצעה</v>
      </c>
      <c r="E1370" s="3">
        <v>44503</v>
      </c>
      <c r="F1370" s="3">
        <v>44499</v>
      </c>
      <c r="G1370" t="str">
        <f>"700065"</f>
        <v>700065</v>
      </c>
      <c r="H1370" t="str">
        <f>"אלתא מערכות בע""מ"</f>
        <v>אלתא מערכות בע"מ</v>
      </c>
      <c r="I1370" t="str">
        <f>"ערן שלו"</f>
        <v>ערן שלו</v>
      </c>
      <c r="J1370" t="str">
        <f>"cust001099"</f>
        <v>cust001099</v>
      </c>
      <c r="K1370" s="1" t="str">
        <f>"DPR 3500/24 אלתא"</f>
        <v>DPR 3500/24 אלתא</v>
      </c>
      <c r="L1370">
        <v>1</v>
      </c>
      <c r="O1370">
        <v>0.1</v>
      </c>
      <c r="P1370" t="str">
        <f>"$"</f>
        <v>$</v>
      </c>
      <c r="Q1370" t="str">
        <f>"118"</f>
        <v>118</v>
      </c>
      <c r="R1370" t="str">
        <f>"מערכות"</f>
        <v>מערכות</v>
      </c>
      <c r="S1370" t="str">
        <f>"034"</f>
        <v>034</v>
      </c>
      <c r="T1370" t="str">
        <f>"עמר ליגל"</f>
        <v>עמר ליגל</v>
      </c>
      <c r="U1370">
        <v>0</v>
      </c>
      <c r="V1370">
        <v>0</v>
      </c>
      <c r="W1370">
        <v>0.1</v>
      </c>
      <c r="X1370">
        <v>0.1</v>
      </c>
      <c r="Z1370" t="str">
        <f>"Y"</f>
        <v>Y</v>
      </c>
      <c r="AA1370">
        <v>0</v>
      </c>
      <c r="AC1370">
        <v>0</v>
      </c>
      <c r="AE1370">
        <v>0</v>
      </c>
      <c r="AF1370">
        <v>0</v>
      </c>
      <c r="AG1370">
        <v>0.31</v>
      </c>
      <c r="AH1370">
        <v>0</v>
      </c>
      <c r="AI1370">
        <v>0.31</v>
      </c>
      <c r="AJ1370">
        <v>0.1</v>
      </c>
      <c r="AK1370">
        <v>0.1</v>
      </c>
      <c r="AL1370" t="str">
        <f>"$"</f>
        <v>$</v>
      </c>
    </row>
    <row r="1371" spans="1:38" x14ac:dyDescent="0.3">
      <c r="A1371" t="str">
        <f>"SO21000456"</f>
        <v>SO21000456</v>
      </c>
      <c r="B1371" t="str">
        <f>"E000347157"</f>
        <v>E000347157</v>
      </c>
      <c r="C1371" t="str">
        <f>"בוצעה"</f>
        <v>בוצעה</v>
      </c>
      <c r="E1371" s="3">
        <v>44503</v>
      </c>
      <c r="F1371" s="3">
        <v>44499</v>
      </c>
      <c r="G1371" t="str">
        <f>"700065"</f>
        <v>700065</v>
      </c>
      <c r="H1371" t="str">
        <f>"אלתא מערכות בע""מ"</f>
        <v>אלתא מערכות בע"מ</v>
      </c>
      <c r="I1371" t="str">
        <f>"ערן שלו"</f>
        <v>ערן שלו</v>
      </c>
      <c r="J1371" t="str">
        <f>"cust001099"</f>
        <v>cust001099</v>
      </c>
      <c r="K1371" s="1" t="str">
        <f>"DPR 3500/24 אלתא"</f>
        <v>DPR 3500/24 אלתא</v>
      </c>
      <c r="L1371">
        <v>1</v>
      </c>
      <c r="O1371">
        <v>0.1</v>
      </c>
      <c r="P1371" t="str">
        <f>"$"</f>
        <v>$</v>
      </c>
      <c r="Q1371" t="str">
        <f>"118"</f>
        <v>118</v>
      </c>
      <c r="R1371" t="str">
        <f>"מערכות"</f>
        <v>מערכות</v>
      </c>
      <c r="S1371" t="str">
        <f>"034"</f>
        <v>034</v>
      </c>
      <c r="T1371" t="str">
        <f>"עמר ליגל"</f>
        <v>עמר ליגל</v>
      </c>
      <c r="U1371">
        <v>0</v>
      </c>
      <c r="V1371">
        <v>0</v>
      </c>
      <c r="W1371">
        <v>0.1</v>
      </c>
      <c r="X1371">
        <v>0.1</v>
      </c>
      <c r="Z1371" t="str">
        <f>"Y"</f>
        <v>Y</v>
      </c>
      <c r="AA1371">
        <v>0</v>
      </c>
      <c r="AC1371">
        <v>0</v>
      </c>
      <c r="AE1371">
        <v>0</v>
      </c>
      <c r="AF1371">
        <v>0</v>
      </c>
      <c r="AG1371">
        <v>0.31</v>
      </c>
      <c r="AH1371">
        <v>0</v>
      </c>
      <c r="AI1371">
        <v>0.31</v>
      </c>
      <c r="AJ1371">
        <v>0.1</v>
      </c>
      <c r="AK1371">
        <v>0.1</v>
      </c>
      <c r="AL1371" t="str">
        <f>"$"</f>
        <v>$</v>
      </c>
    </row>
    <row r="1372" spans="1:38" x14ac:dyDescent="0.3">
      <c r="A1372" t="str">
        <f>"SO21000463"</f>
        <v>SO21000463</v>
      </c>
      <c r="B1372" t="str">
        <f>"E000350799"</f>
        <v>E000350799</v>
      </c>
      <c r="C1372" t="str">
        <f>"בוצעה"</f>
        <v>בוצעה</v>
      </c>
      <c r="E1372" s="3">
        <v>44509</v>
      </c>
      <c r="F1372" s="3">
        <v>44742</v>
      </c>
      <c r="G1372" t="str">
        <f>"700065"</f>
        <v>700065</v>
      </c>
      <c r="H1372" t="str">
        <f>"אלתא מערכות בע""מ"</f>
        <v>אלתא מערכות בע"מ</v>
      </c>
      <c r="I1372" t="str">
        <f>"רוני דידי"</f>
        <v>רוני דידי</v>
      </c>
      <c r="J1372" t="str">
        <f>"000"</f>
        <v>000</v>
      </c>
      <c r="K1372" s="1" t="str">
        <f>"תיקון תקלה במחנה נפתלי"</f>
        <v>תיקון תקלה במחנה נפתלי</v>
      </c>
      <c r="L1372">
        <v>1</v>
      </c>
      <c r="O1372" s="2">
        <v>2300</v>
      </c>
      <c r="P1372" t="str">
        <f>"$"</f>
        <v>$</v>
      </c>
      <c r="Q1372" t="str">
        <f>"118"</f>
        <v>118</v>
      </c>
      <c r="R1372" t="str">
        <f>"מערכות"</f>
        <v>מערכות</v>
      </c>
      <c r="S1372" t="str">
        <f>"007"</f>
        <v>007</v>
      </c>
      <c r="T1372" t="str">
        <f>"עמר ליגל"</f>
        <v>עמר ליגל</v>
      </c>
      <c r="U1372">
        <v>0</v>
      </c>
      <c r="V1372">
        <v>0</v>
      </c>
      <c r="W1372" s="2">
        <v>2300</v>
      </c>
      <c r="X1372" s="2">
        <v>2300</v>
      </c>
      <c r="Z1372" t="str">
        <f>"Y"</f>
        <v>Y</v>
      </c>
      <c r="AA1372">
        <v>1</v>
      </c>
      <c r="AC1372">
        <v>0</v>
      </c>
      <c r="AE1372">
        <v>0</v>
      </c>
      <c r="AF1372">
        <v>0</v>
      </c>
      <c r="AG1372" s="2">
        <v>7136.9</v>
      </c>
      <c r="AH1372">
        <v>0</v>
      </c>
      <c r="AI1372" s="2">
        <v>7136.9</v>
      </c>
      <c r="AJ1372" s="2">
        <v>2300</v>
      </c>
      <c r="AK1372" s="2">
        <v>2300</v>
      </c>
      <c r="AL1372" t="str">
        <f>"$"</f>
        <v>$</v>
      </c>
    </row>
    <row r="1373" spans="1:38" x14ac:dyDescent="0.3">
      <c r="A1373" t="str">
        <f>"SO21000464"</f>
        <v>SO21000464</v>
      </c>
      <c r="B1373" t="str">
        <f>"0פנימית"</f>
        <v>0פנימית</v>
      </c>
      <c r="C1373" t="str">
        <f>"בוצעה"</f>
        <v>בוצעה</v>
      </c>
      <c r="E1373" s="3">
        <v>44510</v>
      </c>
      <c r="F1373" s="3">
        <v>44510</v>
      </c>
      <c r="G1373" t="str">
        <f>"700065"</f>
        <v>700065</v>
      </c>
      <c r="H1373" t="str">
        <f>"אלתא מערכות בע""מ"</f>
        <v>אלתא מערכות בע"מ</v>
      </c>
      <c r="I1373" t="str">
        <f>"ערן שלו"</f>
        <v>ערן שלו</v>
      </c>
      <c r="J1373" t="str">
        <f>"CO9900142"</f>
        <v>CO9900142</v>
      </c>
      <c r="K1373" s="1" t="str">
        <f>"נתיך זכוכית 5X20 5A (100"</f>
        <v>נתיך זכוכית 5X20 5A (100</v>
      </c>
      <c r="L1373">
        <v>0.1</v>
      </c>
      <c r="M1373" t="str">
        <f>"PR19000750"</f>
        <v>PR19000750</v>
      </c>
      <c r="N1373" t="str">
        <f>"חלקי חילוף עבור ספינות"</f>
        <v>חלקי חילוף עבור ספינות</v>
      </c>
      <c r="O1373">
        <v>0</v>
      </c>
      <c r="P1373" t="str">
        <f>"$"</f>
        <v>$</v>
      </c>
      <c r="Q1373" t="str">
        <f>"118"</f>
        <v>118</v>
      </c>
      <c r="R1373" t="str">
        <f>"מערכות"</f>
        <v>מערכות</v>
      </c>
      <c r="S1373" t="str">
        <f>"034"</f>
        <v>034</v>
      </c>
      <c r="T1373" t="str">
        <f>"עמר ליגל"</f>
        <v>עמר ליגל</v>
      </c>
      <c r="U1373">
        <v>0</v>
      </c>
      <c r="V1373">
        <v>0</v>
      </c>
      <c r="W1373">
        <v>0</v>
      </c>
      <c r="X1373">
        <v>0</v>
      </c>
      <c r="Z1373" t="str">
        <f>"Y"</f>
        <v>Y</v>
      </c>
      <c r="AA1373">
        <v>0</v>
      </c>
      <c r="AC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 t="str">
        <f>"$"</f>
        <v>$</v>
      </c>
    </row>
    <row r="1374" spans="1:38" x14ac:dyDescent="0.3">
      <c r="A1374" t="str">
        <f>"SO21000479"</f>
        <v>SO21000479</v>
      </c>
      <c r="B1374" t="str">
        <f>"E000350616"</f>
        <v>E000350616</v>
      </c>
      <c r="C1374" t="str">
        <f>"בוצעה"</f>
        <v>בוצעה</v>
      </c>
      <c r="E1374" s="3">
        <v>44521</v>
      </c>
      <c r="F1374" s="3">
        <v>44617</v>
      </c>
      <c r="G1374" t="str">
        <f>"700065"</f>
        <v>700065</v>
      </c>
      <c r="H1374" t="str">
        <f>"אלתא מערכות בע""מ"</f>
        <v>אלתא מערכות בע"מ</v>
      </c>
      <c r="I1374" t="str">
        <f>"רחמים זרוק"</f>
        <v>רחמים זרוק</v>
      </c>
      <c r="J1374" t="str">
        <f>"OP-AR02841"</f>
        <v>OP-AR02841</v>
      </c>
      <c r="K1374" s="1" t="str">
        <f>"6980A803-001   W3- V8 INTERNAL DC CABLE"</f>
        <v>6980A803-001   W3- V8 INTERNAL DC CABLE</v>
      </c>
      <c r="L1374">
        <v>0</v>
      </c>
      <c r="M1374" t="str">
        <f>"PR21000802"</f>
        <v>PR21000802</v>
      </c>
      <c r="N1374" t="str">
        <f>"6980A803-001"</f>
        <v>6980A803-001</v>
      </c>
      <c r="O1374">
        <v>0</v>
      </c>
      <c r="P1374" t="str">
        <f>"$"</f>
        <v>$</v>
      </c>
      <c r="Q1374" t="str">
        <f>"117"</f>
        <v>117</v>
      </c>
      <c r="R1374" t="str">
        <f>"רתמות"</f>
        <v>רתמות</v>
      </c>
      <c r="S1374" t="str">
        <f>"040"</f>
        <v>040</v>
      </c>
      <c r="T1374" t="str">
        <f>"עמר ליגל"</f>
        <v>עמר ליגל</v>
      </c>
      <c r="U1374">
        <v>0</v>
      </c>
      <c r="V1374">
        <v>0</v>
      </c>
      <c r="W1374">
        <v>0</v>
      </c>
      <c r="X1374">
        <v>0</v>
      </c>
      <c r="Z1374" t="str">
        <f>"Y"</f>
        <v>Y</v>
      </c>
      <c r="AA1374">
        <v>0</v>
      </c>
      <c r="AC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 t="str">
        <f>"$"</f>
        <v>$</v>
      </c>
    </row>
    <row r="1375" spans="1:38" x14ac:dyDescent="0.3">
      <c r="A1375" t="str">
        <f>"SO21000479"</f>
        <v>SO21000479</v>
      </c>
      <c r="B1375" t="str">
        <f>"E000350616"</f>
        <v>E000350616</v>
      </c>
      <c r="C1375" t="str">
        <f>"בוצעה"</f>
        <v>בוצעה</v>
      </c>
      <c r="E1375" s="3">
        <v>44521</v>
      </c>
      <c r="F1375" s="3">
        <v>44617</v>
      </c>
      <c r="G1375" t="str">
        <f>"700065"</f>
        <v>700065</v>
      </c>
      <c r="H1375" t="str">
        <f>"אלתא מערכות בע""מ"</f>
        <v>אלתא מערכות בע"מ</v>
      </c>
      <c r="I1375" t="str">
        <f>"רחמים זרוק"</f>
        <v>רחמים זרוק</v>
      </c>
      <c r="J1375" t="str">
        <f>"OP-AR02841"</f>
        <v>OP-AR02841</v>
      </c>
      <c r="K1375" s="1" t="str">
        <f>"6980A803-001   W3- V8 INTERNAL DC CABLE"</f>
        <v>6980A803-001   W3- V8 INTERNAL DC CABLE</v>
      </c>
      <c r="L1375">
        <v>5</v>
      </c>
      <c r="M1375" t="str">
        <f>"PR21000802"</f>
        <v>PR21000802</v>
      </c>
      <c r="N1375" t="str">
        <f>"6980A803-001"</f>
        <v>6980A803-001</v>
      </c>
      <c r="O1375">
        <v>470.33</v>
      </c>
      <c r="P1375" t="str">
        <f>"$"</f>
        <v>$</v>
      </c>
      <c r="Q1375" t="str">
        <f>"117"</f>
        <v>117</v>
      </c>
      <c r="R1375" t="str">
        <f>"רתמות"</f>
        <v>רתמות</v>
      </c>
      <c r="S1375" t="str">
        <f>"040"</f>
        <v>040</v>
      </c>
      <c r="T1375" t="str">
        <f>"עמר ליגל"</f>
        <v>עמר ליגל</v>
      </c>
      <c r="U1375">
        <v>0</v>
      </c>
      <c r="V1375">
        <v>0</v>
      </c>
      <c r="W1375">
        <v>470.33</v>
      </c>
      <c r="X1375" s="2">
        <v>2351.65</v>
      </c>
      <c r="Z1375" t="str">
        <f>"Y"</f>
        <v>Y</v>
      </c>
      <c r="AA1375">
        <v>0</v>
      </c>
      <c r="AC1375">
        <v>0</v>
      </c>
      <c r="AE1375">
        <v>0</v>
      </c>
      <c r="AF1375">
        <v>0</v>
      </c>
      <c r="AG1375" s="2">
        <v>1451.91</v>
      </c>
      <c r="AH1375">
        <v>0</v>
      </c>
      <c r="AI1375" s="2">
        <v>7259.54</v>
      </c>
      <c r="AJ1375" s="2">
        <v>2351.65</v>
      </c>
      <c r="AK1375" s="2">
        <v>2351.65</v>
      </c>
      <c r="AL1375" t="str">
        <f>"$"</f>
        <v>$</v>
      </c>
    </row>
    <row r="1376" spans="1:38" x14ac:dyDescent="0.3">
      <c r="A1376" t="str">
        <f>"SO21000480"</f>
        <v>SO21000480</v>
      </c>
      <c r="B1376" t="str">
        <f>"E000351388"</f>
        <v>E000351388</v>
      </c>
      <c r="C1376" t="str">
        <f>"בוצעה"</f>
        <v>בוצעה</v>
      </c>
      <c r="E1376" s="3">
        <v>44521</v>
      </c>
      <c r="F1376" s="3">
        <v>44666</v>
      </c>
      <c r="G1376" t="str">
        <f>"700065"</f>
        <v>700065</v>
      </c>
      <c r="H1376" t="str">
        <f>"אלתא מערכות בע""מ"</f>
        <v>אלתא מערכות בע"מ</v>
      </c>
      <c r="I1376" t="str">
        <f>"ערן שלו"</f>
        <v>ערן שלו</v>
      </c>
      <c r="J1376" t="str">
        <f>"OP-ML00117"</f>
        <v>OP-ML00117</v>
      </c>
      <c r="K1376" s="1" t="str">
        <f>"PDU 1U 110VAC 1PH"</f>
        <v>PDU 1U 110VAC 1PH</v>
      </c>
      <c r="L1376">
        <v>3</v>
      </c>
      <c r="M1376" t="str">
        <f>"PR21000839"</f>
        <v>PR21000839</v>
      </c>
      <c r="N1376" t="str">
        <f>"PDU 1U 110VAC 1PH"</f>
        <v>PDU 1U 110VAC 1PH</v>
      </c>
      <c r="O1376" s="2">
        <v>3332</v>
      </c>
      <c r="P1376" t="str">
        <f>"$"</f>
        <v>$</v>
      </c>
      <c r="Q1376" t="str">
        <f>"118"</f>
        <v>118</v>
      </c>
      <c r="R1376" t="str">
        <f>"מערכות"</f>
        <v>מערכות</v>
      </c>
      <c r="S1376" t="str">
        <f>"034"</f>
        <v>034</v>
      </c>
      <c r="T1376" t="str">
        <f>"עמר ליגל"</f>
        <v>עמר ליגל</v>
      </c>
      <c r="U1376">
        <v>0</v>
      </c>
      <c r="V1376">
        <v>0</v>
      </c>
      <c r="W1376" s="2">
        <v>3332</v>
      </c>
      <c r="X1376" s="2">
        <v>9996</v>
      </c>
      <c r="Z1376" t="str">
        <f>"Y"</f>
        <v>Y</v>
      </c>
      <c r="AA1376">
        <v>0</v>
      </c>
      <c r="AC1376">
        <v>0</v>
      </c>
      <c r="AE1376">
        <v>0</v>
      </c>
      <c r="AF1376">
        <v>0</v>
      </c>
      <c r="AG1376" s="2">
        <v>10285.879999999999</v>
      </c>
      <c r="AH1376">
        <v>0</v>
      </c>
      <c r="AI1376" s="2">
        <v>30857.65</v>
      </c>
      <c r="AJ1376" s="2">
        <v>9996</v>
      </c>
      <c r="AK1376" s="2">
        <v>9996</v>
      </c>
      <c r="AL1376" t="str">
        <f>"$"</f>
        <v>$</v>
      </c>
    </row>
    <row r="1377" spans="1:38" x14ac:dyDescent="0.3">
      <c r="A1377" t="str">
        <f>"SO21000480"</f>
        <v>SO21000480</v>
      </c>
      <c r="B1377" t="str">
        <f>"E000351388"</f>
        <v>E000351388</v>
      </c>
      <c r="C1377" t="str">
        <f>"בוצעה"</f>
        <v>בוצעה</v>
      </c>
      <c r="E1377" s="3">
        <v>44521</v>
      </c>
      <c r="F1377" s="3">
        <v>44714</v>
      </c>
      <c r="G1377" t="str">
        <f>"700065"</f>
        <v>700065</v>
      </c>
      <c r="H1377" t="str">
        <f>"אלתא מערכות בע""מ"</f>
        <v>אלתא מערכות בע"מ</v>
      </c>
      <c r="I1377" t="str">
        <f>"ערן שלו"</f>
        <v>ערן שלו</v>
      </c>
      <c r="J1377" t="str">
        <f>"000"</f>
        <v>000</v>
      </c>
      <c r="K1377" s="1" t="str">
        <f>"כבלי הזנה למגירה OP-ML00117"</f>
        <v>כבלי הזנה למגירה OP-ML00117</v>
      </c>
      <c r="L1377">
        <v>3</v>
      </c>
      <c r="O1377">
        <v>0</v>
      </c>
      <c r="P1377" t="str">
        <f>"$"</f>
        <v>$</v>
      </c>
      <c r="Q1377" t="str">
        <f>"118"</f>
        <v>118</v>
      </c>
      <c r="R1377" t="str">
        <f>"מערכות"</f>
        <v>מערכות</v>
      </c>
      <c r="S1377" t="str">
        <f>"034"</f>
        <v>034</v>
      </c>
      <c r="T1377" t="str">
        <f>"עמר ליגל"</f>
        <v>עמר ליגל</v>
      </c>
      <c r="U1377">
        <v>0</v>
      </c>
      <c r="V1377">
        <v>0</v>
      </c>
      <c r="W1377">
        <v>0</v>
      </c>
      <c r="X1377">
        <v>0</v>
      </c>
      <c r="Z1377" t="str">
        <f>"Y"</f>
        <v>Y</v>
      </c>
      <c r="AA1377">
        <v>0</v>
      </c>
      <c r="AC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 t="str">
        <f>"$"</f>
        <v>$</v>
      </c>
    </row>
    <row r="1378" spans="1:38" x14ac:dyDescent="0.3">
      <c r="A1378" t="str">
        <f>"SO21000484"</f>
        <v>SO21000484</v>
      </c>
      <c r="B1378" t="str">
        <f>"E000351523"</f>
        <v>E000351523</v>
      </c>
      <c r="C1378" t="str">
        <f>"בוצעה"</f>
        <v>בוצעה</v>
      </c>
      <c r="E1378" s="3">
        <v>44523</v>
      </c>
      <c r="F1378" s="3">
        <v>44620</v>
      </c>
      <c r="G1378" t="str">
        <f>"700065"</f>
        <v>700065</v>
      </c>
      <c r="H1378" t="str">
        <f>"אלתא מערכות בע""מ"</f>
        <v>אלתא מערכות בע"מ</v>
      </c>
      <c r="I1378" t="str">
        <f>"רוני דידי"</f>
        <v>רוני דידי</v>
      </c>
      <c r="J1378" t="str">
        <f>"OP-KT00125"</f>
        <v>OP-KT00125</v>
      </c>
      <c r="K1378" s="1" t="str">
        <f>"ח""ח PDU מארז מחשוב 1041M380-001"</f>
        <v>ח"ח PDU מארז מחשוב 1041M380-001</v>
      </c>
      <c r="L1378">
        <v>1</v>
      </c>
      <c r="M1378" t="str">
        <f>"PR21000841"</f>
        <v>PR21000841</v>
      </c>
      <c r="N1378" t="str">
        <f>"חלפים COMPUTER RACK"</f>
        <v>חלפים COMPUTER RACK</v>
      </c>
      <c r="O1378">
        <v>310</v>
      </c>
      <c r="P1378" t="str">
        <f>"$"</f>
        <v>$</v>
      </c>
      <c r="Q1378" t="str">
        <f>"118"</f>
        <v>118</v>
      </c>
      <c r="R1378" t="str">
        <f>"מערכות"</f>
        <v>מערכות</v>
      </c>
      <c r="S1378" t="str">
        <f>"007"</f>
        <v>007</v>
      </c>
      <c r="T1378" t="str">
        <f>"עמר ליגל"</f>
        <v>עמר ליגל</v>
      </c>
      <c r="U1378">
        <v>0</v>
      </c>
      <c r="V1378">
        <v>0</v>
      </c>
      <c r="W1378">
        <v>310</v>
      </c>
      <c r="X1378">
        <v>310</v>
      </c>
      <c r="Z1378" t="str">
        <f>"Y"</f>
        <v>Y</v>
      </c>
      <c r="AA1378">
        <v>0</v>
      </c>
      <c r="AC1378">
        <v>0</v>
      </c>
      <c r="AE1378">
        <v>0</v>
      </c>
      <c r="AF1378">
        <v>0</v>
      </c>
      <c r="AG1378">
        <v>964.1</v>
      </c>
      <c r="AH1378">
        <v>0</v>
      </c>
      <c r="AI1378">
        <v>964.1</v>
      </c>
      <c r="AJ1378">
        <v>310</v>
      </c>
      <c r="AK1378">
        <v>310</v>
      </c>
      <c r="AL1378" t="str">
        <f>"$"</f>
        <v>$</v>
      </c>
    </row>
    <row r="1379" spans="1:38" x14ac:dyDescent="0.3">
      <c r="A1379" t="str">
        <f>"SO21000484"</f>
        <v>SO21000484</v>
      </c>
      <c r="B1379" t="str">
        <f>"E000351523"</f>
        <v>E000351523</v>
      </c>
      <c r="C1379" t="str">
        <f>"בוצעה"</f>
        <v>בוצעה</v>
      </c>
      <c r="E1379" s="3">
        <v>44523</v>
      </c>
      <c r="F1379" s="3">
        <v>44620</v>
      </c>
      <c r="G1379" t="str">
        <f>"700065"</f>
        <v>700065</v>
      </c>
      <c r="H1379" t="str">
        <f>"אלתא מערכות בע""מ"</f>
        <v>אלתא מערכות בע"מ</v>
      </c>
      <c r="I1379" t="str">
        <f>"רוני דידי"</f>
        <v>רוני דידי</v>
      </c>
      <c r="J1379" t="str">
        <f>"OP-KT00124"</f>
        <v>OP-KT00124</v>
      </c>
      <c r="K1379" s="1" t="str">
        <f>"סט חלקי חילוף מארז מחשוב 1041M360-001"</f>
        <v>סט חלקי חילוף מארז מחשוב 1041M360-001</v>
      </c>
      <c r="L1379">
        <v>1</v>
      </c>
      <c r="M1379" t="str">
        <f>"PR21000841"</f>
        <v>PR21000841</v>
      </c>
      <c r="N1379" t="str">
        <f>"חלפים COMPUTER RACK"</f>
        <v>חלפים COMPUTER RACK</v>
      </c>
      <c r="O1379" s="2">
        <v>10555</v>
      </c>
      <c r="P1379" t="str">
        <f>"$"</f>
        <v>$</v>
      </c>
      <c r="Q1379" t="str">
        <f>"118"</f>
        <v>118</v>
      </c>
      <c r="R1379" t="str">
        <f>"מערכות"</f>
        <v>מערכות</v>
      </c>
      <c r="S1379" t="str">
        <f>"007"</f>
        <v>007</v>
      </c>
      <c r="T1379" t="str">
        <f>"עמר ליגל"</f>
        <v>עמר ליגל</v>
      </c>
      <c r="U1379">
        <v>0</v>
      </c>
      <c r="V1379">
        <v>0</v>
      </c>
      <c r="W1379" s="2">
        <v>10555</v>
      </c>
      <c r="X1379" s="2">
        <v>10555</v>
      </c>
      <c r="Z1379" t="str">
        <f>"Y"</f>
        <v>Y</v>
      </c>
      <c r="AA1379">
        <v>0</v>
      </c>
      <c r="AC1379">
        <v>0</v>
      </c>
      <c r="AE1379">
        <v>0</v>
      </c>
      <c r="AF1379">
        <v>0</v>
      </c>
      <c r="AG1379" s="2">
        <v>32826.050000000003</v>
      </c>
      <c r="AH1379">
        <v>0</v>
      </c>
      <c r="AI1379" s="2">
        <v>32826.050000000003</v>
      </c>
      <c r="AJ1379" s="2">
        <v>10555</v>
      </c>
      <c r="AK1379" s="2">
        <v>10555</v>
      </c>
      <c r="AL1379" t="str">
        <f>"$"</f>
        <v>$</v>
      </c>
    </row>
    <row r="1380" spans="1:38" x14ac:dyDescent="0.3">
      <c r="A1380" t="str">
        <f>"SO21000484"</f>
        <v>SO21000484</v>
      </c>
      <c r="B1380" t="str">
        <f>"E000351523"</f>
        <v>E000351523</v>
      </c>
      <c r="C1380" t="str">
        <f>"בוצעה"</f>
        <v>בוצעה</v>
      </c>
      <c r="E1380" s="3">
        <v>44523</v>
      </c>
      <c r="F1380" s="3">
        <v>44620</v>
      </c>
      <c r="G1380" t="str">
        <f>"700065"</f>
        <v>700065</v>
      </c>
      <c r="H1380" t="str">
        <f>"אלתא מערכות בע""מ"</f>
        <v>אלתא מערכות בע"מ</v>
      </c>
      <c r="I1380" t="str">
        <f>"רוני דידי"</f>
        <v>רוני דידי</v>
      </c>
      <c r="J1380" t="str">
        <f>"OP-KT00126"</f>
        <v>OP-KT00126</v>
      </c>
      <c r="K1380" s="1" t="str">
        <f>"סט חלקי חילוף מארז מחשוב 1041M355-001"</f>
        <v>סט חלקי חילוף מארז מחשוב 1041M355-001</v>
      </c>
      <c r="L1380">
        <v>1</v>
      </c>
      <c r="M1380" t="str">
        <f>"PR21000841"</f>
        <v>PR21000841</v>
      </c>
      <c r="N1380" t="str">
        <f>"חלפים COMPUTER RACK"</f>
        <v>חלפים COMPUTER RACK</v>
      </c>
      <c r="O1380" s="2">
        <v>3200</v>
      </c>
      <c r="P1380" t="str">
        <f>"$"</f>
        <v>$</v>
      </c>
      <c r="Q1380" t="str">
        <f>"118"</f>
        <v>118</v>
      </c>
      <c r="R1380" t="str">
        <f>"מערכות"</f>
        <v>מערכות</v>
      </c>
      <c r="S1380" t="str">
        <f>"007"</f>
        <v>007</v>
      </c>
      <c r="T1380" t="str">
        <f>"עמר ליגל"</f>
        <v>עמר ליגל</v>
      </c>
      <c r="U1380">
        <v>0</v>
      </c>
      <c r="V1380">
        <v>0</v>
      </c>
      <c r="W1380" s="2">
        <v>3200</v>
      </c>
      <c r="X1380" s="2">
        <v>3200</v>
      </c>
      <c r="Z1380" t="str">
        <f>"Y"</f>
        <v>Y</v>
      </c>
      <c r="AA1380">
        <v>0</v>
      </c>
      <c r="AC1380">
        <v>0</v>
      </c>
      <c r="AE1380">
        <v>0</v>
      </c>
      <c r="AF1380">
        <v>0</v>
      </c>
      <c r="AG1380" s="2">
        <v>9952</v>
      </c>
      <c r="AH1380">
        <v>0</v>
      </c>
      <c r="AI1380" s="2">
        <v>9952</v>
      </c>
      <c r="AJ1380" s="2">
        <v>3200</v>
      </c>
      <c r="AK1380" s="2">
        <v>3200</v>
      </c>
      <c r="AL1380" t="str">
        <f>"$"</f>
        <v>$</v>
      </c>
    </row>
    <row r="1381" spans="1:38" x14ac:dyDescent="0.3">
      <c r="A1381" t="str">
        <f>"SO21000494"</f>
        <v>SO21000494</v>
      </c>
      <c r="B1381" t="str">
        <f>"E000351843"</f>
        <v>E000351843</v>
      </c>
      <c r="C1381" t="str">
        <f>"בסיום הרכבה"</f>
        <v>בסיום הרכבה</v>
      </c>
      <c r="E1381" s="3">
        <v>44536</v>
      </c>
      <c r="F1381" s="3">
        <v>44621</v>
      </c>
      <c r="G1381" t="str">
        <f>"700065"</f>
        <v>700065</v>
      </c>
      <c r="H1381" t="str">
        <f>"אלתא מערכות בע""מ"</f>
        <v>אלתא מערכות בע"מ</v>
      </c>
      <c r="I1381" t="str">
        <f>"ערן שלו"</f>
        <v>ערן שלו</v>
      </c>
      <c r="J1381" t="str">
        <f>"OP-AR00467"</f>
        <v>OP-AR00467</v>
      </c>
      <c r="K1381" s="1" t="str">
        <f>"AC PCU CONTROL BOX"</f>
        <v>AC PCU CONTROL BOX</v>
      </c>
      <c r="L1381">
        <v>1</v>
      </c>
      <c r="M1381" t="str">
        <f>"PR21000853"</f>
        <v>PR21000853</v>
      </c>
      <c r="N1381" t="str">
        <f>"AC PCU CONTROL BOX"</f>
        <v>AC PCU CONTROL BOX</v>
      </c>
      <c r="O1381" s="2">
        <v>4250</v>
      </c>
      <c r="P1381" t="str">
        <f>"$"</f>
        <v>$</v>
      </c>
      <c r="Q1381" t="str">
        <f>"118"</f>
        <v>118</v>
      </c>
      <c r="R1381" t="str">
        <f>"מערכות"</f>
        <v>מערכות</v>
      </c>
      <c r="S1381" t="str">
        <f>"034"</f>
        <v>034</v>
      </c>
      <c r="T1381" t="str">
        <f>"עמר ליגל"</f>
        <v>עמר ליגל</v>
      </c>
      <c r="U1381">
        <v>0</v>
      </c>
      <c r="V1381">
        <v>0</v>
      </c>
      <c r="W1381" s="2">
        <v>4250</v>
      </c>
      <c r="X1381" s="2">
        <v>4250</v>
      </c>
      <c r="Z1381" t="str">
        <f>"Y"</f>
        <v>Y</v>
      </c>
      <c r="AA1381">
        <v>0</v>
      </c>
      <c r="AC1381">
        <v>0</v>
      </c>
      <c r="AE1381">
        <v>0</v>
      </c>
      <c r="AF1381">
        <v>0</v>
      </c>
      <c r="AG1381" s="2">
        <v>13413</v>
      </c>
      <c r="AH1381">
        <v>0</v>
      </c>
      <c r="AI1381" s="2">
        <v>13413</v>
      </c>
      <c r="AJ1381" s="2">
        <v>4250</v>
      </c>
      <c r="AK1381" s="2">
        <v>4250</v>
      </c>
      <c r="AL1381" t="str">
        <f>"$"</f>
        <v>$</v>
      </c>
    </row>
    <row r="1382" spans="1:38" x14ac:dyDescent="0.3">
      <c r="A1382" t="str">
        <f>"SO21000521"</f>
        <v>SO21000521</v>
      </c>
      <c r="B1382" t="str">
        <f>"E000352409"</f>
        <v>E000352409</v>
      </c>
      <c r="C1382" t="str">
        <f>"בוצעה"</f>
        <v>בוצעה</v>
      </c>
      <c r="E1382" s="3">
        <v>44549</v>
      </c>
      <c r="F1382" s="3">
        <v>44607</v>
      </c>
      <c r="G1382" t="str">
        <f>"700065"</f>
        <v>700065</v>
      </c>
      <c r="H1382" t="str">
        <f>"אלתא מערכות בע""מ"</f>
        <v>אלתא מערכות בע"מ</v>
      </c>
      <c r="I1382" t="str">
        <f>"רחמים זרוק"</f>
        <v>רחמים זרוק</v>
      </c>
      <c r="J1382" t="str">
        <f>"OP-AR02868"</f>
        <v>OP-AR02868</v>
      </c>
      <c r="K1382" s="1" t="str">
        <f>"1021M886-001   CABLE ASSY W14"</f>
        <v>1021M886-001   CABLE ASSY W14</v>
      </c>
      <c r="L1382">
        <v>2</v>
      </c>
      <c r="M1382" t="str">
        <f>"PR21000874"</f>
        <v>PR21000874</v>
      </c>
      <c r="N1382" t="str">
        <f>"CABLE ASSY"</f>
        <v>CABLE ASSY</v>
      </c>
      <c r="O1382">
        <v>240.66</v>
      </c>
      <c r="P1382" t="str">
        <f>"$"</f>
        <v>$</v>
      </c>
      <c r="Q1382" t="str">
        <f>"118"</f>
        <v>118</v>
      </c>
      <c r="R1382" t="str">
        <f>"מערכות"</f>
        <v>מערכות</v>
      </c>
      <c r="S1382" t="str">
        <f>"040"</f>
        <v>040</v>
      </c>
      <c r="T1382" t="str">
        <f>"עמר ליגל"</f>
        <v>עמר ליגל</v>
      </c>
      <c r="U1382">
        <v>0</v>
      </c>
      <c r="V1382">
        <v>0</v>
      </c>
      <c r="W1382">
        <v>240.66</v>
      </c>
      <c r="X1382">
        <v>481.32</v>
      </c>
      <c r="Z1382" t="str">
        <f>"Y"</f>
        <v>Y</v>
      </c>
      <c r="AA1382">
        <v>0</v>
      </c>
      <c r="AC1382">
        <v>0</v>
      </c>
      <c r="AE1382">
        <v>0</v>
      </c>
      <c r="AF1382">
        <v>0</v>
      </c>
      <c r="AG1382">
        <v>749.66</v>
      </c>
      <c r="AH1382">
        <v>0</v>
      </c>
      <c r="AI1382" s="2">
        <v>1499.31</v>
      </c>
      <c r="AJ1382">
        <v>481.32</v>
      </c>
      <c r="AK1382">
        <v>481.32</v>
      </c>
      <c r="AL1382" t="str">
        <f>"$"</f>
        <v>$</v>
      </c>
    </row>
    <row r="1383" spans="1:38" x14ac:dyDescent="0.3">
      <c r="A1383" t="str">
        <f>"SO21000521"</f>
        <v>SO21000521</v>
      </c>
      <c r="B1383" t="str">
        <f>"E000352409"</f>
        <v>E000352409</v>
      </c>
      <c r="C1383" t="str">
        <f>"בוצעה"</f>
        <v>בוצעה</v>
      </c>
      <c r="E1383" s="3">
        <v>44549</v>
      </c>
      <c r="F1383" s="3">
        <v>44607</v>
      </c>
      <c r="G1383" t="str">
        <f>"700065"</f>
        <v>700065</v>
      </c>
      <c r="H1383" t="str">
        <f>"אלתא מערכות בע""מ"</f>
        <v>אלתא מערכות בע"מ</v>
      </c>
      <c r="I1383" t="str">
        <f>"רחמים זרוק"</f>
        <v>רחמים זרוק</v>
      </c>
      <c r="J1383" t="str">
        <f>"OP-AR02869"</f>
        <v>OP-AR02869</v>
      </c>
      <c r="K1383" s="1" t="str">
        <f>"1037U569-001   CABL ASSY W9"</f>
        <v>1037U569-001   CABL ASSY W9</v>
      </c>
      <c r="L1383">
        <v>8</v>
      </c>
      <c r="M1383" t="str">
        <f>"PR21000874"</f>
        <v>PR21000874</v>
      </c>
      <c r="N1383" t="str">
        <f>"CABLE ASSY"</f>
        <v>CABLE ASSY</v>
      </c>
      <c r="O1383">
        <v>105.56</v>
      </c>
      <c r="P1383" t="str">
        <f>"$"</f>
        <v>$</v>
      </c>
      <c r="Q1383" t="str">
        <f>"118"</f>
        <v>118</v>
      </c>
      <c r="R1383" t="str">
        <f>"מערכות"</f>
        <v>מערכות</v>
      </c>
      <c r="S1383" t="str">
        <f>"040"</f>
        <v>040</v>
      </c>
      <c r="T1383" t="str">
        <f>"עמר ליגל"</f>
        <v>עמר ליגל</v>
      </c>
      <c r="U1383">
        <v>0</v>
      </c>
      <c r="V1383">
        <v>0</v>
      </c>
      <c r="W1383">
        <v>105.56</v>
      </c>
      <c r="X1383">
        <v>844.48</v>
      </c>
      <c r="Z1383" t="str">
        <f>"Y"</f>
        <v>Y</v>
      </c>
      <c r="AA1383">
        <v>0</v>
      </c>
      <c r="AC1383">
        <v>0</v>
      </c>
      <c r="AE1383">
        <v>0</v>
      </c>
      <c r="AF1383">
        <v>0</v>
      </c>
      <c r="AG1383">
        <v>328.82</v>
      </c>
      <c r="AH1383">
        <v>0</v>
      </c>
      <c r="AI1383" s="2">
        <v>2630.56</v>
      </c>
      <c r="AJ1383">
        <v>844.48</v>
      </c>
      <c r="AK1383">
        <v>844.48</v>
      </c>
      <c r="AL1383" t="str">
        <f>"$"</f>
        <v>$</v>
      </c>
    </row>
    <row r="1384" spans="1:38" x14ac:dyDescent="0.3">
      <c r="A1384" t="str">
        <f>"SO21000521"</f>
        <v>SO21000521</v>
      </c>
      <c r="B1384" t="str">
        <f>"E000352409"</f>
        <v>E000352409</v>
      </c>
      <c r="C1384" t="str">
        <f>"בוצעה"</f>
        <v>בוצעה</v>
      </c>
      <c r="E1384" s="3">
        <v>44549</v>
      </c>
      <c r="F1384" s="3">
        <v>44607</v>
      </c>
      <c r="G1384" t="str">
        <f>"700065"</f>
        <v>700065</v>
      </c>
      <c r="H1384" t="str">
        <f>"אלתא מערכות בע""מ"</f>
        <v>אלתא מערכות בע"מ</v>
      </c>
      <c r="I1384" t="str">
        <f>"רחמים זרוק"</f>
        <v>רחמים זרוק</v>
      </c>
      <c r="J1384" t="str">
        <f>"OP-AR02870"</f>
        <v>OP-AR02870</v>
      </c>
      <c r="K1384" s="1" t="str">
        <f>"2013E380-001   FAN SENSE CABLE ASSY"</f>
        <v>2013E380-001   FAN SENSE CABLE ASSY</v>
      </c>
      <c r="L1384">
        <v>2</v>
      </c>
      <c r="M1384" t="str">
        <f>"PR21000874"</f>
        <v>PR21000874</v>
      </c>
      <c r="N1384" t="str">
        <f>"CABLE ASSY"</f>
        <v>CABLE ASSY</v>
      </c>
      <c r="O1384">
        <v>73.540000000000006</v>
      </c>
      <c r="P1384" t="str">
        <f>"$"</f>
        <v>$</v>
      </c>
      <c r="Q1384" t="str">
        <f>"118"</f>
        <v>118</v>
      </c>
      <c r="R1384" t="str">
        <f>"מערכות"</f>
        <v>מערכות</v>
      </c>
      <c r="S1384" t="str">
        <f>"040"</f>
        <v>040</v>
      </c>
      <c r="T1384" t="str">
        <f>"עמר ליגל"</f>
        <v>עמר ליגל</v>
      </c>
      <c r="U1384">
        <v>0</v>
      </c>
      <c r="V1384">
        <v>0</v>
      </c>
      <c r="W1384">
        <v>73.540000000000006</v>
      </c>
      <c r="X1384">
        <v>147.08000000000001</v>
      </c>
      <c r="Z1384" t="str">
        <f>"Y"</f>
        <v>Y</v>
      </c>
      <c r="AA1384">
        <v>0</v>
      </c>
      <c r="AC1384">
        <v>0</v>
      </c>
      <c r="AE1384">
        <v>0</v>
      </c>
      <c r="AF1384">
        <v>0</v>
      </c>
      <c r="AG1384">
        <v>229.08</v>
      </c>
      <c r="AH1384">
        <v>0</v>
      </c>
      <c r="AI1384">
        <v>458.15</v>
      </c>
      <c r="AJ1384">
        <v>147.08000000000001</v>
      </c>
      <c r="AK1384">
        <v>147.08000000000001</v>
      </c>
      <c r="AL1384" t="str">
        <f>"$"</f>
        <v>$</v>
      </c>
    </row>
    <row r="1385" spans="1:38" x14ac:dyDescent="0.3">
      <c r="A1385" t="str">
        <f>"SO21000521"</f>
        <v>SO21000521</v>
      </c>
      <c r="B1385" t="str">
        <f>"E000352409"</f>
        <v>E000352409</v>
      </c>
      <c r="C1385" t="str">
        <f>"בוצעה"</f>
        <v>בוצעה</v>
      </c>
      <c r="E1385" s="3">
        <v>44549</v>
      </c>
      <c r="F1385" s="3">
        <v>44607</v>
      </c>
      <c r="G1385" t="str">
        <f>"700065"</f>
        <v>700065</v>
      </c>
      <c r="H1385" t="str">
        <f>"אלתא מערכות בע""מ"</f>
        <v>אלתא מערכות בע"מ</v>
      </c>
      <c r="I1385" t="str">
        <f>"רחמים זרוק"</f>
        <v>רחמים זרוק</v>
      </c>
      <c r="J1385" t="str">
        <f>"OP-AR02871"</f>
        <v>OP-AR02871</v>
      </c>
      <c r="K1385" s="1" t="str">
        <f>"2013E817-002   CABLE POWER AC/DC ASSY"</f>
        <v>2013E817-002   CABLE POWER AC/DC ASSY</v>
      </c>
      <c r="L1385">
        <v>2</v>
      </c>
      <c r="M1385" t="str">
        <f>"PR21000874"</f>
        <v>PR21000874</v>
      </c>
      <c r="N1385" t="str">
        <f>"CABLE ASSY"</f>
        <v>CABLE ASSY</v>
      </c>
      <c r="O1385">
        <v>83.87</v>
      </c>
      <c r="P1385" t="str">
        <f>"$"</f>
        <v>$</v>
      </c>
      <c r="Q1385" t="str">
        <f>"118"</f>
        <v>118</v>
      </c>
      <c r="R1385" t="str">
        <f>"מערכות"</f>
        <v>מערכות</v>
      </c>
      <c r="S1385" t="str">
        <f>"040"</f>
        <v>040</v>
      </c>
      <c r="T1385" t="str">
        <f>"עמר ליגל"</f>
        <v>עמר ליגל</v>
      </c>
      <c r="U1385">
        <v>0</v>
      </c>
      <c r="V1385">
        <v>0</v>
      </c>
      <c r="W1385">
        <v>83.87</v>
      </c>
      <c r="X1385">
        <v>167.74</v>
      </c>
      <c r="Z1385" t="str">
        <f>"Y"</f>
        <v>Y</v>
      </c>
      <c r="AA1385">
        <v>0</v>
      </c>
      <c r="AC1385">
        <v>0</v>
      </c>
      <c r="AE1385">
        <v>0</v>
      </c>
      <c r="AF1385">
        <v>0</v>
      </c>
      <c r="AG1385">
        <v>261.26</v>
      </c>
      <c r="AH1385">
        <v>0</v>
      </c>
      <c r="AI1385">
        <v>522.51</v>
      </c>
      <c r="AJ1385">
        <v>167.74</v>
      </c>
      <c r="AK1385">
        <v>167.74</v>
      </c>
      <c r="AL1385" t="str">
        <f>"$"</f>
        <v>$</v>
      </c>
    </row>
    <row r="1386" spans="1:38" x14ac:dyDescent="0.3">
      <c r="A1386" t="str">
        <f>"SO21000521"</f>
        <v>SO21000521</v>
      </c>
      <c r="B1386" t="str">
        <f>"E000352409"</f>
        <v>E000352409</v>
      </c>
      <c r="C1386" t="str">
        <f>"בוצעה"</f>
        <v>בוצעה</v>
      </c>
      <c r="E1386" s="3">
        <v>44549</v>
      </c>
      <c r="F1386" s="3">
        <v>44607</v>
      </c>
      <c r="G1386" t="str">
        <f>"700065"</f>
        <v>700065</v>
      </c>
      <c r="H1386" t="str">
        <f>"אלתא מערכות בע""מ"</f>
        <v>אלתא מערכות בע"מ</v>
      </c>
      <c r="I1386" t="str">
        <f>"רחמים זרוק"</f>
        <v>רחמים זרוק</v>
      </c>
      <c r="J1386" t="str">
        <f>"OP-AR02872"</f>
        <v>OP-AR02872</v>
      </c>
      <c r="K1386" s="1" t="str">
        <f>"2029D691-001   HARNESS WT691 - PC INTERFACE"</f>
        <v>2029D691-001   HARNESS WT691 - PC INTERFACE</v>
      </c>
      <c r="L1386">
        <v>2</v>
      </c>
      <c r="M1386" t="str">
        <f>"PR21000874"</f>
        <v>PR21000874</v>
      </c>
      <c r="N1386" t="str">
        <f>"CABLE ASSY"</f>
        <v>CABLE ASSY</v>
      </c>
      <c r="O1386">
        <v>223.59</v>
      </c>
      <c r="P1386" t="str">
        <f>"$"</f>
        <v>$</v>
      </c>
      <c r="Q1386" t="str">
        <f>"118"</f>
        <v>118</v>
      </c>
      <c r="R1386" t="str">
        <f>"מערכות"</f>
        <v>מערכות</v>
      </c>
      <c r="S1386" t="str">
        <f>"040"</f>
        <v>040</v>
      </c>
      <c r="T1386" t="str">
        <f>"עמר ליגל"</f>
        <v>עמר ליגל</v>
      </c>
      <c r="U1386">
        <v>0</v>
      </c>
      <c r="V1386">
        <v>0</v>
      </c>
      <c r="W1386">
        <v>223.59</v>
      </c>
      <c r="X1386">
        <v>447.18</v>
      </c>
      <c r="Z1386" t="str">
        <f>"Y"</f>
        <v>Y</v>
      </c>
      <c r="AA1386">
        <v>0</v>
      </c>
      <c r="AC1386">
        <v>0</v>
      </c>
      <c r="AE1386">
        <v>0</v>
      </c>
      <c r="AF1386">
        <v>0</v>
      </c>
      <c r="AG1386">
        <v>696.48</v>
      </c>
      <c r="AH1386">
        <v>0</v>
      </c>
      <c r="AI1386" s="2">
        <v>1392.97</v>
      </c>
      <c r="AJ1386">
        <v>447.18</v>
      </c>
      <c r="AK1386">
        <v>447.18</v>
      </c>
      <c r="AL1386" t="str">
        <f>"$"</f>
        <v>$</v>
      </c>
    </row>
    <row r="1387" spans="1:38" x14ac:dyDescent="0.3">
      <c r="A1387" t="str">
        <f>"SO21000522"</f>
        <v>SO21000522</v>
      </c>
      <c r="B1387" t="str">
        <f>"E000352337"</f>
        <v>E000352337</v>
      </c>
      <c r="C1387" t="str">
        <f>"בוצעה"</f>
        <v>בוצעה</v>
      </c>
      <c r="E1387" s="3">
        <v>44549</v>
      </c>
      <c r="F1387" s="3">
        <v>44528</v>
      </c>
      <c r="G1387" t="str">
        <f>"700065"</f>
        <v>700065</v>
      </c>
      <c r="H1387" t="str">
        <f>"אלתא מערכות בע""מ"</f>
        <v>אלתא מערכות בע"מ</v>
      </c>
      <c r="I1387" t="str">
        <f>"ערן שלו"</f>
        <v>ערן שלו</v>
      </c>
      <c r="J1387" t="str">
        <f>"cust00972"</f>
        <v>cust00972</v>
      </c>
      <c r="K1387" s="1" t="str">
        <f>"P331030000 Module MEDIA אלתא"</f>
        <v>P331030000 Module MEDIA אלתא</v>
      </c>
      <c r="L1387">
        <v>1</v>
      </c>
      <c r="O1387">
        <v>0.1</v>
      </c>
      <c r="P1387" t="str">
        <f>"$"</f>
        <v>$</v>
      </c>
      <c r="Q1387" t="str">
        <f>"118"</f>
        <v>118</v>
      </c>
      <c r="R1387" t="str">
        <f>"מערכות"</f>
        <v>מערכות</v>
      </c>
      <c r="S1387" t="str">
        <f>"034"</f>
        <v>034</v>
      </c>
      <c r="T1387" t="str">
        <f>"עמר ליגל"</f>
        <v>עמר ליגל</v>
      </c>
      <c r="U1387">
        <v>0</v>
      </c>
      <c r="V1387">
        <v>0</v>
      </c>
      <c r="W1387">
        <v>0.1</v>
      </c>
      <c r="X1387">
        <v>0.1</v>
      </c>
      <c r="Z1387" t="str">
        <f>"Y"</f>
        <v>Y</v>
      </c>
      <c r="AA1387">
        <v>0</v>
      </c>
      <c r="AC1387">
        <v>0</v>
      </c>
      <c r="AE1387">
        <v>0</v>
      </c>
      <c r="AF1387">
        <v>0</v>
      </c>
      <c r="AG1387">
        <v>0.31</v>
      </c>
      <c r="AH1387">
        <v>0</v>
      </c>
      <c r="AI1387">
        <v>0.31</v>
      </c>
      <c r="AJ1387">
        <v>0.1</v>
      </c>
      <c r="AK1387">
        <v>0.1</v>
      </c>
      <c r="AL1387" t="str">
        <f>"$"</f>
        <v>$</v>
      </c>
    </row>
    <row r="1388" spans="1:38" x14ac:dyDescent="0.3">
      <c r="A1388" t="str">
        <f>"SO21000523"</f>
        <v>SO21000523</v>
      </c>
      <c r="B1388" t="str">
        <f>"E000353653"</f>
        <v>E000353653</v>
      </c>
      <c r="C1388" t="str">
        <f>"בוצעה"</f>
        <v>בוצעה</v>
      </c>
      <c r="E1388" s="3">
        <v>44551</v>
      </c>
      <c r="F1388" s="3">
        <v>44557</v>
      </c>
      <c r="G1388" t="str">
        <f>"700065"</f>
        <v>700065</v>
      </c>
      <c r="H1388" t="str">
        <f>"אלתא מערכות בע""מ"</f>
        <v>אלתא מערכות בע"מ</v>
      </c>
      <c r="I1388" t="str">
        <f>"רוני דידי"</f>
        <v>רוני דידי</v>
      </c>
      <c r="J1388" t="str">
        <f>"OP-AR02860"</f>
        <v>OP-AR02860</v>
      </c>
      <c r="K1388" s="1" t="str">
        <f>"1035E971-001  WG971"</f>
        <v>1035E971-001  WG971</v>
      </c>
      <c r="L1388">
        <v>1</v>
      </c>
      <c r="M1388" t="str">
        <f>"PR21000871"</f>
        <v>PR21000871</v>
      </c>
      <c r="N1388" t="str">
        <f>"כבלי ארקה טל שמיים"</f>
        <v>כבלי ארקה טל שמיים</v>
      </c>
      <c r="O1388">
        <v>640.5</v>
      </c>
      <c r="P1388" t="str">
        <f>"$"</f>
        <v>$</v>
      </c>
      <c r="Q1388" t="str">
        <f>"117"</f>
        <v>117</v>
      </c>
      <c r="R1388" t="str">
        <f>"רתמות"</f>
        <v>רתמות</v>
      </c>
      <c r="S1388" t="str">
        <f>"007"</f>
        <v>007</v>
      </c>
      <c r="T1388" t="str">
        <f>"עמר ליגל"</f>
        <v>עמר ליגל</v>
      </c>
      <c r="U1388">
        <v>0</v>
      </c>
      <c r="V1388">
        <v>0</v>
      </c>
      <c r="W1388">
        <v>640.5</v>
      </c>
      <c r="X1388">
        <v>640.5</v>
      </c>
      <c r="Z1388" t="str">
        <f>"Y"</f>
        <v>Y</v>
      </c>
      <c r="AA1388">
        <v>0</v>
      </c>
      <c r="AC1388">
        <v>0</v>
      </c>
      <c r="AE1388">
        <v>0</v>
      </c>
      <c r="AF1388">
        <v>0</v>
      </c>
      <c r="AG1388" s="2">
        <v>2018.86</v>
      </c>
      <c r="AH1388">
        <v>0</v>
      </c>
      <c r="AI1388" s="2">
        <v>2018.86</v>
      </c>
      <c r="AJ1388">
        <v>640.5</v>
      </c>
      <c r="AK1388">
        <v>640.5</v>
      </c>
      <c r="AL1388" t="str">
        <f>"$"</f>
        <v>$</v>
      </c>
    </row>
    <row r="1389" spans="1:38" x14ac:dyDescent="0.3">
      <c r="A1389" t="str">
        <f>"SO21000523"</f>
        <v>SO21000523</v>
      </c>
      <c r="B1389" t="str">
        <f>"E000353653"</f>
        <v>E000353653</v>
      </c>
      <c r="C1389" t="str">
        <f>"בוצעה"</f>
        <v>בוצעה</v>
      </c>
      <c r="E1389" s="3">
        <v>44551</v>
      </c>
      <c r="F1389" s="3">
        <v>44557</v>
      </c>
      <c r="G1389" t="str">
        <f>"700065"</f>
        <v>700065</v>
      </c>
      <c r="H1389" t="str">
        <f>"אלתא מערכות בע""מ"</f>
        <v>אלתא מערכות בע"מ</v>
      </c>
      <c r="I1389" t="str">
        <f>"רוני דידי"</f>
        <v>רוני דידי</v>
      </c>
      <c r="J1389" t="str">
        <f>"OP-AR02861"</f>
        <v>OP-AR02861</v>
      </c>
      <c r="K1389" s="1" t="str">
        <f>"1035E972-001  WG972"</f>
        <v>1035E972-001  WG972</v>
      </c>
      <c r="L1389">
        <v>1</v>
      </c>
      <c r="M1389" t="str">
        <f>"PR21000871"</f>
        <v>PR21000871</v>
      </c>
      <c r="N1389" t="str">
        <f>"כבלי ארקה טל שמיים"</f>
        <v>כבלי ארקה טל שמיים</v>
      </c>
      <c r="O1389">
        <v>940.5</v>
      </c>
      <c r="P1389" t="str">
        <f>"$"</f>
        <v>$</v>
      </c>
      <c r="Q1389" t="str">
        <f>"117"</f>
        <v>117</v>
      </c>
      <c r="R1389" t="str">
        <f>"רתמות"</f>
        <v>רתמות</v>
      </c>
      <c r="S1389" t="str">
        <f>"007"</f>
        <v>007</v>
      </c>
      <c r="T1389" t="str">
        <f>"עמר ליגל"</f>
        <v>עמר ליגל</v>
      </c>
      <c r="U1389">
        <v>0</v>
      </c>
      <c r="V1389">
        <v>0</v>
      </c>
      <c r="W1389">
        <v>940.5</v>
      </c>
      <c r="X1389">
        <v>940.5</v>
      </c>
      <c r="Z1389" t="str">
        <f>"Y"</f>
        <v>Y</v>
      </c>
      <c r="AA1389">
        <v>0</v>
      </c>
      <c r="AC1389">
        <v>0</v>
      </c>
      <c r="AE1389">
        <v>0</v>
      </c>
      <c r="AF1389">
        <v>0</v>
      </c>
      <c r="AG1389" s="2">
        <v>2964.46</v>
      </c>
      <c r="AH1389">
        <v>0</v>
      </c>
      <c r="AI1389" s="2">
        <v>2964.46</v>
      </c>
      <c r="AJ1389">
        <v>940.5</v>
      </c>
      <c r="AK1389">
        <v>940.5</v>
      </c>
      <c r="AL1389" t="str">
        <f>"$"</f>
        <v>$</v>
      </c>
    </row>
    <row r="1390" spans="1:38" x14ac:dyDescent="0.3">
      <c r="A1390" t="str">
        <f>"SO21000523"</f>
        <v>SO21000523</v>
      </c>
      <c r="B1390" t="str">
        <f>"E000353653"</f>
        <v>E000353653</v>
      </c>
      <c r="C1390" t="str">
        <f>"בוצעה"</f>
        <v>בוצעה</v>
      </c>
      <c r="E1390" s="3">
        <v>44551</v>
      </c>
      <c r="F1390" s="3">
        <v>44557</v>
      </c>
      <c r="G1390" t="str">
        <f>"700065"</f>
        <v>700065</v>
      </c>
      <c r="H1390" t="str">
        <f>"אלתא מערכות בע""מ"</f>
        <v>אלתא מערכות בע"מ</v>
      </c>
      <c r="I1390" t="str">
        <f>"רוני דידי"</f>
        <v>רוני דידי</v>
      </c>
      <c r="J1390" t="str">
        <f>"OP-AR02862"</f>
        <v>OP-AR02862</v>
      </c>
      <c r="K1390" s="1" t="str">
        <f>"1035E973-001  WG973"</f>
        <v>1035E973-001  WG973</v>
      </c>
      <c r="L1390">
        <v>1</v>
      </c>
      <c r="M1390" t="str">
        <f>"PR21000871"</f>
        <v>PR21000871</v>
      </c>
      <c r="N1390" t="str">
        <f>"כבלי ארקה טל שמיים"</f>
        <v>כבלי ארקה טל שמיים</v>
      </c>
      <c r="O1390">
        <v>313.5</v>
      </c>
      <c r="P1390" t="str">
        <f>"$"</f>
        <v>$</v>
      </c>
      <c r="Q1390" t="str">
        <f>"117"</f>
        <v>117</v>
      </c>
      <c r="R1390" t="str">
        <f>"רתמות"</f>
        <v>רתמות</v>
      </c>
      <c r="S1390" t="str">
        <f>"007"</f>
        <v>007</v>
      </c>
      <c r="T1390" t="str">
        <f>"עמר ליגל"</f>
        <v>עמר ליגל</v>
      </c>
      <c r="U1390">
        <v>0</v>
      </c>
      <c r="V1390">
        <v>0</v>
      </c>
      <c r="W1390">
        <v>313.5</v>
      </c>
      <c r="X1390">
        <v>313.5</v>
      </c>
      <c r="Z1390" t="str">
        <f>"Y"</f>
        <v>Y</v>
      </c>
      <c r="AA1390">
        <v>0</v>
      </c>
      <c r="AC1390">
        <v>0</v>
      </c>
      <c r="AE1390">
        <v>0</v>
      </c>
      <c r="AF1390">
        <v>0</v>
      </c>
      <c r="AG1390">
        <v>988.15</v>
      </c>
      <c r="AH1390">
        <v>0</v>
      </c>
      <c r="AI1390">
        <v>988.15</v>
      </c>
      <c r="AJ1390">
        <v>313.5</v>
      </c>
      <c r="AK1390">
        <v>313.5</v>
      </c>
      <c r="AL1390" t="str">
        <f>"$"</f>
        <v>$</v>
      </c>
    </row>
    <row r="1391" spans="1:38" x14ac:dyDescent="0.3">
      <c r="A1391" t="str">
        <f>"SO21000523"</f>
        <v>SO21000523</v>
      </c>
      <c r="B1391" t="str">
        <f>"E000353653"</f>
        <v>E000353653</v>
      </c>
      <c r="C1391" t="str">
        <f>"בוצעה"</f>
        <v>בוצעה</v>
      </c>
      <c r="E1391" s="3">
        <v>44551</v>
      </c>
      <c r="F1391" s="3">
        <v>44557</v>
      </c>
      <c r="G1391" t="str">
        <f>"700065"</f>
        <v>700065</v>
      </c>
      <c r="H1391" t="str">
        <f>"אלתא מערכות בע""מ"</f>
        <v>אלתא מערכות בע"מ</v>
      </c>
      <c r="I1391" t="str">
        <f>"רוני דידי"</f>
        <v>רוני דידי</v>
      </c>
      <c r="J1391" t="str">
        <f>"OP-AR02863"</f>
        <v>OP-AR02863</v>
      </c>
      <c r="K1391" s="1" t="str">
        <f>"1035E974-001  WG974"</f>
        <v>1035E974-001  WG974</v>
      </c>
      <c r="L1391">
        <v>1</v>
      </c>
      <c r="M1391" t="str">
        <f>"PR21000871"</f>
        <v>PR21000871</v>
      </c>
      <c r="N1391" t="str">
        <f>"כבלי ארקה טל שמיים"</f>
        <v>כבלי ארקה טל שמיים</v>
      </c>
      <c r="O1391">
        <v>313.5</v>
      </c>
      <c r="P1391" t="str">
        <f>"$"</f>
        <v>$</v>
      </c>
      <c r="Q1391" t="str">
        <f>"117"</f>
        <v>117</v>
      </c>
      <c r="R1391" t="str">
        <f>"רתמות"</f>
        <v>רתמות</v>
      </c>
      <c r="S1391" t="str">
        <f>"007"</f>
        <v>007</v>
      </c>
      <c r="T1391" t="str">
        <f>"עמר ליגל"</f>
        <v>עמר ליגל</v>
      </c>
      <c r="U1391">
        <v>0</v>
      </c>
      <c r="V1391">
        <v>0</v>
      </c>
      <c r="W1391">
        <v>313.5</v>
      </c>
      <c r="X1391">
        <v>313.5</v>
      </c>
      <c r="Z1391" t="str">
        <f>"Y"</f>
        <v>Y</v>
      </c>
      <c r="AA1391">
        <v>0</v>
      </c>
      <c r="AC1391">
        <v>0</v>
      </c>
      <c r="AE1391">
        <v>0</v>
      </c>
      <c r="AF1391">
        <v>0</v>
      </c>
      <c r="AG1391">
        <v>988.15</v>
      </c>
      <c r="AH1391">
        <v>0</v>
      </c>
      <c r="AI1391">
        <v>988.15</v>
      </c>
      <c r="AJ1391">
        <v>313.5</v>
      </c>
      <c r="AK1391">
        <v>313.5</v>
      </c>
      <c r="AL1391" t="str">
        <f>"$"</f>
        <v>$</v>
      </c>
    </row>
    <row r="1392" spans="1:38" x14ac:dyDescent="0.3">
      <c r="A1392" t="str">
        <f>"SO21000523"</f>
        <v>SO21000523</v>
      </c>
      <c r="B1392" t="str">
        <f>"E000353653"</f>
        <v>E000353653</v>
      </c>
      <c r="C1392" t="str">
        <f>"בוצעה"</f>
        <v>בוצעה</v>
      </c>
      <c r="E1392" s="3">
        <v>44551</v>
      </c>
      <c r="F1392" s="3">
        <v>44557</v>
      </c>
      <c r="G1392" t="str">
        <f>"700065"</f>
        <v>700065</v>
      </c>
      <c r="H1392" t="str">
        <f>"אלתא מערכות בע""מ"</f>
        <v>אלתא מערכות בע"מ</v>
      </c>
      <c r="I1392" t="str">
        <f>"רוני דידי"</f>
        <v>רוני דידי</v>
      </c>
      <c r="J1392" t="str">
        <f>"OP-AR02864"</f>
        <v>OP-AR02864</v>
      </c>
      <c r="K1392" s="1" t="str">
        <f>"1035E975-001  WG975"</f>
        <v>1035E975-001  WG975</v>
      </c>
      <c r="L1392">
        <v>1</v>
      </c>
      <c r="M1392" t="str">
        <f>"PR21000871"</f>
        <v>PR21000871</v>
      </c>
      <c r="N1392" t="str">
        <f>"כבלי ארקה טל שמיים"</f>
        <v>כבלי ארקה טל שמיים</v>
      </c>
      <c r="O1392">
        <v>313.5</v>
      </c>
      <c r="P1392" t="str">
        <f>"$"</f>
        <v>$</v>
      </c>
      <c r="Q1392" t="str">
        <f>"117"</f>
        <v>117</v>
      </c>
      <c r="R1392" t="str">
        <f>"רתמות"</f>
        <v>רתמות</v>
      </c>
      <c r="S1392" t="str">
        <f>"007"</f>
        <v>007</v>
      </c>
      <c r="T1392" t="str">
        <f>"עמר ליגל"</f>
        <v>עמר ליגל</v>
      </c>
      <c r="U1392">
        <v>0</v>
      </c>
      <c r="V1392">
        <v>0</v>
      </c>
      <c r="W1392">
        <v>313.5</v>
      </c>
      <c r="X1392">
        <v>313.5</v>
      </c>
      <c r="Z1392" t="str">
        <f>"Y"</f>
        <v>Y</v>
      </c>
      <c r="AA1392">
        <v>0</v>
      </c>
      <c r="AC1392">
        <v>0</v>
      </c>
      <c r="AE1392">
        <v>0</v>
      </c>
      <c r="AF1392">
        <v>0</v>
      </c>
      <c r="AG1392">
        <v>988.15</v>
      </c>
      <c r="AH1392">
        <v>0</v>
      </c>
      <c r="AI1392">
        <v>988.15</v>
      </c>
      <c r="AJ1392">
        <v>313.5</v>
      </c>
      <c r="AK1392">
        <v>313.5</v>
      </c>
      <c r="AL1392" t="str">
        <f>"$"</f>
        <v>$</v>
      </c>
    </row>
    <row r="1393" spans="1:38" x14ac:dyDescent="0.3">
      <c r="A1393" t="str">
        <f>"SO21000523"</f>
        <v>SO21000523</v>
      </c>
      <c r="B1393" t="str">
        <f>"E000353653"</f>
        <v>E000353653</v>
      </c>
      <c r="C1393" t="str">
        <f>"בוצעה"</f>
        <v>בוצעה</v>
      </c>
      <c r="E1393" s="3">
        <v>44551</v>
      </c>
      <c r="F1393" s="3">
        <v>44557</v>
      </c>
      <c r="G1393" t="str">
        <f>"700065"</f>
        <v>700065</v>
      </c>
      <c r="H1393" t="str">
        <f>"אלתא מערכות בע""מ"</f>
        <v>אלתא מערכות בע"מ</v>
      </c>
      <c r="I1393" t="str">
        <f>"רוני דידי"</f>
        <v>רוני דידי</v>
      </c>
      <c r="J1393" t="str">
        <f>"OP-AR02865"</f>
        <v>OP-AR02865</v>
      </c>
      <c r="K1393" s="1" t="str">
        <f>"1035E976-001  WG976"</f>
        <v>1035E976-001  WG976</v>
      </c>
      <c r="L1393">
        <v>1</v>
      </c>
      <c r="M1393" t="str">
        <f>"PR21000871"</f>
        <v>PR21000871</v>
      </c>
      <c r="N1393" t="str">
        <f>"כבלי ארקה טל שמיים"</f>
        <v>כבלי ארקה טל שמיים</v>
      </c>
      <c r="O1393">
        <v>313.5</v>
      </c>
      <c r="P1393" t="str">
        <f>"$"</f>
        <v>$</v>
      </c>
      <c r="Q1393" t="str">
        <f>"117"</f>
        <v>117</v>
      </c>
      <c r="R1393" t="str">
        <f>"רתמות"</f>
        <v>רתמות</v>
      </c>
      <c r="S1393" t="str">
        <f>"007"</f>
        <v>007</v>
      </c>
      <c r="T1393" t="str">
        <f>"עמר ליגל"</f>
        <v>עמר ליגל</v>
      </c>
      <c r="U1393">
        <v>0</v>
      </c>
      <c r="V1393">
        <v>0</v>
      </c>
      <c r="W1393">
        <v>313.5</v>
      </c>
      <c r="X1393">
        <v>313.5</v>
      </c>
      <c r="Z1393" t="str">
        <f>"Y"</f>
        <v>Y</v>
      </c>
      <c r="AA1393">
        <v>0</v>
      </c>
      <c r="AC1393">
        <v>0</v>
      </c>
      <c r="AE1393">
        <v>0</v>
      </c>
      <c r="AF1393">
        <v>0</v>
      </c>
      <c r="AG1393">
        <v>988.15</v>
      </c>
      <c r="AH1393">
        <v>0</v>
      </c>
      <c r="AI1393">
        <v>988.15</v>
      </c>
      <c r="AJ1393">
        <v>313.5</v>
      </c>
      <c r="AK1393">
        <v>313.5</v>
      </c>
      <c r="AL1393" t="str">
        <f>"$"</f>
        <v>$</v>
      </c>
    </row>
    <row r="1394" spans="1:38" x14ac:dyDescent="0.3">
      <c r="A1394" t="str">
        <f>"SO21000523"</f>
        <v>SO21000523</v>
      </c>
      <c r="B1394" t="str">
        <f>"E000353653"</f>
        <v>E000353653</v>
      </c>
      <c r="C1394" t="str">
        <f>"בוצעה"</f>
        <v>בוצעה</v>
      </c>
      <c r="E1394" s="3">
        <v>44551</v>
      </c>
      <c r="F1394" s="3">
        <v>44557</v>
      </c>
      <c r="G1394" t="str">
        <f>"700065"</f>
        <v>700065</v>
      </c>
      <c r="H1394" t="str">
        <f>"אלתא מערכות בע""מ"</f>
        <v>אלתא מערכות בע"מ</v>
      </c>
      <c r="I1394" t="str">
        <f>"רוני דידי"</f>
        <v>רוני דידי</v>
      </c>
      <c r="J1394" t="str">
        <f>"OP-AR02866"</f>
        <v>OP-AR02866</v>
      </c>
      <c r="K1394" s="1" t="str">
        <f>"1035E977-001  WG977"</f>
        <v>1035E977-001  WG977</v>
      </c>
      <c r="L1394">
        <v>1</v>
      </c>
      <c r="M1394" t="str">
        <f>"PR21000871"</f>
        <v>PR21000871</v>
      </c>
      <c r="N1394" t="str">
        <f>"כבלי ארקה טל שמיים"</f>
        <v>כבלי ארקה טל שמיים</v>
      </c>
      <c r="O1394">
        <v>313.5</v>
      </c>
      <c r="P1394" t="str">
        <f>"$"</f>
        <v>$</v>
      </c>
      <c r="Q1394" t="str">
        <f>"117"</f>
        <v>117</v>
      </c>
      <c r="R1394" t="str">
        <f>"רתמות"</f>
        <v>רתמות</v>
      </c>
      <c r="S1394" t="str">
        <f>"007"</f>
        <v>007</v>
      </c>
      <c r="T1394" t="str">
        <f>"עמר ליגל"</f>
        <v>עמר ליגל</v>
      </c>
      <c r="U1394">
        <v>0</v>
      </c>
      <c r="V1394">
        <v>0</v>
      </c>
      <c r="W1394">
        <v>313.5</v>
      </c>
      <c r="X1394">
        <v>313.5</v>
      </c>
      <c r="Z1394" t="str">
        <f>"Y"</f>
        <v>Y</v>
      </c>
      <c r="AA1394">
        <v>0</v>
      </c>
      <c r="AC1394">
        <v>0</v>
      </c>
      <c r="AE1394">
        <v>0</v>
      </c>
      <c r="AF1394">
        <v>0</v>
      </c>
      <c r="AG1394">
        <v>988.15</v>
      </c>
      <c r="AH1394">
        <v>0</v>
      </c>
      <c r="AI1394">
        <v>988.15</v>
      </c>
      <c r="AJ1394">
        <v>313.5</v>
      </c>
      <c r="AK1394">
        <v>313.5</v>
      </c>
      <c r="AL1394" t="str">
        <f>"$"</f>
        <v>$</v>
      </c>
    </row>
    <row r="1395" spans="1:38" x14ac:dyDescent="0.3">
      <c r="A1395" t="str">
        <f>"SO21000523"</f>
        <v>SO21000523</v>
      </c>
      <c r="B1395" t="str">
        <f>"E000353653"</f>
        <v>E000353653</v>
      </c>
      <c r="C1395" t="str">
        <f>"בוצעה"</f>
        <v>בוצעה</v>
      </c>
      <c r="E1395" s="3">
        <v>44551</v>
      </c>
      <c r="F1395" s="3">
        <v>44557</v>
      </c>
      <c r="G1395" t="str">
        <f>"700065"</f>
        <v>700065</v>
      </c>
      <c r="H1395" t="str">
        <f>"אלתא מערכות בע""מ"</f>
        <v>אלתא מערכות בע"מ</v>
      </c>
      <c r="I1395" t="str">
        <f>"רוני דידי"</f>
        <v>רוני דידי</v>
      </c>
      <c r="J1395" t="str">
        <f>"OP-AR02867"</f>
        <v>OP-AR02867</v>
      </c>
      <c r="K1395" s="1" t="str">
        <f>"1035E978-001  WG978"</f>
        <v>1035E978-001  WG978</v>
      </c>
      <c r="L1395">
        <v>1</v>
      </c>
      <c r="M1395" t="str">
        <f>"PR21000871"</f>
        <v>PR21000871</v>
      </c>
      <c r="N1395" t="str">
        <f>"כבלי ארקה טל שמיים"</f>
        <v>כבלי ארקה טל שמיים</v>
      </c>
      <c r="O1395">
        <v>313.5</v>
      </c>
      <c r="P1395" t="str">
        <f>"$"</f>
        <v>$</v>
      </c>
      <c r="Q1395" t="str">
        <f>"117"</f>
        <v>117</v>
      </c>
      <c r="R1395" t="str">
        <f>"רתמות"</f>
        <v>רתמות</v>
      </c>
      <c r="S1395" t="str">
        <f>"007"</f>
        <v>007</v>
      </c>
      <c r="T1395" t="str">
        <f>"עמר ליגל"</f>
        <v>עמר ליגל</v>
      </c>
      <c r="U1395">
        <v>0</v>
      </c>
      <c r="V1395">
        <v>0</v>
      </c>
      <c r="W1395">
        <v>313.5</v>
      </c>
      <c r="X1395">
        <v>313.5</v>
      </c>
      <c r="Z1395" t="str">
        <f>"Y"</f>
        <v>Y</v>
      </c>
      <c r="AA1395">
        <v>0</v>
      </c>
      <c r="AC1395">
        <v>0</v>
      </c>
      <c r="AE1395">
        <v>0</v>
      </c>
      <c r="AF1395">
        <v>0</v>
      </c>
      <c r="AG1395">
        <v>988.15</v>
      </c>
      <c r="AH1395">
        <v>0</v>
      </c>
      <c r="AI1395">
        <v>988.15</v>
      </c>
      <c r="AJ1395">
        <v>313.5</v>
      </c>
      <c r="AK1395">
        <v>313.5</v>
      </c>
      <c r="AL1395" t="str">
        <f>"$"</f>
        <v>$</v>
      </c>
    </row>
    <row r="1396" spans="1:38" x14ac:dyDescent="0.3">
      <c r="A1396" t="str">
        <f>"SO21000528"</f>
        <v>SO21000528</v>
      </c>
      <c r="B1396" t="str">
        <f>"E000351119"</f>
        <v>E000351119</v>
      </c>
      <c r="C1396" t="str">
        <f>"בוצעה"</f>
        <v>בוצעה</v>
      </c>
      <c r="E1396" s="3">
        <v>44553</v>
      </c>
      <c r="F1396" s="3">
        <v>44773</v>
      </c>
      <c r="G1396" t="str">
        <f>"700065"</f>
        <v>700065</v>
      </c>
      <c r="H1396" t="str">
        <f>"אלתא מערכות בע""מ"</f>
        <v>אלתא מערכות בע"מ</v>
      </c>
      <c r="I1396" t="str">
        <f>"רוני דידי"</f>
        <v>רוני דידי</v>
      </c>
      <c r="J1396" t="str">
        <f>"999"</f>
        <v>999</v>
      </c>
      <c r="K1396" s="1" t="str">
        <f>"תשלום עבור הגדלת תכולה MDN-1"</f>
        <v>תשלום עבור הגדלת תכולה MDN-1</v>
      </c>
      <c r="L1396">
        <v>0.5</v>
      </c>
      <c r="M1396" t="str">
        <f>"PR21000383"</f>
        <v>PR21000383</v>
      </c>
      <c r="N1396" t="str">
        <f>"MDN SHLTER 01"</f>
        <v>MDN SHLTER 01</v>
      </c>
      <c r="O1396" s="2">
        <v>66816.399999999994</v>
      </c>
      <c r="P1396" t="str">
        <f>"$"</f>
        <v>$</v>
      </c>
      <c r="Q1396" t="str">
        <f>"119"</f>
        <v>119</v>
      </c>
      <c r="R1396" t="str">
        <f>"פלטפורמות"</f>
        <v>פלטפורמות</v>
      </c>
      <c r="S1396" t="str">
        <f>"007"</f>
        <v>007</v>
      </c>
      <c r="T1396" t="str">
        <f>"עמר ליגל"</f>
        <v>עמר ליגל</v>
      </c>
      <c r="U1396">
        <v>0</v>
      </c>
      <c r="V1396">
        <v>0</v>
      </c>
      <c r="W1396" s="2">
        <v>66816.399999999994</v>
      </c>
      <c r="X1396" s="2">
        <v>33408.199999999997</v>
      </c>
      <c r="Z1396" t="str">
        <f>"Y"</f>
        <v>Y</v>
      </c>
      <c r="AA1396">
        <v>0.5</v>
      </c>
      <c r="AC1396">
        <v>0</v>
      </c>
      <c r="AE1396">
        <v>0</v>
      </c>
      <c r="AF1396">
        <v>0</v>
      </c>
      <c r="AG1396" s="2">
        <v>210605.29</v>
      </c>
      <c r="AH1396">
        <v>0</v>
      </c>
      <c r="AI1396" s="2">
        <v>105302.65</v>
      </c>
      <c r="AJ1396" s="2">
        <v>33408.199999999997</v>
      </c>
      <c r="AK1396" s="2">
        <v>33408.199999999997</v>
      </c>
      <c r="AL1396" t="str">
        <f>"$"</f>
        <v>$</v>
      </c>
    </row>
    <row r="1397" spans="1:38" x14ac:dyDescent="0.3">
      <c r="A1397" t="str">
        <f>"SO21000528"</f>
        <v>SO21000528</v>
      </c>
      <c r="B1397" t="str">
        <f>"E000351119"</f>
        <v>E000351119</v>
      </c>
      <c r="C1397" t="str">
        <f>"בוצעה"</f>
        <v>בוצעה</v>
      </c>
      <c r="E1397" s="3">
        <v>44553</v>
      </c>
      <c r="F1397" s="3">
        <v>44773</v>
      </c>
      <c r="G1397" t="str">
        <f>"700065"</f>
        <v>700065</v>
      </c>
      <c r="H1397" t="str">
        <f>"אלתא מערכות בע""מ"</f>
        <v>אלתא מערכות בע"מ</v>
      </c>
      <c r="I1397" t="str">
        <f>"רוני דידי"</f>
        <v>רוני דידי</v>
      </c>
      <c r="J1397" t="str">
        <f>"999"</f>
        <v>999</v>
      </c>
      <c r="K1397" s="1" t="str">
        <f>"תשלום עבור הגדלת תכולה MDN-2"</f>
        <v>תשלום עבור הגדלת תכולה MDN-2</v>
      </c>
      <c r="L1397">
        <v>0.5</v>
      </c>
      <c r="M1397" t="str">
        <f>"PR20000710"</f>
        <v>PR20000710</v>
      </c>
      <c r="N1397" t="str">
        <f>"MDN SHELTER 02"</f>
        <v>MDN SHELTER 02</v>
      </c>
      <c r="O1397" s="2">
        <v>66816.399999999994</v>
      </c>
      <c r="P1397" t="str">
        <f>"$"</f>
        <v>$</v>
      </c>
      <c r="Q1397" t="str">
        <f>"119"</f>
        <v>119</v>
      </c>
      <c r="R1397" t="str">
        <f>"פלטפורמות"</f>
        <v>פלטפורמות</v>
      </c>
      <c r="S1397" t="str">
        <f>"007"</f>
        <v>007</v>
      </c>
      <c r="T1397" t="str">
        <f>"עמר ליגל"</f>
        <v>עמר ליגל</v>
      </c>
      <c r="U1397">
        <v>0</v>
      </c>
      <c r="V1397">
        <v>0</v>
      </c>
      <c r="W1397" s="2">
        <v>66816.399999999994</v>
      </c>
      <c r="X1397" s="2">
        <v>33408.199999999997</v>
      </c>
      <c r="Z1397" t="str">
        <f>"Y"</f>
        <v>Y</v>
      </c>
      <c r="AA1397">
        <v>0.5</v>
      </c>
      <c r="AC1397">
        <v>0</v>
      </c>
      <c r="AE1397">
        <v>0</v>
      </c>
      <c r="AF1397">
        <v>0</v>
      </c>
      <c r="AG1397" s="2">
        <v>210605.29</v>
      </c>
      <c r="AH1397">
        <v>0</v>
      </c>
      <c r="AI1397" s="2">
        <v>105302.65</v>
      </c>
      <c r="AJ1397" s="2">
        <v>33408.199999999997</v>
      </c>
      <c r="AK1397" s="2">
        <v>33408.199999999997</v>
      </c>
      <c r="AL1397" t="str">
        <f>"$"</f>
        <v>$</v>
      </c>
    </row>
    <row r="1398" spans="1:38" x14ac:dyDescent="0.3">
      <c r="A1398" t="str">
        <f>"SO21000530"</f>
        <v>SO21000530</v>
      </c>
      <c r="B1398" t="str">
        <f>"E000353714"</f>
        <v>E000353714</v>
      </c>
      <c r="C1398" t="str">
        <f>"בוצעה"</f>
        <v>בוצעה</v>
      </c>
      <c r="E1398" s="3">
        <v>44557</v>
      </c>
      <c r="F1398" s="3">
        <v>44630</v>
      </c>
      <c r="G1398" t="str">
        <f>"700065"</f>
        <v>700065</v>
      </c>
      <c r="H1398" t="str">
        <f>"אלתא מערכות בע""מ"</f>
        <v>אלתא מערכות בע"מ</v>
      </c>
      <c r="I1398" t="str">
        <f>"רחמים זרוק"</f>
        <v>רחמים זרוק</v>
      </c>
      <c r="J1398" t="str">
        <f>"OP-AR02873"</f>
        <v>OP-AR02873</v>
      </c>
      <c r="K1398" s="1" t="str">
        <f>"1037V530-001   AC Power Cable For System Integration"</f>
        <v>1037V530-001   AC Power Cable For System Integration</v>
      </c>
      <c r="L1398">
        <v>1</v>
      </c>
      <c r="M1398" t="str">
        <f>"PR21000888"</f>
        <v>PR21000888</v>
      </c>
      <c r="N1398" t="str">
        <f>"CABEL"</f>
        <v>CABEL</v>
      </c>
      <c r="O1398" s="2">
        <v>5696</v>
      </c>
      <c r="P1398" t="str">
        <f>"$"</f>
        <v>$</v>
      </c>
      <c r="Q1398" t="str">
        <f>"117"</f>
        <v>117</v>
      </c>
      <c r="R1398" t="str">
        <f>"רתמות"</f>
        <v>רתמות</v>
      </c>
      <c r="S1398" t="str">
        <f>"040"</f>
        <v>040</v>
      </c>
      <c r="T1398" t="str">
        <f>"עמר ליגל"</f>
        <v>עמר ליגל</v>
      </c>
      <c r="U1398">
        <v>0</v>
      </c>
      <c r="V1398">
        <v>0</v>
      </c>
      <c r="W1398" s="2">
        <v>5696</v>
      </c>
      <c r="X1398" s="2">
        <v>5696</v>
      </c>
      <c r="Z1398" t="str">
        <f>"Y"</f>
        <v>Y</v>
      </c>
      <c r="AA1398">
        <v>0</v>
      </c>
      <c r="AC1398">
        <v>0</v>
      </c>
      <c r="AE1398">
        <v>0</v>
      </c>
      <c r="AF1398">
        <v>0</v>
      </c>
      <c r="AG1398" s="2">
        <v>17862.66</v>
      </c>
      <c r="AH1398">
        <v>0</v>
      </c>
      <c r="AI1398" s="2">
        <v>17862.66</v>
      </c>
      <c r="AJ1398" s="2">
        <v>5696</v>
      </c>
      <c r="AK1398" s="2">
        <v>5696</v>
      </c>
      <c r="AL1398" t="str">
        <f>"$"</f>
        <v>$</v>
      </c>
    </row>
    <row r="1399" spans="1:38" x14ac:dyDescent="0.3">
      <c r="A1399" t="str">
        <f>"SO21000530"</f>
        <v>SO21000530</v>
      </c>
      <c r="B1399" t="str">
        <f>"E000353714"</f>
        <v>E000353714</v>
      </c>
      <c r="C1399" t="str">
        <f>"בוצעה"</f>
        <v>בוצעה</v>
      </c>
      <c r="E1399" s="3">
        <v>44557</v>
      </c>
      <c r="F1399" s="3">
        <v>44630</v>
      </c>
      <c r="G1399" t="str">
        <f>"700065"</f>
        <v>700065</v>
      </c>
      <c r="H1399" t="str">
        <f>"אלתא מערכות בע""מ"</f>
        <v>אלתא מערכות בע"מ</v>
      </c>
      <c r="I1399" t="str">
        <f>"רחמים זרוק"</f>
        <v>רחמים זרוק</v>
      </c>
      <c r="J1399" t="str">
        <f>"OP-AR02873"</f>
        <v>OP-AR02873</v>
      </c>
      <c r="K1399" s="1" t="str">
        <f>"1037V530-001   AC Power Cable For System Integration"</f>
        <v>1037V530-001   AC Power Cable For System Integration</v>
      </c>
      <c r="L1399">
        <v>1</v>
      </c>
      <c r="M1399" t="str">
        <f>"PR21000888"</f>
        <v>PR21000888</v>
      </c>
      <c r="N1399" t="str">
        <f>"CABEL"</f>
        <v>CABEL</v>
      </c>
      <c r="O1399" s="2">
        <v>5696</v>
      </c>
      <c r="P1399" t="str">
        <f>"$"</f>
        <v>$</v>
      </c>
      <c r="Q1399" t="str">
        <f>"117"</f>
        <v>117</v>
      </c>
      <c r="R1399" t="str">
        <f>"רתמות"</f>
        <v>רתמות</v>
      </c>
      <c r="S1399" t="str">
        <f>"040"</f>
        <v>040</v>
      </c>
      <c r="T1399" t="str">
        <f>"עמר ליגל"</f>
        <v>עמר ליגל</v>
      </c>
      <c r="U1399">
        <v>0</v>
      </c>
      <c r="V1399">
        <v>0</v>
      </c>
      <c r="W1399" s="2">
        <v>5696</v>
      </c>
      <c r="X1399" s="2">
        <v>5696</v>
      </c>
      <c r="Z1399" t="str">
        <f>"Y"</f>
        <v>Y</v>
      </c>
      <c r="AA1399">
        <v>0</v>
      </c>
      <c r="AC1399">
        <v>0</v>
      </c>
      <c r="AE1399">
        <v>0</v>
      </c>
      <c r="AF1399">
        <v>0</v>
      </c>
      <c r="AG1399" s="2">
        <v>17862.66</v>
      </c>
      <c r="AH1399">
        <v>0</v>
      </c>
      <c r="AI1399" s="2">
        <v>17862.66</v>
      </c>
      <c r="AJ1399" s="2">
        <v>5696</v>
      </c>
      <c r="AK1399" s="2">
        <v>5696</v>
      </c>
      <c r="AL1399" t="str">
        <f>"$"</f>
        <v>$</v>
      </c>
    </row>
    <row r="1400" spans="1:38" x14ac:dyDescent="0.3">
      <c r="A1400" t="str">
        <f>"SO21000530"</f>
        <v>SO21000530</v>
      </c>
      <c r="B1400" t="str">
        <f>"E000353714"</f>
        <v>E000353714</v>
      </c>
      <c r="C1400" t="str">
        <f>"בוצעה"</f>
        <v>בוצעה</v>
      </c>
      <c r="E1400" s="3">
        <v>44557</v>
      </c>
      <c r="F1400" s="3">
        <v>44813</v>
      </c>
      <c r="G1400" t="str">
        <f>"700065"</f>
        <v>700065</v>
      </c>
      <c r="H1400" t="str">
        <f>"אלתא מערכות בע""מ"</f>
        <v>אלתא מערכות בע"מ</v>
      </c>
      <c r="I1400" t="str">
        <f>"רחמים זרוק"</f>
        <v>רחמים זרוק</v>
      </c>
      <c r="J1400" t="str">
        <f>"000"</f>
        <v>000</v>
      </c>
      <c r="K1400" s="1" t="str">
        <f>"זיכוי לחשבונית מס SI226000840"</f>
        <v>זיכוי לחשבונית מס SI226000840</v>
      </c>
      <c r="L1400">
        <v>-1</v>
      </c>
      <c r="M1400" t="str">
        <f>"PR21000888"</f>
        <v>PR21000888</v>
      </c>
      <c r="N1400" t="str">
        <f>"CABEL"</f>
        <v>CABEL</v>
      </c>
      <c r="O1400" s="2">
        <v>3127</v>
      </c>
      <c r="P1400" t="str">
        <f>"$"</f>
        <v>$</v>
      </c>
      <c r="Q1400" t="str">
        <f>"117"</f>
        <v>117</v>
      </c>
      <c r="R1400" t="str">
        <f>"רתמות"</f>
        <v>רתמות</v>
      </c>
      <c r="S1400" t="str">
        <f>"040"</f>
        <v>040</v>
      </c>
      <c r="T1400" t="str">
        <f>"עמר ליגל"</f>
        <v>עמר ליגל</v>
      </c>
      <c r="U1400">
        <v>0</v>
      </c>
      <c r="V1400">
        <v>0</v>
      </c>
      <c r="W1400" s="2">
        <v>3127</v>
      </c>
      <c r="X1400" s="2">
        <v>-3127</v>
      </c>
      <c r="Z1400" t="str">
        <f>"Y"</f>
        <v>Y</v>
      </c>
      <c r="AA1400">
        <v>-1</v>
      </c>
      <c r="AC1400">
        <v>0</v>
      </c>
      <c r="AE1400">
        <v>0</v>
      </c>
      <c r="AF1400">
        <v>0</v>
      </c>
      <c r="AG1400" s="2">
        <v>9806.27</v>
      </c>
      <c r="AH1400">
        <v>0</v>
      </c>
      <c r="AI1400" s="2">
        <v>-9806.27</v>
      </c>
      <c r="AJ1400" s="2">
        <v>-3127</v>
      </c>
      <c r="AK1400" s="2">
        <v>-3127</v>
      </c>
      <c r="AL1400" t="str">
        <f>"$"</f>
        <v>$</v>
      </c>
    </row>
    <row r="1401" spans="1:38" x14ac:dyDescent="0.3">
      <c r="A1401" t="str">
        <f>"SO21000531"</f>
        <v>SO21000531</v>
      </c>
      <c r="B1401" t="str">
        <f>"E000353389"</f>
        <v>E000353389</v>
      </c>
      <c r="C1401" t="str">
        <f>"בוצעה"</f>
        <v>בוצעה</v>
      </c>
      <c r="E1401" s="3">
        <v>44557</v>
      </c>
      <c r="F1401" s="3">
        <v>44859</v>
      </c>
      <c r="G1401" t="str">
        <f>"700065"</f>
        <v>700065</v>
      </c>
      <c r="H1401" t="str">
        <f>"אלתא מערכות בע""מ"</f>
        <v>אלתא מערכות בע"מ</v>
      </c>
      <c r="I1401" t="str">
        <f>"רחמים זרוק"</f>
        <v>רחמים זרוק</v>
      </c>
      <c r="J1401" t="str">
        <f>"OP-AR02874"</f>
        <v>OP-AR02874</v>
      </c>
      <c r="K1401" s="1" t="str">
        <f>"1039H839-001/A   HARNESS WY039 - FAN - FULL TK"</f>
        <v>1039H839-001/A   HARNESS WY039 - FAN - FULL TK</v>
      </c>
      <c r="L1401">
        <v>24</v>
      </c>
      <c r="M1401" t="str">
        <f>"PR21000889"</f>
        <v>PR21000889</v>
      </c>
      <c r="N1401" t="str">
        <f>"CABEL"</f>
        <v>CABEL</v>
      </c>
      <c r="O1401">
        <v>406.87</v>
      </c>
      <c r="P1401" t="str">
        <f>"$"</f>
        <v>$</v>
      </c>
      <c r="Q1401" t="str">
        <f>"117"</f>
        <v>117</v>
      </c>
      <c r="R1401" t="str">
        <f>"רתמות"</f>
        <v>רתמות</v>
      </c>
      <c r="S1401" t="str">
        <f>"040"</f>
        <v>040</v>
      </c>
      <c r="T1401" t="str">
        <f>"עמר ליגל"</f>
        <v>עמר ליגל</v>
      </c>
      <c r="U1401">
        <v>0</v>
      </c>
      <c r="V1401">
        <v>0</v>
      </c>
      <c r="W1401">
        <v>406.87</v>
      </c>
      <c r="X1401" s="2">
        <v>9764.8799999999992</v>
      </c>
      <c r="Z1401" t="str">
        <f>"Y"</f>
        <v>Y</v>
      </c>
      <c r="AA1401">
        <v>0</v>
      </c>
      <c r="AC1401">
        <v>0</v>
      </c>
      <c r="AE1401">
        <v>0</v>
      </c>
      <c r="AF1401">
        <v>0</v>
      </c>
      <c r="AG1401" s="2">
        <v>1275.94</v>
      </c>
      <c r="AH1401">
        <v>0</v>
      </c>
      <c r="AI1401" s="2">
        <v>30622.66</v>
      </c>
      <c r="AJ1401" s="2">
        <v>9764.8799999999992</v>
      </c>
      <c r="AK1401" s="2">
        <v>9764.8799999999992</v>
      </c>
      <c r="AL1401" t="str">
        <f>"$"</f>
        <v>$</v>
      </c>
    </row>
    <row r="1402" spans="1:38" x14ac:dyDescent="0.3">
      <c r="A1402" t="str">
        <f>"SO21000531"</f>
        <v>SO21000531</v>
      </c>
      <c r="B1402" t="str">
        <f>"E000353389"</f>
        <v>E000353389</v>
      </c>
      <c r="C1402" t="str">
        <f>"בוצעה"</f>
        <v>בוצעה</v>
      </c>
      <c r="E1402" s="3">
        <v>44557</v>
      </c>
      <c r="F1402" s="3">
        <v>44859</v>
      </c>
      <c r="G1402" t="str">
        <f>"700065"</f>
        <v>700065</v>
      </c>
      <c r="H1402" t="str">
        <f>"אלתא מערכות בע""מ"</f>
        <v>אלתא מערכות בע"מ</v>
      </c>
      <c r="I1402" t="str">
        <f>"רחמים זרוק"</f>
        <v>רחמים זרוק</v>
      </c>
      <c r="J1402" t="str">
        <f>"OP-AR02874"</f>
        <v>OP-AR02874</v>
      </c>
      <c r="K1402" s="1" t="str">
        <f>"1039H839-001/A   HARNESS WY039 - FAN - FULL TK"</f>
        <v>1039H839-001/A   HARNESS WY039 - FAN - FULL TK</v>
      </c>
      <c r="L1402">
        <v>2</v>
      </c>
      <c r="M1402" t="str">
        <f>"PR21000889"</f>
        <v>PR21000889</v>
      </c>
      <c r="N1402" t="str">
        <f>"CABEL"</f>
        <v>CABEL</v>
      </c>
      <c r="O1402">
        <v>406.87</v>
      </c>
      <c r="P1402" t="str">
        <f>"$"</f>
        <v>$</v>
      </c>
      <c r="Q1402" t="str">
        <f>"117"</f>
        <v>117</v>
      </c>
      <c r="R1402" t="str">
        <f>"רתמות"</f>
        <v>רתמות</v>
      </c>
      <c r="S1402" t="str">
        <f>"040"</f>
        <v>040</v>
      </c>
      <c r="T1402" t="str">
        <f>"עמר ליגל"</f>
        <v>עמר ליגל</v>
      </c>
      <c r="U1402">
        <v>0</v>
      </c>
      <c r="V1402">
        <v>0</v>
      </c>
      <c r="W1402">
        <v>406.87</v>
      </c>
      <c r="X1402">
        <v>813.74</v>
      </c>
      <c r="Z1402" t="str">
        <f>"Y"</f>
        <v>Y</v>
      </c>
      <c r="AA1402">
        <v>0</v>
      </c>
      <c r="AC1402">
        <v>0</v>
      </c>
      <c r="AE1402">
        <v>0</v>
      </c>
      <c r="AF1402">
        <v>0</v>
      </c>
      <c r="AG1402" s="2">
        <v>1275.94</v>
      </c>
      <c r="AH1402">
        <v>0</v>
      </c>
      <c r="AI1402" s="2">
        <v>2551.89</v>
      </c>
      <c r="AJ1402">
        <v>813.74</v>
      </c>
      <c r="AK1402">
        <v>813.74</v>
      </c>
      <c r="AL1402" t="str">
        <f>"$"</f>
        <v>$</v>
      </c>
    </row>
    <row r="1403" spans="1:38" x14ac:dyDescent="0.3">
      <c r="A1403" t="str">
        <f>"SO22000004"</f>
        <v>SO22000004</v>
      </c>
      <c r="B1403" t="str">
        <f>"E000350605"</f>
        <v>E000350605</v>
      </c>
      <c r="C1403" t="str">
        <f>"בוצעה"</f>
        <v>בוצעה</v>
      </c>
      <c r="E1403" s="3">
        <v>44564</v>
      </c>
      <c r="F1403" s="3">
        <v>44711</v>
      </c>
      <c r="G1403" t="str">
        <f>"700065"</f>
        <v>700065</v>
      </c>
      <c r="H1403" t="str">
        <f>"אלתא מערכות בע""מ"</f>
        <v>אלתא מערכות בע"מ</v>
      </c>
      <c r="I1403" t="str">
        <f>"רחמים זרוק"</f>
        <v>רחמים זרוק</v>
      </c>
      <c r="J1403" t="str">
        <f>"OP-AR02876"</f>
        <v>OP-AR02876</v>
      </c>
      <c r="K1403" s="1" t="str">
        <f>"1023B187-001   WSA124 CABLE ASSY"</f>
        <v>1023B187-001   WSA124 CABLE ASSY</v>
      </c>
      <c r="L1403">
        <v>2</v>
      </c>
      <c r="M1403" t="str">
        <f>"PR21000890"</f>
        <v>PR21000890</v>
      </c>
      <c r="N1403" t="str">
        <f>"1023B187-001"</f>
        <v>1023B187-001</v>
      </c>
      <c r="O1403" s="2">
        <v>1751.28</v>
      </c>
      <c r="P1403" t="str">
        <f>"$"</f>
        <v>$</v>
      </c>
      <c r="Q1403" t="str">
        <f>"117"</f>
        <v>117</v>
      </c>
      <c r="R1403" t="str">
        <f>"רתמות"</f>
        <v>רתמות</v>
      </c>
      <c r="S1403" t="str">
        <f>"040"</f>
        <v>040</v>
      </c>
      <c r="T1403" t="str">
        <f>"עמר ליגל"</f>
        <v>עמר ליגל</v>
      </c>
      <c r="U1403">
        <v>0</v>
      </c>
      <c r="V1403">
        <v>0</v>
      </c>
      <c r="W1403" s="2">
        <v>1751.28</v>
      </c>
      <c r="X1403" s="2">
        <v>3502.56</v>
      </c>
      <c r="Z1403" t="str">
        <f>"Y"</f>
        <v>Y</v>
      </c>
      <c r="AA1403">
        <v>0</v>
      </c>
      <c r="AC1403">
        <v>0</v>
      </c>
      <c r="AE1403">
        <v>0</v>
      </c>
      <c r="AF1403">
        <v>0</v>
      </c>
      <c r="AG1403" s="2">
        <v>5414.96</v>
      </c>
      <c r="AH1403">
        <v>0</v>
      </c>
      <c r="AI1403" s="2">
        <v>10829.92</v>
      </c>
      <c r="AJ1403" s="2">
        <v>3502.56</v>
      </c>
      <c r="AK1403" s="2">
        <v>3502.56</v>
      </c>
      <c r="AL1403" t="str">
        <f>"$"</f>
        <v>$</v>
      </c>
    </row>
    <row r="1404" spans="1:38" x14ac:dyDescent="0.3">
      <c r="A1404" t="str">
        <f>"SO22000004"</f>
        <v>SO22000004</v>
      </c>
      <c r="B1404" t="str">
        <f>"E000350605"</f>
        <v>E000350605</v>
      </c>
      <c r="C1404" t="str">
        <f>"בוצעה"</f>
        <v>בוצעה</v>
      </c>
      <c r="E1404" s="3">
        <v>44564</v>
      </c>
      <c r="F1404" s="3">
        <v>44711</v>
      </c>
      <c r="G1404" t="str">
        <f>"700065"</f>
        <v>700065</v>
      </c>
      <c r="H1404" t="str">
        <f>"אלתא מערכות בע""מ"</f>
        <v>אלתא מערכות בע"מ</v>
      </c>
      <c r="I1404" t="str">
        <f>"רחמים זרוק"</f>
        <v>רחמים זרוק</v>
      </c>
      <c r="J1404" t="str">
        <f>"OP-AR02877"</f>
        <v>OP-AR02877</v>
      </c>
      <c r="K1404" s="1" t="str">
        <f>"1023B189-001   WSA126 CABLE ASSY"</f>
        <v>1023B189-001   WSA126 CABLE ASSY</v>
      </c>
      <c r="L1404">
        <v>2</v>
      </c>
      <c r="M1404" t="str">
        <f>"PR21000890"</f>
        <v>PR21000890</v>
      </c>
      <c r="N1404" t="str">
        <f>"1023B187-001"</f>
        <v>1023B187-001</v>
      </c>
      <c r="O1404">
        <v>684.74</v>
      </c>
      <c r="P1404" t="str">
        <f>"$"</f>
        <v>$</v>
      </c>
      <c r="Q1404" t="str">
        <f>"117"</f>
        <v>117</v>
      </c>
      <c r="R1404" t="str">
        <f>"רתמות"</f>
        <v>רתמות</v>
      </c>
      <c r="S1404" t="str">
        <f>"040"</f>
        <v>040</v>
      </c>
      <c r="T1404" t="str">
        <f>"עמר ליגל"</f>
        <v>עמר ליגל</v>
      </c>
      <c r="U1404">
        <v>0</v>
      </c>
      <c r="V1404">
        <v>0</v>
      </c>
      <c r="W1404">
        <v>684.74</v>
      </c>
      <c r="X1404" s="2">
        <v>1369.48</v>
      </c>
      <c r="Z1404" t="str">
        <f>"Y"</f>
        <v>Y</v>
      </c>
      <c r="AA1404">
        <v>0</v>
      </c>
      <c r="AC1404">
        <v>0</v>
      </c>
      <c r="AE1404">
        <v>0</v>
      </c>
      <c r="AF1404">
        <v>0</v>
      </c>
      <c r="AG1404" s="2">
        <v>2117.2199999999998</v>
      </c>
      <c r="AH1404">
        <v>0</v>
      </c>
      <c r="AI1404" s="2">
        <v>4234.43</v>
      </c>
      <c r="AJ1404" s="2">
        <v>1369.48</v>
      </c>
      <c r="AK1404" s="2">
        <v>1369.48</v>
      </c>
      <c r="AL1404" t="str">
        <f>"$"</f>
        <v>$</v>
      </c>
    </row>
    <row r="1405" spans="1:38" x14ac:dyDescent="0.3">
      <c r="A1405" t="str">
        <f>"SO22000004"</f>
        <v>SO22000004</v>
      </c>
      <c r="B1405" t="str">
        <f>"E000350605"</f>
        <v>E000350605</v>
      </c>
      <c r="C1405" t="str">
        <f>"בוצעה"</f>
        <v>בוצעה</v>
      </c>
      <c r="E1405" s="3">
        <v>44564</v>
      </c>
      <c r="F1405" s="3">
        <v>44711</v>
      </c>
      <c r="G1405" t="str">
        <f>"700065"</f>
        <v>700065</v>
      </c>
      <c r="H1405" t="str">
        <f>"אלתא מערכות בע""מ"</f>
        <v>אלתא מערכות בע"מ</v>
      </c>
      <c r="I1405" t="str">
        <f>"רחמים זרוק"</f>
        <v>רחמים זרוק</v>
      </c>
      <c r="J1405" t="str">
        <f>"OP-AR02878"</f>
        <v>OP-AR02878</v>
      </c>
      <c r="K1405" s="1" t="str">
        <f>"1023B190-001   WSA127 CABLE ASSY"</f>
        <v>1023B190-001   WSA127 CABLE ASSY</v>
      </c>
      <c r="L1405">
        <v>2</v>
      </c>
      <c r="M1405" t="str">
        <f>"PR21000890"</f>
        <v>PR21000890</v>
      </c>
      <c r="N1405" t="str">
        <f>"1023B187-001"</f>
        <v>1023B187-001</v>
      </c>
      <c r="O1405">
        <v>780.31</v>
      </c>
      <c r="P1405" t="str">
        <f>"$"</f>
        <v>$</v>
      </c>
      <c r="Q1405" t="str">
        <f>"117"</f>
        <v>117</v>
      </c>
      <c r="R1405" t="str">
        <f>"רתמות"</f>
        <v>רתמות</v>
      </c>
      <c r="S1405" t="str">
        <f>"040"</f>
        <v>040</v>
      </c>
      <c r="T1405" t="str">
        <f>"עמר ליגל"</f>
        <v>עמר ליגל</v>
      </c>
      <c r="U1405">
        <v>0</v>
      </c>
      <c r="V1405">
        <v>0</v>
      </c>
      <c r="W1405">
        <v>780.31</v>
      </c>
      <c r="X1405" s="2">
        <v>1560.62</v>
      </c>
      <c r="Z1405" t="str">
        <f>"Y"</f>
        <v>Y</v>
      </c>
      <c r="AA1405">
        <v>0</v>
      </c>
      <c r="AC1405">
        <v>0</v>
      </c>
      <c r="AE1405">
        <v>0</v>
      </c>
      <c r="AF1405">
        <v>0</v>
      </c>
      <c r="AG1405" s="2">
        <v>2412.7199999999998</v>
      </c>
      <c r="AH1405">
        <v>0</v>
      </c>
      <c r="AI1405" s="2">
        <v>4825.4399999999996</v>
      </c>
      <c r="AJ1405" s="2">
        <v>1560.62</v>
      </c>
      <c r="AK1405" s="2">
        <v>1560.62</v>
      </c>
      <c r="AL1405" t="str">
        <f>"$"</f>
        <v>$</v>
      </c>
    </row>
    <row r="1406" spans="1:38" x14ac:dyDescent="0.3">
      <c r="A1406" t="str">
        <f>"SO22000004"</f>
        <v>SO22000004</v>
      </c>
      <c r="B1406" t="str">
        <f>"E000350605"</f>
        <v>E000350605</v>
      </c>
      <c r="C1406" t="str">
        <f>"בוצעה"</f>
        <v>בוצעה</v>
      </c>
      <c r="E1406" s="3">
        <v>44564</v>
      </c>
      <c r="F1406" s="3">
        <v>44711</v>
      </c>
      <c r="G1406" t="str">
        <f>"700065"</f>
        <v>700065</v>
      </c>
      <c r="H1406" t="str">
        <f>"אלתא מערכות בע""מ"</f>
        <v>אלתא מערכות בע"מ</v>
      </c>
      <c r="I1406" t="str">
        <f>"רחמים זרוק"</f>
        <v>רחמים זרוק</v>
      </c>
      <c r="J1406" t="str">
        <f>"OP-AR02879"</f>
        <v>OP-AR02879</v>
      </c>
      <c r="K1406" s="1" t="str">
        <f>"1023B194-001   WSV131 CABLE ASSY"</f>
        <v>1023B194-001   WSV131 CABLE ASSY</v>
      </c>
      <c r="L1406">
        <v>4</v>
      </c>
      <c r="M1406" t="str">
        <f>"PR21000890"</f>
        <v>PR21000890</v>
      </c>
      <c r="N1406" t="str">
        <f>"1023B187-001"</f>
        <v>1023B187-001</v>
      </c>
      <c r="O1406">
        <v>602.48</v>
      </c>
      <c r="P1406" t="str">
        <f>"$"</f>
        <v>$</v>
      </c>
      <c r="Q1406" t="str">
        <f>"117"</f>
        <v>117</v>
      </c>
      <c r="R1406" t="str">
        <f>"רתמות"</f>
        <v>רתמות</v>
      </c>
      <c r="S1406" t="str">
        <f>"040"</f>
        <v>040</v>
      </c>
      <c r="T1406" t="str">
        <f>"עמר ליגל"</f>
        <v>עמר ליגל</v>
      </c>
      <c r="U1406">
        <v>0</v>
      </c>
      <c r="V1406">
        <v>0</v>
      </c>
      <c r="W1406">
        <v>602.48</v>
      </c>
      <c r="X1406" s="2">
        <v>2409.92</v>
      </c>
      <c r="Z1406" t="str">
        <f>"Y"</f>
        <v>Y</v>
      </c>
      <c r="AA1406">
        <v>0</v>
      </c>
      <c r="AC1406">
        <v>0</v>
      </c>
      <c r="AE1406">
        <v>0</v>
      </c>
      <c r="AF1406">
        <v>0</v>
      </c>
      <c r="AG1406" s="2">
        <v>1862.87</v>
      </c>
      <c r="AH1406">
        <v>0</v>
      </c>
      <c r="AI1406" s="2">
        <v>7451.47</v>
      </c>
      <c r="AJ1406" s="2">
        <v>2409.92</v>
      </c>
      <c r="AK1406" s="2">
        <v>2409.92</v>
      </c>
      <c r="AL1406" t="str">
        <f>"$"</f>
        <v>$</v>
      </c>
    </row>
    <row r="1407" spans="1:38" x14ac:dyDescent="0.3">
      <c r="A1407" t="str">
        <f>"SO22000004"</f>
        <v>SO22000004</v>
      </c>
      <c r="B1407" t="str">
        <f>"E000350605"</f>
        <v>E000350605</v>
      </c>
      <c r="C1407" t="str">
        <f>"בוצעה"</f>
        <v>בוצעה</v>
      </c>
      <c r="E1407" s="3">
        <v>44564</v>
      </c>
      <c r="F1407" s="3">
        <v>44711</v>
      </c>
      <c r="G1407" t="str">
        <f>"700065"</f>
        <v>700065</v>
      </c>
      <c r="H1407" t="str">
        <f>"אלתא מערכות בע""מ"</f>
        <v>אלתא מערכות בע"מ</v>
      </c>
      <c r="I1407" t="str">
        <f>"רחמים זרוק"</f>
        <v>רחמים זרוק</v>
      </c>
      <c r="J1407" t="str">
        <f>"OP-AR02880"</f>
        <v>OP-AR02880</v>
      </c>
      <c r="K1407" s="1" t="str">
        <f>"1023B195-001   WSA132 CABLE ASSY"</f>
        <v>1023B195-001   WSA132 CABLE ASSY</v>
      </c>
      <c r="L1407">
        <v>2</v>
      </c>
      <c r="M1407" t="str">
        <f>"PR21000890"</f>
        <v>PR21000890</v>
      </c>
      <c r="N1407" t="str">
        <f>"1023B187-001"</f>
        <v>1023B187-001</v>
      </c>
      <c r="O1407" s="2">
        <v>1105.4100000000001</v>
      </c>
      <c r="P1407" t="str">
        <f>"$"</f>
        <v>$</v>
      </c>
      <c r="Q1407" t="str">
        <f>"117"</f>
        <v>117</v>
      </c>
      <c r="R1407" t="str">
        <f>"רתמות"</f>
        <v>רתמות</v>
      </c>
      <c r="S1407" t="str">
        <f>"040"</f>
        <v>040</v>
      </c>
      <c r="T1407" t="str">
        <f>"עמר ליגל"</f>
        <v>עמר ליגל</v>
      </c>
      <c r="U1407">
        <v>0</v>
      </c>
      <c r="V1407">
        <v>0</v>
      </c>
      <c r="W1407" s="2">
        <v>1105.4100000000001</v>
      </c>
      <c r="X1407" s="2">
        <v>2210.8200000000002</v>
      </c>
      <c r="Z1407" t="str">
        <f>"Y"</f>
        <v>Y</v>
      </c>
      <c r="AA1407">
        <v>0</v>
      </c>
      <c r="AC1407">
        <v>0</v>
      </c>
      <c r="AE1407">
        <v>0</v>
      </c>
      <c r="AF1407">
        <v>0</v>
      </c>
      <c r="AG1407" s="2">
        <v>3417.93</v>
      </c>
      <c r="AH1407">
        <v>0</v>
      </c>
      <c r="AI1407" s="2">
        <v>6835.86</v>
      </c>
      <c r="AJ1407" s="2">
        <v>2210.8200000000002</v>
      </c>
      <c r="AK1407" s="2">
        <v>2210.8200000000002</v>
      </c>
      <c r="AL1407" t="str">
        <f>"$"</f>
        <v>$</v>
      </c>
    </row>
    <row r="1408" spans="1:38" x14ac:dyDescent="0.3">
      <c r="A1408" t="str">
        <f>"SO22000004"</f>
        <v>SO22000004</v>
      </c>
      <c r="B1408" t="str">
        <f>"E000350605"</f>
        <v>E000350605</v>
      </c>
      <c r="C1408" t="str">
        <f>"בוצעה"</f>
        <v>בוצעה</v>
      </c>
      <c r="E1408" s="3">
        <v>44564</v>
      </c>
      <c r="F1408" s="3">
        <v>44711</v>
      </c>
      <c r="G1408" t="str">
        <f>"700065"</f>
        <v>700065</v>
      </c>
      <c r="H1408" t="str">
        <f>"אלתא מערכות בע""מ"</f>
        <v>אלתא מערכות בע"מ</v>
      </c>
      <c r="I1408" t="str">
        <f>"רחמים זרוק"</f>
        <v>רחמים זרוק</v>
      </c>
      <c r="J1408" t="str">
        <f>"OP-AR02881"</f>
        <v>OP-AR02881</v>
      </c>
      <c r="K1408" s="1" t="str">
        <f>"1023B197-001   WSA133 CABLE ASSY"</f>
        <v>1023B197-001   WSA133 CABLE ASSY</v>
      </c>
      <c r="L1408">
        <v>2</v>
      </c>
      <c r="M1408" t="str">
        <f>"PR21000890"</f>
        <v>PR21000890</v>
      </c>
      <c r="N1408" t="str">
        <f>"1023B187-001"</f>
        <v>1023B187-001</v>
      </c>
      <c r="O1408">
        <v>938.53</v>
      </c>
      <c r="P1408" t="str">
        <f>"$"</f>
        <v>$</v>
      </c>
      <c r="Q1408" t="str">
        <f>"117"</f>
        <v>117</v>
      </c>
      <c r="R1408" t="str">
        <f>"רתמות"</f>
        <v>רתמות</v>
      </c>
      <c r="S1408" t="str">
        <f>"040"</f>
        <v>040</v>
      </c>
      <c r="T1408" t="str">
        <f>"עמר ליגל"</f>
        <v>עמר ליגל</v>
      </c>
      <c r="U1408">
        <v>0</v>
      </c>
      <c r="V1408">
        <v>0</v>
      </c>
      <c r="W1408">
        <v>938.53</v>
      </c>
      <c r="X1408" s="2">
        <v>1877.06</v>
      </c>
      <c r="Z1408" t="str">
        <f>"Y"</f>
        <v>Y</v>
      </c>
      <c r="AA1408">
        <v>0</v>
      </c>
      <c r="AC1408">
        <v>0</v>
      </c>
      <c r="AE1408">
        <v>0</v>
      </c>
      <c r="AF1408">
        <v>0</v>
      </c>
      <c r="AG1408" s="2">
        <v>2901.93</v>
      </c>
      <c r="AH1408">
        <v>0</v>
      </c>
      <c r="AI1408" s="2">
        <v>5803.87</v>
      </c>
      <c r="AJ1408" s="2">
        <v>1877.06</v>
      </c>
      <c r="AK1408" s="2">
        <v>1877.06</v>
      </c>
      <c r="AL1408" t="str">
        <f>"$"</f>
        <v>$</v>
      </c>
    </row>
    <row r="1409" spans="1:38" x14ac:dyDescent="0.3">
      <c r="A1409" t="str">
        <f>"SO22000004"</f>
        <v>SO22000004</v>
      </c>
      <c r="B1409" t="str">
        <f>"E000350605"</f>
        <v>E000350605</v>
      </c>
      <c r="C1409" t="str">
        <f>"בוצעה"</f>
        <v>בוצעה</v>
      </c>
      <c r="E1409" s="3">
        <v>44564</v>
      </c>
      <c r="F1409" s="3">
        <v>44711</v>
      </c>
      <c r="G1409" t="str">
        <f>"700065"</f>
        <v>700065</v>
      </c>
      <c r="H1409" t="str">
        <f>"אלתא מערכות בע""מ"</f>
        <v>אלתא מערכות בע"מ</v>
      </c>
      <c r="I1409" t="str">
        <f>"רחמים זרוק"</f>
        <v>רחמים זרוק</v>
      </c>
      <c r="J1409" t="str">
        <f>"OP-AR02882"</f>
        <v>OP-AR02882</v>
      </c>
      <c r="K1409" s="1" t="str">
        <f>"1023B198-001   WSA134 CABLE ASSY"</f>
        <v>1023B198-001   WSA134 CABLE ASSY</v>
      </c>
      <c r="L1409">
        <v>2</v>
      </c>
      <c r="M1409" t="str">
        <f>"PR21000890"</f>
        <v>PR21000890</v>
      </c>
      <c r="N1409" t="str">
        <f>"1023B187-001"</f>
        <v>1023B187-001</v>
      </c>
      <c r="O1409">
        <v>972.36</v>
      </c>
      <c r="P1409" t="str">
        <f>"$"</f>
        <v>$</v>
      </c>
      <c r="Q1409" t="str">
        <f>"117"</f>
        <v>117</v>
      </c>
      <c r="R1409" t="str">
        <f>"רתמות"</f>
        <v>רתמות</v>
      </c>
      <c r="S1409" t="str">
        <f>"040"</f>
        <v>040</v>
      </c>
      <c r="T1409" t="str">
        <f>"עמר ליגל"</f>
        <v>עמר ליגל</v>
      </c>
      <c r="U1409">
        <v>0</v>
      </c>
      <c r="V1409">
        <v>0</v>
      </c>
      <c r="W1409">
        <v>972.36</v>
      </c>
      <c r="X1409" s="2">
        <v>1944.72</v>
      </c>
      <c r="Z1409" t="str">
        <f>"Y"</f>
        <v>Y</v>
      </c>
      <c r="AA1409">
        <v>0</v>
      </c>
      <c r="AC1409">
        <v>0</v>
      </c>
      <c r="AE1409">
        <v>0</v>
      </c>
      <c r="AF1409">
        <v>0</v>
      </c>
      <c r="AG1409" s="2">
        <v>3006.54</v>
      </c>
      <c r="AH1409">
        <v>0</v>
      </c>
      <c r="AI1409" s="2">
        <v>6013.07</v>
      </c>
      <c r="AJ1409" s="2">
        <v>1944.72</v>
      </c>
      <c r="AK1409" s="2">
        <v>1944.72</v>
      </c>
      <c r="AL1409" t="str">
        <f>"$"</f>
        <v>$</v>
      </c>
    </row>
    <row r="1410" spans="1:38" x14ac:dyDescent="0.3">
      <c r="A1410" t="str">
        <f>"SO22000004"</f>
        <v>SO22000004</v>
      </c>
      <c r="B1410" t="str">
        <f>"E000350605"</f>
        <v>E000350605</v>
      </c>
      <c r="C1410" t="str">
        <f>"בוצעה"</f>
        <v>בוצעה</v>
      </c>
      <c r="E1410" s="3">
        <v>44564</v>
      </c>
      <c r="F1410" s="3">
        <v>44711</v>
      </c>
      <c r="G1410" t="str">
        <f>"700065"</f>
        <v>700065</v>
      </c>
      <c r="H1410" t="str">
        <f>"אלתא מערכות בע""מ"</f>
        <v>אלתא מערכות בע"מ</v>
      </c>
      <c r="I1410" t="str">
        <f>"רחמים זרוק"</f>
        <v>רחמים זרוק</v>
      </c>
      <c r="J1410" t="str">
        <f>"OP-AR02883"</f>
        <v>OP-AR02883</v>
      </c>
      <c r="K1410" s="1" t="str">
        <f>"1023B436-001   WSA109 CABLE ASSY"</f>
        <v>1023B436-001   WSA109 CABLE ASSY</v>
      </c>
      <c r="L1410">
        <v>2</v>
      </c>
      <c r="M1410" t="str">
        <f>"PR21000890"</f>
        <v>PR21000890</v>
      </c>
      <c r="N1410" t="str">
        <f>"1023B187-001"</f>
        <v>1023B187-001</v>
      </c>
      <c r="O1410">
        <v>362.75</v>
      </c>
      <c r="P1410" t="str">
        <f>"$"</f>
        <v>$</v>
      </c>
      <c r="Q1410" t="str">
        <f>"117"</f>
        <v>117</v>
      </c>
      <c r="R1410" t="str">
        <f>"רתמות"</f>
        <v>רתמות</v>
      </c>
      <c r="S1410" t="str">
        <f>"040"</f>
        <v>040</v>
      </c>
      <c r="T1410" t="str">
        <f>"עמר ליגל"</f>
        <v>עמר ליגל</v>
      </c>
      <c r="U1410">
        <v>0</v>
      </c>
      <c r="V1410">
        <v>0</v>
      </c>
      <c r="W1410">
        <v>362.75</v>
      </c>
      <c r="X1410">
        <v>725.5</v>
      </c>
      <c r="Z1410" t="str">
        <f>"Y"</f>
        <v>Y</v>
      </c>
      <c r="AA1410">
        <v>0</v>
      </c>
      <c r="AC1410">
        <v>0</v>
      </c>
      <c r="AE1410">
        <v>0</v>
      </c>
      <c r="AF1410">
        <v>0</v>
      </c>
      <c r="AG1410" s="2">
        <v>1121.6199999999999</v>
      </c>
      <c r="AH1410">
        <v>0</v>
      </c>
      <c r="AI1410" s="2">
        <v>2243.25</v>
      </c>
      <c r="AJ1410">
        <v>725.5</v>
      </c>
      <c r="AK1410">
        <v>725.5</v>
      </c>
      <c r="AL1410" t="str">
        <f>"$"</f>
        <v>$</v>
      </c>
    </row>
    <row r="1411" spans="1:38" x14ac:dyDescent="0.3">
      <c r="A1411" t="str">
        <f>"SO22000004"</f>
        <v>SO22000004</v>
      </c>
      <c r="B1411" t="str">
        <f>"E000350605"</f>
        <v>E000350605</v>
      </c>
      <c r="C1411" t="str">
        <f>"בוצעה"</f>
        <v>בוצעה</v>
      </c>
      <c r="E1411" s="3">
        <v>44564</v>
      </c>
      <c r="F1411" s="3">
        <v>44711</v>
      </c>
      <c r="G1411" t="str">
        <f>"700065"</f>
        <v>700065</v>
      </c>
      <c r="H1411" t="str">
        <f>"אלתא מערכות בע""מ"</f>
        <v>אלתא מערכות בע"מ</v>
      </c>
      <c r="I1411" t="str">
        <f>"רחמים זרוק"</f>
        <v>רחמים זרוק</v>
      </c>
      <c r="J1411" t="str">
        <f>"OP-AR02884"</f>
        <v>OP-AR02884</v>
      </c>
      <c r="K1411" s="1" t="str">
        <f>"1023B440-001   WSA113 CABLE ASSY"</f>
        <v>1023B440-001   WSA113 CABLE ASSY</v>
      </c>
      <c r="L1411">
        <v>2</v>
      </c>
      <c r="M1411" t="str">
        <f>"PR21000890"</f>
        <v>PR21000890</v>
      </c>
      <c r="N1411" t="str">
        <f>"1023B187-001"</f>
        <v>1023B187-001</v>
      </c>
      <c r="O1411" s="2">
        <v>1021.14</v>
      </c>
      <c r="P1411" t="str">
        <f>"$"</f>
        <v>$</v>
      </c>
      <c r="Q1411" t="str">
        <f>"117"</f>
        <v>117</v>
      </c>
      <c r="R1411" t="str">
        <f>"רתמות"</f>
        <v>רתמות</v>
      </c>
      <c r="S1411" t="str">
        <f>"040"</f>
        <v>040</v>
      </c>
      <c r="T1411" t="str">
        <f>"עמר ליגל"</f>
        <v>עמר ליגל</v>
      </c>
      <c r="U1411">
        <v>0</v>
      </c>
      <c r="V1411">
        <v>0</v>
      </c>
      <c r="W1411" s="2">
        <v>1021.14</v>
      </c>
      <c r="X1411" s="2">
        <v>2042.28</v>
      </c>
      <c r="Z1411" t="str">
        <f>"Y"</f>
        <v>Y</v>
      </c>
      <c r="AA1411">
        <v>0</v>
      </c>
      <c r="AC1411">
        <v>0</v>
      </c>
      <c r="AE1411">
        <v>0</v>
      </c>
      <c r="AF1411">
        <v>0</v>
      </c>
      <c r="AG1411" s="2">
        <v>3157.36</v>
      </c>
      <c r="AH1411">
        <v>0</v>
      </c>
      <c r="AI1411" s="2">
        <v>6314.73</v>
      </c>
      <c r="AJ1411" s="2">
        <v>2042.28</v>
      </c>
      <c r="AK1411" s="2">
        <v>2042.28</v>
      </c>
      <c r="AL1411" t="str">
        <f>"$"</f>
        <v>$</v>
      </c>
    </row>
    <row r="1412" spans="1:38" x14ac:dyDescent="0.3">
      <c r="A1412" t="str">
        <f>"SO22000004"</f>
        <v>SO22000004</v>
      </c>
      <c r="B1412" t="str">
        <f>"E000350605"</f>
        <v>E000350605</v>
      </c>
      <c r="C1412" t="str">
        <f>"בוצעה"</f>
        <v>בוצעה</v>
      </c>
      <c r="E1412" s="3">
        <v>44564</v>
      </c>
      <c r="F1412" s="3">
        <v>44711</v>
      </c>
      <c r="G1412" t="str">
        <f>"700065"</f>
        <v>700065</v>
      </c>
      <c r="H1412" t="str">
        <f>"אלתא מערכות בע""מ"</f>
        <v>אלתא מערכות בע"מ</v>
      </c>
      <c r="I1412" t="str">
        <f>"רחמים זרוק"</f>
        <v>רחמים זרוק</v>
      </c>
      <c r="J1412" t="str">
        <f>"OP-AR02885"</f>
        <v>OP-AR02885</v>
      </c>
      <c r="K1412" s="1" t="str">
        <f>"1023B447-001   WSA118 CABLE ASSY"</f>
        <v>1023B447-001   WSA118 CABLE ASSY</v>
      </c>
      <c r="L1412">
        <v>2</v>
      </c>
      <c r="M1412" t="str">
        <f>"PR21000890"</f>
        <v>PR21000890</v>
      </c>
      <c r="N1412" t="str">
        <f>"1023B187-001"</f>
        <v>1023B187-001</v>
      </c>
      <c r="O1412" s="2">
        <v>1044.23</v>
      </c>
      <c r="P1412" t="str">
        <f>"$"</f>
        <v>$</v>
      </c>
      <c r="Q1412" t="str">
        <f>"117"</f>
        <v>117</v>
      </c>
      <c r="R1412" t="str">
        <f>"רתמות"</f>
        <v>רתמות</v>
      </c>
      <c r="S1412" t="str">
        <f>"040"</f>
        <v>040</v>
      </c>
      <c r="T1412" t="str">
        <f>"עמר ליגל"</f>
        <v>עמר ליגל</v>
      </c>
      <c r="U1412">
        <v>0</v>
      </c>
      <c r="V1412">
        <v>0</v>
      </c>
      <c r="W1412" s="2">
        <v>1044.23</v>
      </c>
      <c r="X1412" s="2">
        <v>2088.46</v>
      </c>
      <c r="Z1412" t="str">
        <f>"Y"</f>
        <v>Y</v>
      </c>
      <c r="AA1412">
        <v>0</v>
      </c>
      <c r="AC1412">
        <v>0</v>
      </c>
      <c r="AE1412">
        <v>0</v>
      </c>
      <c r="AF1412">
        <v>0</v>
      </c>
      <c r="AG1412" s="2">
        <v>3228.76</v>
      </c>
      <c r="AH1412">
        <v>0</v>
      </c>
      <c r="AI1412" s="2">
        <v>6457.52</v>
      </c>
      <c r="AJ1412" s="2">
        <v>2088.46</v>
      </c>
      <c r="AK1412" s="2">
        <v>2088.46</v>
      </c>
      <c r="AL1412" t="str">
        <f>"$"</f>
        <v>$</v>
      </c>
    </row>
    <row r="1413" spans="1:38" x14ac:dyDescent="0.3">
      <c r="A1413" t="str">
        <f>"SO22000004"</f>
        <v>SO22000004</v>
      </c>
      <c r="B1413" t="str">
        <f>"E000350605"</f>
        <v>E000350605</v>
      </c>
      <c r="C1413" t="str">
        <f>"בוצעה"</f>
        <v>בוצעה</v>
      </c>
      <c r="E1413" s="3">
        <v>44564</v>
      </c>
      <c r="F1413" s="3">
        <v>44713</v>
      </c>
      <c r="G1413" t="str">
        <f>"700065"</f>
        <v>700065</v>
      </c>
      <c r="H1413" t="str">
        <f>"אלתא מערכות בע""מ"</f>
        <v>אלתא מערכות בע"מ</v>
      </c>
      <c r="I1413" t="str">
        <f>"רחמים זרוק"</f>
        <v>רחמים זרוק</v>
      </c>
      <c r="J1413" t="str">
        <f>"OP-AR02875"</f>
        <v>OP-AR02875</v>
      </c>
      <c r="K1413" s="1" t="str">
        <f>"1023B163-001   WA163 POWER SUPPLY TO BFU"</f>
        <v>1023B163-001   WA163 POWER SUPPLY TO BFU</v>
      </c>
      <c r="L1413">
        <v>2</v>
      </c>
      <c r="M1413" t="str">
        <f>"PR21000890"</f>
        <v>PR21000890</v>
      </c>
      <c r="N1413" t="str">
        <f>"1023B187-001"</f>
        <v>1023B187-001</v>
      </c>
      <c r="O1413">
        <v>594.04999999999995</v>
      </c>
      <c r="P1413" t="str">
        <f>"$"</f>
        <v>$</v>
      </c>
      <c r="Q1413" t="str">
        <f>"117"</f>
        <v>117</v>
      </c>
      <c r="R1413" t="str">
        <f>"רתמות"</f>
        <v>רתמות</v>
      </c>
      <c r="S1413" t="str">
        <f>"040"</f>
        <v>040</v>
      </c>
      <c r="T1413" t="str">
        <f>"עמר ליגל"</f>
        <v>עמר ליגל</v>
      </c>
      <c r="U1413">
        <v>0</v>
      </c>
      <c r="V1413">
        <v>0</v>
      </c>
      <c r="W1413">
        <v>594.04999999999995</v>
      </c>
      <c r="X1413" s="2">
        <v>1188.0999999999999</v>
      </c>
      <c r="Z1413" t="str">
        <f>"Y"</f>
        <v>Y</v>
      </c>
      <c r="AA1413">
        <v>0</v>
      </c>
      <c r="AC1413">
        <v>0</v>
      </c>
      <c r="AE1413">
        <v>0</v>
      </c>
      <c r="AF1413">
        <v>0</v>
      </c>
      <c r="AG1413" s="2">
        <v>1836.8</v>
      </c>
      <c r="AH1413">
        <v>0</v>
      </c>
      <c r="AI1413" s="2">
        <v>3673.61</v>
      </c>
      <c r="AJ1413" s="2">
        <v>1188.0999999999999</v>
      </c>
      <c r="AK1413" s="2">
        <v>1188.0999999999999</v>
      </c>
      <c r="AL1413" t="str">
        <f>"$"</f>
        <v>$</v>
      </c>
    </row>
    <row r="1414" spans="1:38" x14ac:dyDescent="0.3">
      <c r="A1414" t="str">
        <f>"SO22000004"</f>
        <v>SO22000004</v>
      </c>
      <c r="B1414" t="str">
        <f>"E000350605"</f>
        <v>E000350605</v>
      </c>
      <c r="C1414" t="str">
        <f>"בוצעה"</f>
        <v>בוצעה</v>
      </c>
      <c r="E1414" s="3">
        <v>44564</v>
      </c>
      <c r="F1414" s="3">
        <v>44711</v>
      </c>
      <c r="G1414" t="str">
        <f>"700065"</f>
        <v>700065</v>
      </c>
      <c r="H1414" t="str">
        <f>"אלתא מערכות בע""מ"</f>
        <v>אלתא מערכות בע"מ</v>
      </c>
      <c r="I1414" t="str">
        <f>"רחמים זרוק"</f>
        <v>רחמים זרוק</v>
      </c>
      <c r="J1414" t="str">
        <f>"OP-AR02886"</f>
        <v>OP-AR02886</v>
      </c>
      <c r="K1414" s="1" t="str">
        <f>"1023F311-001   WZ001 IFF EXT POWER"</f>
        <v>1023F311-001   WZ001 IFF EXT POWER</v>
      </c>
      <c r="L1414">
        <v>2</v>
      </c>
      <c r="M1414" t="str">
        <f>"PR21000890"</f>
        <v>PR21000890</v>
      </c>
      <c r="N1414" t="str">
        <f>"1023B187-001"</f>
        <v>1023B187-001</v>
      </c>
      <c r="O1414">
        <v>349.57</v>
      </c>
      <c r="P1414" t="str">
        <f>"$"</f>
        <v>$</v>
      </c>
      <c r="Q1414" t="str">
        <f>"117"</f>
        <v>117</v>
      </c>
      <c r="R1414" t="str">
        <f>"רתמות"</f>
        <v>רתמות</v>
      </c>
      <c r="S1414" t="str">
        <f>"040"</f>
        <v>040</v>
      </c>
      <c r="T1414" t="str">
        <f>"עמר ליגל"</f>
        <v>עמר ליגל</v>
      </c>
      <c r="U1414">
        <v>0</v>
      </c>
      <c r="V1414">
        <v>0</v>
      </c>
      <c r="W1414">
        <v>349.57</v>
      </c>
      <c r="X1414">
        <v>699.14</v>
      </c>
      <c r="Z1414" t="str">
        <f>"Y"</f>
        <v>Y</v>
      </c>
      <c r="AA1414">
        <v>0</v>
      </c>
      <c r="AC1414">
        <v>0</v>
      </c>
      <c r="AE1414">
        <v>0</v>
      </c>
      <c r="AF1414">
        <v>0</v>
      </c>
      <c r="AG1414" s="2">
        <v>1080.8699999999999</v>
      </c>
      <c r="AH1414">
        <v>0</v>
      </c>
      <c r="AI1414" s="2">
        <v>2161.7399999999998</v>
      </c>
      <c r="AJ1414">
        <v>699.14</v>
      </c>
      <c r="AK1414">
        <v>699.14</v>
      </c>
      <c r="AL1414" t="str">
        <f>"$"</f>
        <v>$</v>
      </c>
    </row>
    <row r="1415" spans="1:38" x14ac:dyDescent="0.3">
      <c r="A1415" t="str">
        <f>"SO22000004"</f>
        <v>SO22000004</v>
      </c>
      <c r="B1415" t="str">
        <f>"E000350605"</f>
        <v>E000350605</v>
      </c>
      <c r="C1415" t="str">
        <f>"בוצעה"</f>
        <v>בוצעה</v>
      </c>
      <c r="E1415" s="3">
        <v>44564</v>
      </c>
      <c r="F1415" s="3">
        <v>44711</v>
      </c>
      <c r="G1415" t="str">
        <f>"700065"</f>
        <v>700065</v>
      </c>
      <c r="H1415" t="str">
        <f>"אלתא מערכות בע""מ"</f>
        <v>אלתא מערכות בע"מ</v>
      </c>
      <c r="I1415" t="str">
        <f>"רחמים זרוק"</f>
        <v>רחמים זרוק</v>
      </c>
      <c r="J1415" t="str">
        <f>"OP-AR02887"</f>
        <v>OP-AR02887</v>
      </c>
      <c r="K1415" s="1" t="str">
        <f>"1023F312-001   WZ002 IFF EXT CONTROL"</f>
        <v>1023F312-001   WZ002 IFF EXT CONTROL</v>
      </c>
      <c r="L1415">
        <v>2</v>
      </c>
      <c r="M1415" t="str">
        <f>"PR21000890"</f>
        <v>PR21000890</v>
      </c>
      <c r="N1415" t="str">
        <f>"1023B187-001"</f>
        <v>1023B187-001</v>
      </c>
      <c r="O1415">
        <v>399.93</v>
      </c>
      <c r="P1415" t="str">
        <f>"$"</f>
        <v>$</v>
      </c>
      <c r="Q1415" t="str">
        <f>"117"</f>
        <v>117</v>
      </c>
      <c r="R1415" t="str">
        <f>"רתמות"</f>
        <v>רתמות</v>
      </c>
      <c r="S1415" t="str">
        <f>"040"</f>
        <v>040</v>
      </c>
      <c r="T1415" t="str">
        <f>"עמר ליגל"</f>
        <v>עמר ליגל</v>
      </c>
      <c r="U1415">
        <v>0</v>
      </c>
      <c r="V1415">
        <v>0</v>
      </c>
      <c r="W1415">
        <v>399.93</v>
      </c>
      <c r="X1415">
        <v>799.86</v>
      </c>
      <c r="Z1415" t="str">
        <f>"Y"</f>
        <v>Y</v>
      </c>
      <c r="AA1415">
        <v>0</v>
      </c>
      <c r="AC1415">
        <v>0</v>
      </c>
      <c r="AE1415">
        <v>0</v>
      </c>
      <c r="AF1415">
        <v>0</v>
      </c>
      <c r="AG1415" s="2">
        <v>1236.58</v>
      </c>
      <c r="AH1415">
        <v>0</v>
      </c>
      <c r="AI1415" s="2">
        <v>2473.17</v>
      </c>
      <c r="AJ1415">
        <v>799.86</v>
      </c>
      <c r="AK1415">
        <v>799.86</v>
      </c>
      <c r="AL1415" t="str">
        <f>"$"</f>
        <v>$</v>
      </c>
    </row>
    <row r="1416" spans="1:38" x14ac:dyDescent="0.3">
      <c r="A1416" t="str">
        <f>"SO22000004"</f>
        <v>SO22000004</v>
      </c>
      <c r="B1416" t="str">
        <f>"E000350605"</f>
        <v>E000350605</v>
      </c>
      <c r="C1416" t="str">
        <f>"בוצעה"</f>
        <v>בוצעה</v>
      </c>
      <c r="E1416" s="3">
        <v>44564</v>
      </c>
      <c r="F1416" s="3">
        <v>44711</v>
      </c>
      <c r="G1416" t="str">
        <f>"700065"</f>
        <v>700065</v>
      </c>
      <c r="H1416" t="str">
        <f>"אלתא מערכות בע""מ"</f>
        <v>אלתא מערכות בע"מ</v>
      </c>
      <c r="I1416" t="str">
        <f>"רחמים זרוק"</f>
        <v>רחמים זרוק</v>
      </c>
      <c r="J1416" t="str">
        <f>"OP-AR02888"</f>
        <v>OP-AR02888</v>
      </c>
      <c r="K1416" s="1" t="str">
        <f>"1023F313-001   WZ003 IFF INT POWER AND CONTROL"</f>
        <v>1023F313-001   WZ003 IFF INT POWER AND CONTROL</v>
      </c>
      <c r="L1416">
        <v>2</v>
      </c>
      <c r="M1416" t="str">
        <f>"PR21000890"</f>
        <v>PR21000890</v>
      </c>
      <c r="N1416" t="str">
        <f>"1023B187-001"</f>
        <v>1023B187-001</v>
      </c>
      <c r="O1416">
        <v>827.32</v>
      </c>
      <c r="P1416" t="str">
        <f>"$"</f>
        <v>$</v>
      </c>
      <c r="Q1416" t="str">
        <f>"117"</f>
        <v>117</v>
      </c>
      <c r="R1416" t="str">
        <f>"רתמות"</f>
        <v>רתמות</v>
      </c>
      <c r="S1416" t="str">
        <f>"040"</f>
        <v>040</v>
      </c>
      <c r="T1416" t="str">
        <f>"עמר ליגל"</f>
        <v>עמר ליגל</v>
      </c>
      <c r="U1416">
        <v>0</v>
      </c>
      <c r="V1416">
        <v>0</v>
      </c>
      <c r="W1416">
        <v>827.32</v>
      </c>
      <c r="X1416" s="2">
        <v>1654.64</v>
      </c>
      <c r="Z1416" t="str">
        <f>"Y"</f>
        <v>Y</v>
      </c>
      <c r="AA1416">
        <v>0</v>
      </c>
      <c r="AC1416">
        <v>0</v>
      </c>
      <c r="AE1416">
        <v>0</v>
      </c>
      <c r="AF1416">
        <v>0</v>
      </c>
      <c r="AG1416" s="2">
        <v>2558.0700000000002</v>
      </c>
      <c r="AH1416">
        <v>0</v>
      </c>
      <c r="AI1416" s="2">
        <v>5116.1499999999996</v>
      </c>
      <c r="AJ1416" s="2">
        <v>1654.64</v>
      </c>
      <c r="AK1416" s="2">
        <v>1654.64</v>
      </c>
      <c r="AL1416" t="str">
        <f>"$"</f>
        <v>$</v>
      </c>
    </row>
    <row r="1417" spans="1:38" x14ac:dyDescent="0.3">
      <c r="A1417" t="str">
        <f>"SO22000004"</f>
        <v>SO22000004</v>
      </c>
      <c r="B1417" t="str">
        <f>"E000350605"</f>
        <v>E000350605</v>
      </c>
      <c r="C1417" t="str">
        <f>"בוצעה"</f>
        <v>בוצעה</v>
      </c>
      <c r="E1417" s="3">
        <v>44564</v>
      </c>
      <c r="F1417" s="3">
        <v>44711</v>
      </c>
      <c r="G1417" t="str">
        <f>"700065"</f>
        <v>700065</v>
      </c>
      <c r="H1417" t="str">
        <f>"אלתא מערכות בע""מ"</f>
        <v>אלתא מערכות בע"מ</v>
      </c>
      <c r="I1417" t="str">
        <f>"רחמים זרוק"</f>
        <v>רחמים זרוק</v>
      </c>
      <c r="J1417" t="str">
        <f>"OP-AR02889"</f>
        <v>OP-AR02889</v>
      </c>
      <c r="K1417" s="1" t="str">
        <f>"1023F915-001   WEXT15 PWR LRC SHELTER TO IFF SYS"</f>
        <v>1023F915-001   WEXT15 PWR LRC SHELTER TO IFF SYS</v>
      </c>
      <c r="L1417">
        <v>1</v>
      </c>
      <c r="M1417" t="str">
        <f>"PR21000890"</f>
        <v>PR21000890</v>
      </c>
      <c r="N1417" t="str">
        <f>"1023B187-001"</f>
        <v>1023B187-001</v>
      </c>
      <c r="O1417" s="2">
        <v>5961.94</v>
      </c>
      <c r="P1417" t="str">
        <f>"$"</f>
        <v>$</v>
      </c>
      <c r="Q1417" t="str">
        <f>"117"</f>
        <v>117</v>
      </c>
      <c r="R1417" t="str">
        <f>"רתמות"</f>
        <v>רתמות</v>
      </c>
      <c r="S1417" t="str">
        <f>"040"</f>
        <v>040</v>
      </c>
      <c r="T1417" t="str">
        <f>"עמר ליגל"</f>
        <v>עמר ליגל</v>
      </c>
      <c r="U1417">
        <v>0</v>
      </c>
      <c r="V1417">
        <v>0</v>
      </c>
      <c r="W1417" s="2">
        <v>5961.94</v>
      </c>
      <c r="X1417" s="2">
        <v>5961.94</v>
      </c>
      <c r="Z1417" t="str">
        <f>"Y"</f>
        <v>Y</v>
      </c>
      <c r="AA1417">
        <v>0</v>
      </c>
      <c r="AC1417">
        <v>0</v>
      </c>
      <c r="AE1417">
        <v>0</v>
      </c>
      <c r="AF1417">
        <v>0</v>
      </c>
      <c r="AG1417" s="2">
        <v>18434.32</v>
      </c>
      <c r="AH1417">
        <v>0</v>
      </c>
      <c r="AI1417" s="2">
        <v>18434.32</v>
      </c>
      <c r="AJ1417" s="2">
        <v>5961.94</v>
      </c>
      <c r="AK1417" s="2">
        <v>5961.94</v>
      </c>
      <c r="AL1417" t="str">
        <f>"$"</f>
        <v>$</v>
      </c>
    </row>
    <row r="1418" spans="1:38" x14ac:dyDescent="0.3">
      <c r="A1418" t="str">
        <f>"SO22000004"</f>
        <v>SO22000004</v>
      </c>
      <c r="B1418" t="str">
        <f>"E000350605"</f>
        <v>E000350605</v>
      </c>
      <c r="C1418" t="str">
        <f>"בוצעה"</f>
        <v>בוצעה</v>
      </c>
      <c r="E1418" s="3">
        <v>44564</v>
      </c>
      <c r="F1418" s="3">
        <v>44711</v>
      </c>
      <c r="G1418" t="str">
        <f>"700065"</f>
        <v>700065</v>
      </c>
      <c r="H1418" t="str">
        <f>"אלתא מערכות בע""מ"</f>
        <v>אלתא מערכות בע"מ</v>
      </c>
      <c r="I1418" t="str">
        <f>"רחמים זרוק"</f>
        <v>רחמים זרוק</v>
      </c>
      <c r="J1418" t="str">
        <f>"OP-AR02890"</f>
        <v>OP-AR02890</v>
      </c>
      <c r="K1418" s="1" t="str">
        <f>"1023F916-001   WEXT16 CTRL LRC SHELTER TO IFF SYS"</f>
        <v>1023F916-001   WEXT16 CTRL LRC SHELTER TO IFF SYS</v>
      </c>
      <c r="L1418">
        <v>1</v>
      </c>
      <c r="M1418" t="str">
        <f>"PR21000890"</f>
        <v>PR21000890</v>
      </c>
      <c r="N1418" t="str">
        <f>"1023B187-001"</f>
        <v>1023B187-001</v>
      </c>
      <c r="O1418" s="2">
        <v>5018.51</v>
      </c>
      <c r="P1418" t="str">
        <f>"$"</f>
        <v>$</v>
      </c>
      <c r="Q1418" t="str">
        <f>"117"</f>
        <v>117</v>
      </c>
      <c r="R1418" t="str">
        <f>"רתמות"</f>
        <v>רתמות</v>
      </c>
      <c r="S1418" t="str">
        <f>"040"</f>
        <v>040</v>
      </c>
      <c r="T1418" t="str">
        <f>"עמר ליגל"</f>
        <v>עמר ליגל</v>
      </c>
      <c r="U1418">
        <v>0</v>
      </c>
      <c r="V1418">
        <v>0</v>
      </c>
      <c r="W1418" s="2">
        <v>5018.51</v>
      </c>
      <c r="X1418" s="2">
        <v>5018.51</v>
      </c>
      <c r="Z1418" t="str">
        <f>"Y"</f>
        <v>Y</v>
      </c>
      <c r="AA1418">
        <v>0</v>
      </c>
      <c r="AC1418">
        <v>0</v>
      </c>
      <c r="AE1418">
        <v>0</v>
      </c>
      <c r="AF1418">
        <v>0</v>
      </c>
      <c r="AG1418" s="2">
        <v>15517.23</v>
      </c>
      <c r="AH1418">
        <v>0</v>
      </c>
      <c r="AI1418" s="2">
        <v>15517.23</v>
      </c>
      <c r="AJ1418" s="2">
        <v>5018.51</v>
      </c>
      <c r="AK1418" s="2">
        <v>5018.51</v>
      </c>
      <c r="AL1418" t="str">
        <f>"$"</f>
        <v>$</v>
      </c>
    </row>
    <row r="1419" spans="1:38" x14ac:dyDescent="0.3">
      <c r="A1419" t="str">
        <f>"SO22000005"</f>
        <v>SO22000005</v>
      </c>
      <c r="B1419" t="str">
        <f>"E000353937"</f>
        <v>E000353937</v>
      </c>
      <c r="C1419" t="str">
        <f>"בוצעה"</f>
        <v>בוצעה</v>
      </c>
      <c r="E1419" s="3">
        <v>44565</v>
      </c>
      <c r="F1419" s="3">
        <v>44803</v>
      </c>
      <c r="G1419" t="str">
        <f>"700065"</f>
        <v>700065</v>
      </c>
      <c r="H1419" t="str">
        <f>"אלתא מערכות בע""מ"</f>
        <v>אלתא מערכות בע"מ</v>
      </c>
      <c r="I1419" t="str">
        <f>"ערן שלו"</f>
        <v>ערן שלו</v>
      </c>
      <c r="J1419" t="str">
        <f>"999"</f>
        <v>999</v>
      </c>
      <c r="K1419" s="1" t="str">
        <f>"תוספת עבור FLATPACK+RDST"</f>
        <v>תוספת עבור FLATPACK+RDST</v>
      </c>
      <c r="L1419">
        <v>1</v>
      </c>
      <c r="M1419" t="str">
        <f>"PR20000358"</f>
        <v>PR20000358</v>
      </c>
      <c r="N1419" t="str">
        <f>"הזמנת קרונות RPU לצ'כיה"</f>
        <v>הזמנת קרונות RPU לצ'כיה</v>
      </c>
      <c r="O1419" s="2">
        <v>45088</v>
      </c>
      <c r="P1419" t="str">
        <f>"$"</f>
        <v>$</v>
      </c>
      <c r="Q1419" t="str">
        <f>"119"</f>
        <v>119</v>
      </c>
      <c r="R1419" t="str">
        <f>"פלטפורמות"</f>
        <v>פלטפורמות</v>
      </c>
      <c r="S1419" t="str">
        <f>"034"</f>
        <v>034</v>
      </c>
      <c r="T1419" t="str">
        <f>"עמר ליגל"</f>
        <v>עמר ליגל</v>
      </c>
      <c r="U1419">
        <v>0</v>
      </c>
      <c r="V1419">
        <v>0</v>
      </c>
      <c r="W1419" s="2">
        <v>45088</v>
      </c>
      <c r="X1419" s="2">
        <v>45088</v>
      </c>
      <c r="Z1419" t="str">
        <f>"Y"</f>
        <v>Y</v>
      </c>
      <c r="AA1419">
        <v>1</v>
      </c>
      <c r="AC1419">
        <v>0</v>
      </c>
      <c r="AE1419">
        <v>0</v>
      </c>
      <c r="AF1419">
        <v>0</v>
      </c>
      <c r="AG1419" s="2">
        <v>139502.26999999999</v>
      </c>
      <c r="AH1419">
        <v>0</v>
      </c>
      <c r="AI1419" s="2">
        <v>139502.26999999999</v>
      </c>
      <c r="AJ1419" s="2">
        <v>45088</v>
      </c>
      <c r="AK1419" s="2">
        <v>45088</v>
      </c>
      <c r="AL1419" t="str">
        <f>"$"</f>
        <v>$</v>
      </c>
    </row>
    <row r="1420" spans="1:38" x14ac:dyDescent="0.3">
      <c r="A1420" t="str">
        <f>"SO22000006"</f>
        <v>SO22000006</v>
      </c>
      <c r="B1420" t="str">
        <f>"E000352407"</f>
        <v>E000352407</v>
      </c>
      <c r="C1420" t="str">
        <f>"בוצעה"</f>
        <v>בוצעה</v>
      </c>
      <c r="E1420" s="3">
        <v>44565</v>
      </c>
      <c r="F1420" s="3">
        <v>44696</v>
      </c>
      <c r="G1420" t="str">
        <f>"700065"</f>
        <v>700065</v>
      </c>
      <c r="H1420" t="str">
        <f>"אלתא מערכות בע""מ"</f>
        <v>אלתא מערכות בע"מ</v>
      </c>
      <c r="I1420" t="str">
        <f>"רחמים זרוק"</f>
        <v>רחמים זרוק</v>
      </c>
      <c r="J1420" t="str">
        <f>"OP-AR02892"</f>
        <v>OP-AR02892</v>
      </c>
      <c r="K1420" s="1" t="str">
        <f>"1026L852-002    CABLE W2"</f>
        <v>1026L852-002    CABLE W2</v>
      </c>
      <c r="L1420">
        <v>1</v>
      </c>
      <c r="M1420" t="str">
        <f>"PR21000891"</f>
        <v>PR21000891</v>
      </c>
      <c r="N1420" t="str">
        <f>"CABLE W2"</f>
        <v>CABLE W2</v>
      </c>
      <c r="O1420" s="2">
        <v>1438.57</v>
      </c>
      <c r="P1420" t="str">
        <f>"$"</f>
        <v>$</v>
      </c>
      <c r="Q1420" t="str">
        <f>"117"</f>
        <v>117</v>
      </c>
      <c r="R1420" t="str">
        <f>"רתמות"</f>
        <v>רתמות</v>
      </c>
      <c r="S1420" t="str">
        <f>"040"</f>
        <v>040</v>
      </c>
      <c r="T1420" t="str">
        <f>"עמר ליגל"</f>
        <v>עמר ליגל</v>
      </c>
      <c r="U1420">
        <v>0</v>
      </c>
      <c r="V1420">
        <v>0</v>
      </c>
      <c r="W1420" s="2">
        <v>1438.57</v>
      </c>
      <c r="X1420" s="2">
        <v>1438.57</v>
      </c>
      <c r="Z1420" t="str">
        <f>"Y"</f>
        <v>Y</v>
      </c>
      <c r="AA1420">
        <v>0</v>
      </c>
      <c r="AC1420">
        <v>0</v>
      </c>
      <c r="AE1420">
        <v>0</v>
      </c>
      <c r="AF1420">
        <v>0</v>
      </c>
      <c r="AG1420" s="2">
        <v>4450.9399999999996</v>
      </c>
      <c r="AH1420">
        <v>0</v>
      </c>
      <c r="AI1420" s="2">
        <v>4450.9399999999996</v>
      </c>
      <c r="AJ1420" s="2">
        <v>1438.57</v>
      </c>
      <c r="AK1420" s="2">
        <v>1438.57</v>
      </c>
      <c r="AL1420" t="str">
        <f>"$"</f>
        <v>$</v>
      </c>
    </row>
    <row r="1421" spans="1:38" x14ac:dyDescent="0.3">
      <c r="A1421" t="str">
        <f>"SO22000006"</f>
        <v>SO22000006</v>
      </c>
      <c r="B1421" t="str">
        <f>"E000352407"</f>
        <v>E000352407</v>
      </c>
      <c r="C1421" t="str">
        <f>"בוצעה"</f>
        <v>בוצעה</v>
      </c>
      <c r="E1421" s="3">
        <v>44565</v>
      </c>
      <c r="F1421" s="3">
        <v>44666</v>
      </c>
      <c r="G1421" t="str">
        <f>"700065"</f>
        <v>700065</v>
      </c>
      <c r="H1421" t="str">
        <f>"אלתא מערכות בע""מ"</f>
        <v>אלתא מערכות בע"מ</v>
      </c>
      <c r="I1421" t="str">
        <f>"רחמים זרוק"</f>
        <v>רחמים זרוק</v>
      </c>
      <c r="J1421" t="str">
        <f>"OP-AR02893"</f>
        <v>OP-AR02893</v>
      </c>
      <c r="K1421" s="1" t="str">
        <f>"1032G434-001    TAM-CE102 CABLE"</f>
        <v>1032G434-001    TAM-CE102 CABLE</v>
      </c>
      <c r="L1421">
        <v>1</v>
      </c>
      <c r="M1421" t="str">
        <f>"PR21000891"</f>
        <v>PR21000891</v>
      </c>
      <c r="N1421" t="str">
        <f>"CABLE W2"</f>
        <v>CABLE W2</v>
      </c>
      <c r="O1421">
        <v>400.52</v>
      </c>
      <c r="P1421" t="str">
        <f>"$"</f>
        <v>$</v>
      </c>
      <c r="Q1421" t="str">
        <f>"117"</f>
        <v>117</v>
      </c>
      <c r="R1421" t="str">
        <f>"רתמות"</f>
        <v>רתמות</v>
      </c>
      <c r="S1421" t="str">
        <f>"040"</f>
        <v>040</v>
      </c>
      <c r="T1421" t="str">
        <f>"עמר ליגל"</f>
        <v>עמר ליגל</v>
      </c>
      <c r="U1421">
        <v>0</v>
      </c>
      <c r="V1421">
        <v>0</v>
      </c>
      <c r="W1421">
        <v>400.52</v>
      </c>
      <c r="X1421">
        <v>400.52</v>
      </c>
      <c r="Z1421" t="str">
        <f>"Y"</f>
        <v>Y</v>
      </c>
      <c r="AA1421">
        <v>0</v>
      </c>
      <c r="AC1421">
        <v>0</v>
      </c>
      <c r="AE1421">
        <v>0</v>
      </c>
      <c r="AF1421">
        <v>0</v>
      </c>
      <c r="AG1421" s="2">
        <v>1239.21</v>
      </c>
      <c r="AH1421">
        <v>0</v>
      </c>
      <c r="AI1421" s="2">
        <v>1239.21</v>
      </c>
      <c r="AJ1421">
        <v>400.52</v>
      </c>
      <c r="AK1421">
        <v>400.52</v>
      </c>
      <c r="AL1421" t="str">
        <f>"$"</f>
        <v>$</v>
      </c>
    </row>
    <row r="1422" spans="1:38" x14ac:dyDescent="0.3">
      <c r="A1422" t="str">
        <f>"SO22000006"</f>
        <v>SO22000006</v>
      </c>
      <c r="B1422" t="str">
        <f>"E000352407"</f>
        <v>E000352407</v>
      </c>
      <c r="C1422" t="str">
        <f>"בוצעה"</f>
        <v>בוצעה</v>
      </c>
      <c r="E1422" s="3">
        <v>44565</v>
      </c>
      <c r="F1422" s="3">
        <v>44666</v>
      </c>
      <c r="G1422" t="str">
        <f>"700065"</f>
        <v>700065</v>
      </c>
      <c r="H1422" t="str">
        <f>"אלתא מערכות בע""מ"</f>
        <v>אלתא מערכות בע"מ</v>
      </c>
      <c r="I1422" t="str">
        <f>"רחמים זרוק"</f>
        <v>רחמים זרוק</v>
      </c>
      <c r="J1422" t="str">
        <f>"OP-AR02894"</f>
        <v>OP-AR02894</v>
      </c>
      <c r="K1422" s="1" t="str">
        <f>"1032G436-001    BRANCHED CABLE"</f>
        <v>1032G436-001    BRANCHED CABLE</v>
      </c>
      <c r="L1422">
        <v>1</v>
      </c>
      <c r="M1422" t="str">
        <f>"PR21000891"</f>
        <v>PR21000891</v>
      </c>
      <c r="N1422" t="str">
        <f>"CABLE W2"</f>
        <v>CABLE W2</v>
      </c>
      <c r="O1422">
        <v>992.71</v>
      </c>
      <c r="P1422" t="str">
        <f>"$"</f>
        <v>$</v>
      </c>
      <c r="Q1422" t="str">
        <f>"117"</f>
        <v>117</v>
      </c>
      <c r="R1422" t="str">
        <f>"רתמות"</f>
        <v>רתמות</v>
      </c>
      <c r="S1422" t="str">
        <f>"040"</f>
        <v>040</v>
      </c>
      <c r="T1422" t="str">
        <f>"עמר ליגל"</f>
        <v>עמר ליגל</v>
      </c>
      <c r="U1422">
        <v>0</v>
      </c>
      <c r="V1422">
        <v>0</v>
      </c>
      <c r="W1422">
        <v>992.71</v>
      </c>
      <c r="X1422">
        <v>992.71</v>
      </c>
      <c r="Z1422" t="str">
        <f>"Y"</f>
        <v>Y</v>
      </c>
      <c r="AA1422">
        <v>0</v>
      </c>
      <c r="AC1422">
        <v>0</v>
      </c>
      <c r="AE1422">
        <v>0</v>
      </c>
      <c r="AF1422">
        <v>0</v>
      </c>
      <c r="AG1422" s="2">
        <v>3071.44</v>
      </c>
      <c r="AH1422">
        <v>0</v>
      </c>
      <c r="AI1422" s="2">
        <v>3071.44</v>
      </c>
      <c r="AJ1422">
        <v>992.71</v>
      </c>
      <c r="AK1422">
        <v>992.71</v>
      </c>
      <c r="AL1422" t="str">
        <f>"$"</f>
        <v>$</v>
      </c>
    </row>
    <row r="1423" spans="1:38" x14ac:dyDescent="0.3">
      <c r="A1423" t="str">
        <f>"SO22000006"</f>
        <v>SO22000006</v>
      </c>
      <c r="B1423" t="str">
        <f>"E000352407"</f>
        <v>E000352407</v>
      </c>
      <c r="C1423" t="str">
        <f>"בוצעה"</f>
        <v>בוצעה</v>
      </c>
      <c r="E1423" s="3">
        <v>44565</v>
      </c>
      <c r="F1423" s="3">
        <v>44666</v>
      </c>
      <c r="G1423" t="str">
        <f>"700065"</f>
        <v>700065</v>
      </c>
      <c r="H1423" t="str">
        <f>"אלתא מערכות בע""מ"</f>
        <v>אלתא מערכות בע"מ</v>
      </c>
      <c r="I1423" t="str">
        <f>"רחמים זרוק"</f>
        <v>רחמים זרוק</v>
      </c>
      <c r="J1423" t="str">
        <f>"OP-AR02895"</f>
        <v>OP-AR02895</v>
      </c>
      <c r="K1423" s="1" t="str">
        <f>"1032G438-001    SHUNT CABLE"</f>
        <v>1032G438-001    SHUNT CABLE</v>
      </c>
      <c r="L1423">
        <v>1</v>
      </c>
      <c r="M1423" t="str">
        <f>"PR21000891"</f>
        <v>PR21000891</v>
      </c>
      <c r="N1423" t="str">
        <f>"CABLE W2"</f>
        <v>CABLE W2</v>
      </c>
      <c r="O1423">
        <v>90.02</v>
      </c>
      <c r="P1423" t="str">
        <f>"$"</f>
        <v>$</v>
      </c>
      <c r="Q1423" t="str">
        <f>"117"</f>
        <v>117</v>
      </c>
      <c r="R1423" t="str">
        <f>"רתמות"</f>
        <v>רתמות</v>
      </c>
      <c r="S1423" t="str">
        <f>"040"</f>
        <v>040</v>
      </c>
      <c r="T1423" t="str">
        <f>"עמר ליגל"</f>
        <v>עמר ליגל</v>
      </c>
      <c r="U1423">
        <v>0</v>
      </c>
      <c r="V1423">
        <v>0</v>
      </c>
      <c r="W1423">
        <v>90.02</v>
      </c>
      <c r="X1423">
        <v>90.02</v>
      </c>
      <c r="Z1423" t="str">
        <f>"Y"</f>
        <v>Y</v>
      </c>
      <c r="AA1423">
        <v>0</v>
      </c>
      <c r="AC1423">
        <v>0</v>
      </c>
      <c r="AE1423">
        <v>0</v>
      </c>
      <c r="AF1423">
        <v>0</v>
      </c>
      <c r="AG1423">
        <v>278.52</v>
      </c>
      <c r="AH1423">
        <v>0</v>
      </c>
      <c r="AI1423">
        <v>278.52</v>
      </c>
      <c r="AJ1423">
        <v>90.02</v>
      </c>
      <c r="AK1423">
        <v>90.02</v>
      </c>
      <c r="AL1423" t="str">
        <f>"$"</f>
        <v>$</v>
      </c>
    </row>
    <row r="1424" spans="1:38" x14ac:dyDescent="0.3">
      <c r="A1424" t="str">
        <f>"SO22000006"</f>
        <v>SO22000006</v>
      </c>
      <c r="B1424" t="str">
        <f>"E000352407"</f>
        <v>E000352407</v>
      </c>
      <c r="C1424" t="str">
        <f>"בוצעה"</f>
        <v>בוצעה</v>
      </c>
      <c r="E1424" s="3">
        <v>44565</v>
      </c>
      <c r="F1424" s="3">
        <v>44667</v>
      </c>
      <c r="G1424" t="str">
        <f>"700065"</f>
        <v>700065</v>
      </c>
      <c r="H1424" t="str">
        <f>"אלתא מערכות בע""מ"</f>
        <v>אלתא מערכות בע"מ</v>
      </c>
      <c r="I1424" t="str">
        <f>"רחמים זרוק"</f>
        <v>רחמים זרוק</v>
      </c>
      <c r="J1424" t="str">
        <f>"OP-AR02896"</f>
        <v>OP-AR02896</v>
      </c>
      <c r="K1424" s="1" t="str">
        <f>"2076B580-001    MW009 CABLE ASSY"</f>
        <v>2076B580-001    MW009 CABLE ASSY</v>
      </c>
      <c r="L1424">
        <v>1</v>
      </c>
      <c r="M1424" t="str">
        <f>"PR21000891"</f>
        <v>PR21000891</v>
      </c>
      <c r="N1424" t="str">
        <f>"CABLE W2"</f>
        <v>CABLE W2</v>
      </c>
      <c r="O1424">
        <v>828.22</v>
      </c>
      <c r="P1424" t="str">
        <f>"$"</f>
        <v>$</v>
      </c>
      <c r="Q1424" t="str">
        <f>"117"</f>
        <v>117</v>
      </c>
      <c r="R1424" t="str">
        <f>"רתמות"</f>
        <v>רתמות</v>
      </c>
      <c r="S1424" t="str">
        <f>"040"</f>
        <v>040</v>
      </c>
      <c r="T1424" t="str">
        <f>"עמר ליגל"</f>
        <v>עמר ליגל</v>
      </c>
      <c r="U1424">
        <v>0</v>
      </c>
      <c r="V1424">
        <v>0</v>
      </c>
      <c r="W1424">
        <v>828.22</v>
      </c>
      <c r="X1424">
        <v>828.22</v>
      </c>
      <c r="Z1424" t="str">
        <f>"Y"</f>
        <v>Y</v>
      </c>
      <c r="AA1424">
        <v>0</v>
      </c>
      <c r="AC1424">
        <v>0</v>
      </c>
      <c r="AE1424">
        <v>0</v>
      </c>
      <c r="AF1424">
        <v>0</v>
      </c>
      <c r="AG1424" s="2">
        <v>2562.5100000000002</v>
      </c>
      <c r="AH1424">
        <v>0</v>
      </c>
      <c r="AI1424" s="2">
        <v>2562.5100000000002</v>
      </c>
      <c r="AJ1424">
        <v>828.22</v>
      </c>
      <c r="AK1424">
        <v>828.22</v>
      </c>
      <c r="AL1424" t="str">
        <f>"$"</f>
        <v>$</v>
      </c>
    </row>
    <row r="1425" spans="1:38" x14ac:dyDescent="0.3">
      <c r="A1425" t="str">
        <f>"SO22000006"</f>
        <v>SO22000006</v>
      </c>
      <c r="B1425" t="str">
        <f>"E000352407"</f>
        <v>E000352407</v>
      </c>
      <c r="C1425" t="str">
        <f>"בוצעה"</f>
        <v>בוצעה</v>
      </c>
      <c r="E1425" s="3">
        <v>44565</v>
      </c>
      <c r="F1425" s="3">
        <v>44666</v>
      </c>
      <c r="G1425" t="str">
        <f>"700065"</f>
        <v>700065</v>
      </c>
      <c r="H1425" t="str">
        <f>"אלתא מערכות בע""מ"</f>
        <v>אלתא מערכות בע"מ</v>
      </c>
      <c r="I1425" t="str">
        <f>"רחמים זרוק"</f>
        <v>רחמים זרוק</v>
      </c>
      <c r="J1425" t="str">
        <f>"OP-AR02897"</f>
        <v>OP-AR02897</v>
      </c>
      <c r="K1425" s="1" t="str">
        <f>"2076B586-001    MW005 CABLE ASSY"</f>
        <v>2076B586-001    MW005 CABLE ASSY</v>
      </c>
      <c r="L1425">
        <v>1</v>
      </c>
      <c r="M1425" t="str">
        <f>"PR21000891"</f>
        <v>PR21000891</v>
      </c>
      <c r="N1425" t="str">
        <f>"CABLE W2"</f>
        <v>CABLE W2</v>
      </c>
      <c r="O1425">
        <v>359.6</v>
      </c>
      <c r="P1425" t="str">
        <f>"$"</f>
        <v>$</v>
      </c>
      <c r="Q1425" t="str">
        <f>"117"</f>
        <v>117</v>
      </c>
      <c r="R1425" t="str">
        <f>"רתמות"</f>
        <v>רתמות</v>
      </c>
      <c r="S1425" t="str">
        <f>"040"</f>
        <v>040</v>
      </c>
      <c r="T1425" t="str">
        <f>"עמר ליגל"</f>
        <v>עמר ליגל</v>
      </c>
      <c r="U1425">
        <v>0</v>
      </c>
      <c r="V1425">
        <v>0</v>
      </c>
      <c r="W1425">
        <v>359.6</v>
      </c>
      <c r="X1425">
        <v>359.6</v>
      </c>
      <c r="Z1425" t="str">
        <f>"Y"</f>
        <v>Y</v>
      </c>
      <c r="AA1425">
        <v>0</v>
      </c>
      <c r="AC1425">
        <v>0</v>
      </c>
      <c r="AE1425">
        <v>0</v>
      </c>
      <c r="AF1425">
        <v>0</v>
      </c>
      <c r="AG1425" s="2">
        <v>1112.5999999999999</v>
      </c>
      <c r="AH1425">
        <v>0</v>
      </c>
      <c r="AI1425" s="2">
        <v>1112.5999999999999</v>
      </c>
      <c r="AJ1425">
        <v>359.6</v>
      </c>
      <c r="AK1425">
        <v>359.6</v>
      </c>
      <c r="AL1425" t="str">
        <f>"$"</f>
        <v>$</v>
      </c>
    </row>
    <row r="1426" spans="1:38" x14ac:dyDescent="0.3">
      <c r="A1426" t="str">
        <f>"SO22000007"</f>
        <v>SO22000007</v>
      </c>
      <c r="B1426" t="str">
        <f>"E000353717"</f>
        <v>E000353717</v>
      </c>
      <c r="C1426" t="str">
        <f>"הרכבה חלקית"</f>
        <v>הרכבה חלקית</v>
      </c>
      <c r="E1426" s="3">
        <v>44565</v>
      </c>
      <c r="F1426" s="3">
        <v>44711</v>
      </c>
      <c r="G1426" t="str">
        <f>"700065"</f>
        <v>700065</v>
      </c>
      <c r="H1426" t="str">
        <f>"אלתא מערכות בע""מ"</f>
        <v>אלתא מערכות בע"מ</v>
      </c>
      <c r="I1426" t="str">
        <f>"רחמים זרוק"</f>
        <v>רחמים זרוק</v>
      </c>
      <c r="J1426" t="str">
        <f>"OP-AR02900"</f>
        <v>OP-AR02900</v>
      </c>
      <c r="K1426" s="1" t="str">
        <f>"4005J455-002    WN015 - COMJAM SENSORS"</f>
        <v>4005J455-002    WN015 - COMJAM SENSORS</v>
      </c>
      <c r="L1426">
        <v>10</v>
      </c>
      <c r="M1426" t="str">
        <f>"PR22000010"</f>
        <v>PR22000010</v>
      </c>
      <c r="N1426" t="str">
        <f>"WN015 - COMJAM SENSORS"</f>
        <v>WN015 - COMJAM SENSORS</v>
      </c>
      <c r="O1426" s="2">
        <v>1910.64</v>
      </c>
      <c r="P1426" t="str">
        <f>"$"</f>
        <v>$</v>
      </c>
      <c r="Q1426" t="str">
        <f>"117"</f>
        <v>117</v>
      </c>
      <c r="R1426" t="str">
        <f>"רתמות"</f>
        <v>רתמות</v>
      </c>
      <c r="S1426" t="str">
        <f>"040"</f>
        <v>040</v>
      </c>
      <c r="T1426" t="str">
        <f>"עמר ליגל"</f>
        <v>עמר ליגל</v>
      </c>
      <c r="U1426">
        <v>0</v>
      </c>
      <c r="V1426">
        <v>0</v>
      </c>
      <c r="W1426" s="2">
        <v>1910.64</v>
      </c>
      <c r="X1426" s="2">
        <v>19106.400000000001</v>
      </c>
      <c r="Z1426" t="str">
        <f>"Y"</f>
        <v>Y</v>
      </c>
      <c r="AA1426">
        <v>0</v>
      </c>
      <c r="AC1426">
        <v>0</v>
      </c>
      <c r="AE1426">
        <v>0</v>
      </c>
      <c r="AF1426">
        <v>0</v>
      </c>
      <c r="AG1426" s="2">
        <v>5911.52</v>
      </c>
      <c r="AH1426">
        <v>0</v>
      </c>
      <c r="AI1426" s="2">
        <v>59115.199999999997</v>
      </c>
      <c r="AJ1426" s="2">
        <v>19106.400000000001</v>
      </c>
      <c r="AK1426" s="2">
        <v>19106.400000000001</v>
      </c>
      <c r="AL1426" t="str">
        <f>"$"</f>
        <v>$</v>
      </c>
    </row>
    <row r="1427" spans="1:38" x14ac:dyDescent="0.3">
      <c r="A1427" t="str">
        <f>"SO22000007"</f>
        <v>SO22000007</v>
      </c>
      <c r="B1427" t="str">
        <f>"E000353717"</f>
        <v>E000353717</v>
      </c>
      <c r="C1427" t="str">
        <f>"הרכבה חלקית"</f>
        <v>הרכבה חלקית</v>
      </c>
      <c r="E1427" s="3">
        <v>44565</v>
      </c>
      <c r="F1427" s="3">
        <v>44591</v>
      </c>
      <c r="G1427" t="str">
        <f>"700065"</f>
        <v>700065</v>
      </c>
      <c r="H1427" t="str">
        <f>"אלתא מערכות בע""מ"</f>
        <v>אלתא מערכות בע"מ</v>
      </c>
      <c r="I1427" t="str">
        <f>"רחמים זרוק"</f>
        <v>רחמים זרוק</v>
      </c>
      <c r="J1427" t="str">
        <f>"OP-AR02901"</f>
        <v>OP-AR02901</v>
      </c>
      <c r="K1427" s="1" t="str">
        <f>"4005J466-001    HARNESS WN016 - ACU GND"</f>
        <v>4005J466-001    HARNESS WN016 - ACU GND</v>
      </c>
      <c r="L1427">
        <v>5</v>
      </c>
      <c r="M1427" t="str">
        <f>"PR22000010"</f>
        <v>PR22000010</v>
      </c>
      <c r="N1427" t="str">
        <f>"WN015 - COMJAM SENSORS"</f>
        <v>WN015 - COMJAM SENSORS</v>
      </c>
      <c r="O1427">
        <v>44.9</v>
      </c>
      <c r="P1427" t="str">
        <f>"$"</f>
        <v>$</v>
      </c>
      <c r="Q1427" t="str">
        <f>"117"</f>
        <v>117</v>
      </c>
      <c r="R1427" t="str">
        <f>"רתמות"</f>
        <v>רתמות</v>
      </c>
      <c r="S1427" t="str">
        <f>"040"</f>
        <v>040</v>
      </c>
      <c r="T1427" t="str">
        <f>"עמר ליגל"</f>
        <v>עמר ליגל</v>
      </c>
      <c r="U1427">
        <v>0</v>
      </c>
      <c r="V1427">
        <v>0</v>
      </c>
      <c r="W1427">
        <v>44.9</v>
      </c>
      <c r="X1427">
        <v>224.5</v>
      </c>
      <c r="Z1427" t="str">
        <f>"Y"</f>
        <v>Y</v>
      </c>
      <c r="AA1427">
        <v>0</v>
      </c>
      <c r="AC1427">
        <v>0</v>
      </c>
      <c r="AE1427">
        <v>0</v>
      </c>
      <c r="AF1427">
        <v>0</v>
      </c>
      <c r="AG1427">
        <v>138.91999999999999</v>
      </c>
      <c r="AH1427">
        <v>0</v>
      </c>
      <c r="AI1427">
        <v>694.6</v>
      </c>
      <c r="AJ1427">
        <v>224.5</v>
      </c>
      <c r="AK1427">
        <v>224.5</v>
      </c>
      <c r="AL1427" t="str">
        <f>"$"</f>
        <v>$</v>
      </c>
    </row>
    <row r="1428" spans="1:38" x14ac:dyDescent="0.3">
      <c r="A1428" t="str">
        <f>"SO22000007"</f>
        <v>SO22000007</v>
      </c>
      <c r="B1428" t="str">
        <f>"E000353717"</f>
        <v>E000353717</v>
      </c>
      <c r="C1428" t="str">
        <f>"הרכבה חלקית"</f>
        <v>הרכבה חלקית</v>
      </c>
      <c r="E1428" s="3">
        <v>44565</v>
      </c>
      <c r="F1428" s="3">
        <v>44591</v>
      </c>
      <c r="G1428" t="str">
        <f>"700065"</f>
        <v>700065</v>
      </c>
      <c r="H1428" t="str">
        <f>"אלתא מערכות בע""מ"</f>
        <v>אלתא מערכות בע"מ</v>
      </c>
      <c r="I1428" t="str">
        <f>"רחמים זרוק"</f>
        <v>רחמים זרוק</v>
      </c>
      <c r="J1428" t="str">
        <f>"OP-AR02902"</f>
        <v>OP-AR02902</v>
      </c>
      <c r="K1428" s="1" t="str">
        <f>"4005J467-001    HARNESS WN017 - RFDU GND"</f>
        <v>4005J467-001    HARNESS WN017 - RFDU GND</v>
      </c>
      <c r="L1428">
        <v>5</v>
      </c>
      <c r="M1428" t="str">
        <f>"PR22000010"</f>
        <v>PR22000010</v>
      </c>
      <c r="N1428" t="str">
        <f>"WN015 - COMJAM SENSORS"</f>
        <v>WN015 - COMJAM SENSORS</v>
      </c>
      <c r="O1428">
        <v>44.9</v>
      </c>
      <c r="P1428" t="str">
        <f>"$"</f>
        <v>$</v>
      </c>
      <c r="Q1428" t="str">
        <f>"117"</f>
        <v>117</v>
      </c>
      <c r="R1428" t="str">
        <f>"רתמות"</f>
        <v>רתמות</v>
      </c>
      <c r="S1428" t="str">
        <f>"040"</f>
        <v>040</v>
      </c>
      <c r="T1428" t="str">
        <f>"עמר ליגל"</f>
        <v>עמר ליגל</v>
      </c>
      <c r="U1428">
        <v>0</v>
      </c>
      <c r="V1428">
        <v>0</v>
      </c>
      <c r="W1428">
        <v>44.9</v>
      </c>
      <c r="X1428">
        <v>224.5</v>
      </c>
      <c r="Z1428" t="str">
        <f>"Y"</f>
        <v>Y</v>
      </c>
      <c r="AA1428">
        <v>0</v>
      </c>
      <c r="AC1428">
        <v>0</v>
      </c>
      <c r="AE1428">
        <v>0</v>
      </c>
      <c r="AF1428">
        <v>0</v>
      </c>
      <c r="AG1428">
        <v>138.91999999999999</v>
      </c>
      <c r="AH1428">
        <v>0</v>
      </c>
      <c r="AI1428">
        <v>694.6</v>
      </c>
      <c r="AJ1428">
        <v>224.5</v>
      </c>
      <c r="AK1428">
        <v>224.5</v>
      </c>
      <c r="AL1428" t="str">
        <f>"$"</f>
        <v>$</v>
      </c>
    </row>
    <row r="1429" spans="1:38" x14ac:dyDescent="0.3">
      <c r="A1429" t="str">
        <f>"SO22000007"</f>
        <v>SO22000007</v>
      </c>
      <c r="B1429" t="str">
        <f>"E000353717"</f>
        <v>E000353717</v>
      </c>
      <c r="C1429" t="str">
        <f>"הרכבה חלקית"</f>
        <v>הרכבה חלקית</v>
      </c>
      <c r="E1429" s="3">
        <v>44565</v>
      </c>
      <c r="F1429" s="3">
        <v>44591</v>
      </c>
      <c r="G1429" t="str">
        <f>"700065"</f>
        <v>700065</v>
      </c>
      <c r="H1429" t="str">
        <f>"אלתא מערכות בע""מ"</f>
        <v>אלתא מערכות בע"מ</v>
      </c>
      <c r="I1429" t="str">
        <f>"רחמים זרוק"</f>
        <v>רחמים זרוק</v>
      </c>
      <c r="J1429" t="str">
        <f>"OP-AR02903"</f>
        <v>OP-AR02903</v>
      </c>
      <c r="K1429" s="1" t="str">
        <f>"4005J468-001    HARNESS WN018 - JUMMER GND"</f>
        <v>4005J468-001    HARNESS WN018 - JUMMER GND</v>
      </c>
      <c r="L1429">
        <v>5</v>
      </c>
      <c r="M1429" t="str">
        <f>"PR22000010"</f>
        <v>PR22000010</v>
      </c>
      <c r="N1429" t="str">
        <f>"WN015 - COMJAM SENSORS"</f>
        <v>WN015 - COMJAM SENSORS</v>
      </c>
      <c r="O1429">
        <v>44.9</v>
      </c>
      <c r="P1429" t="str">
        <f>"$"</f>
        <v>$</v>
      </c>
      <c r="Q1429" t="str">
        <f>"117"</f>
        <v>117</v>
      </c>
      <c r="R1429" t="str">
        <f>"רתמות"</f>
        <v>רתמות</v>
      </c>
      <c r="S1429" t="str">
        <f>"040"</f>
        <v>040</v>
      </c>
      <c r="T1429" t="str">
        <f>"עמר ליגל"</f>
        <v>עמר ליגל</v>
      </c>
      <c r="U1429">
        <v>0</v>
      </c>
      <c r="V1429">
        <v>0</v>
      </c>
      <c r="W1429">
        <v>44.9</v>
      </c>
      <c r="X1429">
        <v>224.5</v>
      </c>
      <c r="Z1429" t="str">
        <f>"Y"</f>
        <v>Y</v>
      </c>
      <c r="AA1429">
        <v>0</v>
      </c>
      <c r="AC1429">
        <v>0</v>
      </c>
      <c r="AE1429">
        <v>0</v>
      </c>
      <c r="AF1429">
        <v>0</v>
      </c>
      <c r="AG1429">
        <v>138.91999999999999</v>
      </c>
      <c r="AH1429">
        <v>0</v>
      </c>
      <c r="AI1429">
        <v>694.6</v>
      </c>
      <c r="AJ1429">
        <v>224.5</v>
      </c>
      <c r="AK1429">
        <v>224.5</v>
      </c>
      <c r="AL1429" t="str">
        <f>"$"</f>
        <v>$</v>
      </c>
    </row>
    <row r="1430" spans="1:38" x14ac:dyDescent="0.3">
      <c r="A1430" t="str">
        <f>"SO22000007"</f>
        <v>SO22000007</v>
      </c>
      <c r="B1430" t="str">
        <f>"E000353717"</f>
        <v>E000353717</v>
      </c>
      <c r="C1430" t="str">
        <f>"הרכבה חלקית"</f>
        <v>הרכבה חלקית</v>
      </c>
      <c r="E1430" s="3">
        <v>44565</v>
      </c>
      <c r="F1430" s="3">
        <v>44661</v>
      </c>
      <c r="G1430" t="str">
        <f>"700065"</f>
        <v>700065</v>
      </c>
      <c r="H1430" t="str">
        <f>"אלתא מערכות בע""מ"</f>
        <v>אלתא מערכות בע"מ</v>
      </c>
      <c r="I1430" t="str">
        <f>"רחמים זרוק"</f>
        <v>רחמים זרוק</v>
      </c>
      <c r="J1430" t="str">
        <f>"OP-AR02904"</f>
        <v>OP-AR02904</v>
      </c>
      <c r="K1430" s="1" t="str">
        <f>"1037N601-001    GU PS CABLE"</f>
        <v>1037N601-001    GU PS CABLE</v>
      </c>
      <c r="L1430">
        <v>4</v>
      </c>
      <c r="M1430" t="str">
        <f>"PR22000010"</f>
        <v>PR22000010</v>
      </c>
      <c r="N1430" t="str">
        <f>"WN015 - COMJAM SENSORS"</f>
        <v>WN015 - COMJAM SENSORS</v>
      </c>
      <c r="O1430">
        <v>631.02</v>
      </c>
      <c r="P1430" t="str">
        <f>"$"</f>
        <v>$</v>
      </c>
      <c r="Q1430" t="str">
        <f>"117"</f>
        <v>117</v>
      </c>
      <c r="R1430" t="str">
        <f>"רתמות"</f>
        <v>רתמות</v>
      </c>
      <c r="S1430" t="str">
        <f>"040"</f>
        <v>040</v>
      </c>
      <c r="T1430" t="str">
        <f>"עמר ליגל"</f>
        <v>עמר ליגל</v>
      </c>
      <c r="U1430">
        <v>0</v>
      </c>
      <c r="V1430">
        <v>0</v>
      </c>
      <c r="W1430">
        <v>631.02</v>
      </c>
      <c r="X1430" s="2">
        <v>2524.08</v>
      </c>
      <c r="Z1430" t="str">
        <f>"Y"</f>
        <v>Y</v>
      </c>
      <c r="AA1430">
        <v>0</v>
      </c>
      <c r="AC1430">
        <v>0</v>
      </c>
      <c r="AE1430">
        <v>0</v>
      </c>
      <c r="AF1430">
        <v>0</v>
      </c>
      <c r="AG1430" s="2">
        <v>1952.38</v>
      </c>
      <c r="AH1430">
        <v>0</v>
      </c>
      <c r="AI1430" s="2">
        <v>7809.5</v>
      </c>
      <c r="AJ1430" s="2">
        <v>2524.08</v>
      </c>
      <c r="AK1430" s="2">
        <v>2524.08</v>
      </c>
      <c r="AL1430" t="str">
        <f>"$"</f>
        <v>$</v>
      </c>
    </row>
    <row r="1431" spans="1:38" x14ac:dyDescent="0.3">
      <c r="A1431" t="str">
        <f>"SO22000007"</f>
        <v>SO22000007</v>
      </c>
      <c r="B1431" t="str">
        <f>"E000353717"</f>
        <v>E000353717</v>
      </c>
      <c r="C1431" t="str">
        <f>"הרכבה חלקית"</f>
        <v>הרכבה חלקית</v>
      </c>
      <c r="E1431" s="3">
        <v>44565</v>
      </c>
      <c r="F1431" s="3">
        <v>44661</v>
      </c>
      <c r="G1431" t="str">
        <f>"700065"</f>
        <v>700065</v>
      </c>
      <c r="H1431" t="str">
        <f>"אלתא מערכות בע""מ"</f>
        <v>אלתא מערכות בע"מ</v>
      </c>
      <c r="I1431" t="str">
        <f>"רחמים זרוק"</f>
        <v>רחמים זרוק</v>
      </c>
      <c r="J1431" t="str">
        <f>"OP-AR02905"</f>
        <v>OP-AR02905</v>
      </c>
      <c r="K1431" s="1" t="str">
        <f>"1037N602-001    SGU-BFU PS CABLE"</f>
        <v>1037N602-001    SGU-BFU PS CABLE</v>
      </c>
      <c r="L1431">
        <v>2</v>
      </c>
      <c r="M1431" t="str">
        <f>"PR22000010"</f>
        <v>PR22000010</v>
      </c>
      <c r="N1431" t="str">
        <f>"WN015 - COMJAM SENSORS"</f>
        <v>WN015 - COMJAM SENSORS</v>
      </c>
      <c r="O1431">
        <v>440.71</v>
      </c>
      <c r="P1431" t="str">
        <f>"$"</f>
        <v>$</v>
      </c>
      <c r="Q1431" t="str">
        <f>"117"</f>
        <v>117</v>
      </c>
      <c r="R1431" t="str">
        <f>"רתמות"</f>
        <v>רתמות</v>
      </c>
      <c r="S1431" t="str">
        <f>"040"</f>
        <v>040</v>
      </c>
      <c r="T1431" t="str">
        <f>"עמר ליגל"</f>
        <v>עמר ליגל</v>
      </c>
      <c r="U1431">
        <v>0</v>
      </c>
      <c r="V1431">
        <v>0</v>
      </c>
      <c r="W1431">
        <v>440.71</v>
      </c>
      <c r="X1431">
        <v>881.42</v>
      </c>
      <c r="Z1431" t="str">
        <f>"Y"</f>
        <v>Y</v>
      </c>
      <c r="AA1431">
        <v>0</v>
      </c>
      <c r="AC1431">
        <v>0</v>
      </c>
      <c r="AE1431">
        <v>0</v>
      </c>
      <c r="AF1431">
        <v>0</v>
      </c>
      <c r="AG1431" s="2">
        <v>1363.56</v>
      </c>
      <c r="AH1431">
        <v>0</v>
      </c>
      <c r="AI1431" s="2">
        <v>2727.11</v>
      </c>
      <c r="AJ1431">
        <v>881.42</v>
      </c>
      <c r="AK1431">
        <v>881.42</v>
      </c>
      <c r="AL1431" t="str">
        <f>"$"</f>
        <v>$</v>
      </c>
    </row>
    <row r="1432" spans="1:38" x14ac:dyDescent="0.3">
      <c r="A1432" t="str">
        <f>"SO22000007"</f>
        <v>SO22000007</v>
      </c>
      <c r="B1432" t="str">
        <f>"E000353717"</f>
        <v>E000353717</v>
      </c>
      <c r="C1432" t="str">
        <f>"הרכבה חלקית"</f>
        <v>הרכבה חלקית</v>
      </c>
      <c r="E1432" s="3">
        <v>44565</v>
      </c>
      <c r="F1432" s="3">
        <v>44661</v>
      </c>
      <c r="G1432" t="str">
        <f>"700065"</f>
        <v>700065</v>
      </c>
      <c r="H1432" t="str">
        <f>"אלתא מערכות בע""מ"</f>
        <v>אלתא מערכות בע"מ</v>
      </c>
      <c r="I1432" t="str">
        <f>"רחמים זרוק"</f>
        <v>רחמים זרוק</v>
      </c>
      <c r="J1432" t="str">
        <f>"OP-AR02906"</f>
        <v>OP-AR02906</v>
      </c>
      <c r="K1432" s="1" t="str">
        <f>"1037N606-001    GU MB1 LOOPBACK PLUG"</f>
        <v>1037N606-001    GU MB1 LOOPBACK PLUG</v>
      </c>
      <c r="L1432">
        <v>4</v>
      </c>
      <c r="M1432" t="str">
        <f>"PR22000010"</f>
        <v>PR22000010</v>
      </c>
      <c r="N1432" t="str">
        <f>"WN015 - COMJAM SENSORS"</f>
        <v>WN015 - COMJAM SENSORS</v>
      </c>
      <c r="O1432">
        <v>224.39</v>
      </c>
      <c r="P1432" t="str">
        <f>"$"</f>
        <v>$</v>
      </c>
      <c r="Q1432" t="str">
        <f>"117"</f>
        <v>117</v>
      </c>
      <c r="R1432" t="str">
        <f>"רתמות"</f>
        <v>רתמות</v>
      </c>
      <c r="S1432" t="str">
        <f>"040"</f>
        <v>040</v>
      </c>
      <c r="T1432" t="str">
        <f>"עמר ליגל"</f>
        <v>עמר ליגל</v>
      </c>
      <c r="U1432">
        <v>0</v>
      </c>
      <c r="V1432">
        <v>0</v>
      </c>
      <c r="W1432">
        <v>224.39</v>
      </c>
      <c r="X1432">
        <v>897.56</v>
      </c>
      <c r="Z1432" t="str">
        <f>"Y"</f>
        <v>Y</v>
      </c>
      <c r="AA1432">
        <v>0</v>
      </c>
      <c r="AC1432">
        <v>0</v>
      </c>
      <c r="AE1432">
        <v>0</v>
      </c>
      <c r="AF1432">
        <v>0</v>
      </c>
      <c r="AG1432">
        <v>694.26</v>
      </c>
      <c r="AH1432">
        <v>0</v>
      </c>
      <c r="AI1432" s="2">
        <v>2777.05</v>
      </c>
      <c r="AJ1432">
        <v>897.56</v>
      </c>
      <c r="AK1432">
        <v>897.56</v>
      </c>
      <c r="AL1432" t="str">
        <f>"$"</f>
        <v>$</v>
      </c>
    </row>
    <row r="1433" spans="1:38" x14ac:dyDescent="0.3">
      <c r="A1433" t="str">
        <f>"SO22000007"</f>
        <v>SO22000007</v>
      </c>
      <c r="B1433" t="str">
        <f>"E000353717"</f>
        <v>E000353717</v>
      </c>
      <c r="C1433" t="str">
        <f>"הרכבה חלקית"</f>
        <v>הרכבה חלקית</v>
      </c>
      <c r="E1433" s="3">
        <v>44565</v>
      </c>
      <c r="F1433" s="3">
        <v>44661</v>
      </c>
      <c r="G1433" t="str">
        <f>"700065"</f>
        <v>700065</v>
      </c>
      <c r="H1433" t="str">
        <f>"אלתא מערכות בע""מ"</f>
        <v>אלתא מערכות בע"מ</v>
      </c>
      <c r="I1433" t="str">
        <f>"רחמים זרוק"</f>
        <v>רחמים זרוק</v>
      </c>
      <c r="J1433" t="str">
        <f>"OP-AR02907"</f>
        <v>OP-AR02907</v>
      </c>
      <c r="K1433" s="1" t="str">
        <f>"1037N608-001    GU MB2 LOOPBACK PLUG"</f>
        <v>1037N608-001    GU MB2 LOOPBACK PLUG</v>
      </c>
      <c r="L1433">
        <v>4</v>
      </c>
      <c r="M1433" t="str">
        <f>"PR22000010"</f>
        <v>PR22000010</v>
      </c>
      <c r="N1433" t="str">
        <f>"WN015 - COMJAM SENSORS"</f>
        <v>WN015 - COMJAM SENSORS</v>
      </c>
      <c r="O1433">
        <v>224.39</v>
      </c>
      <c r="P1433" t="str">
        <f>"$"</f>
        <v>$</v>
      </c>
      <c r="Q1433" t="str">
        <f>"117"</f>
        <v>117</v>
      </c>
      <c r="R1433" t="str">
        <f>"רתמות"</f>
        <v>רתמות</v>
      </c>
      <c r="S1433" t="str">
        <f>"040"</f>
        <v>040</v>
      </c>
      <c r="T1433" t="str">
        <f>"עמר ליגל"</f>
        <v>עמר ליגל</v>
      </c>
      <c r="U1433">
        <v>0</v>
      </c>
      <c r="V1433">
        <v>0</v>
      </c>
      <c r="W1433">
        <v>224.39</v>
      </c>
      <c r="X1433">
        <v>897.56</v>
      </c>
      <c r="Z1433" t="str">
        <f>"Y"</f>
        <v>Y</v>
      </c>
      <c r="AA1433">
        <v>0</v>
      </c>
      <c r="AC1433">
        <v>0</v>
      </c>
      <c r="AE1433">
        <v>0</v>
      </c>
      <c r="AF1433">
        <v>0</v>
      </c>
      <c r="AG1433">
        <v>694.26</v>
      </c>
      <c r="AH1433">
        <v>0</v>
      </c>
      <c r="AI1433" s="2">
        <v>2777.05</v>
      </c>
      <c r="AJ1433">
        <v>897.56</v>
      </c>
      <c r="AK1433">
        <v>897.56</v>
      </c>
      <c r="AL1433" t="str">
        <f>"$"</f>
        <v>$</v>
      </c>
    </row>
    <row r="1434" spans="1:38" x14ac:dyDescent="0.3">
      <c r="A1434" t="str">
        <f>"SO22000007"</f>
        <v>SO22000007</v>
      </c>
      <c r="B1434" t="str">
        <f>"E000353717"</f>
        <v>E000353717</v>
      </c>
      <c r="C1434" t="str">
        <f>"הרכבה חלקית"</f>
        <v>הרכבה חלקית</v>
      </c>
      <c r="E1434" s="3">
        <v>44565</v>
      </c>
      <c r="F1434" s="3">
        <v>44661</v>
      </c>
      <c r="G1434" t="str">
        <f>"700065"</f>
        <v>700065</v>
      </c>
      <c r="H1434" t="str">
        <f>"אלתא מערכות בע""מ"</f>
        <v>אלתא מערכות בע"מ</v>
      </c>
      <c r="I1434" t="str">
        <f>"רחמים זרוק"</f>
        <v>רחמים זרוק</v>
      </c>
      <c r="J1434" t="str">
        <f>"OP-AR02908"</f>
        <v>OP-AR02908</v>
      </c>
      <c r="K1434" s="1" t="str">
        <f>"1037N609-001    GU MB3 LOOPBACK PLUG"</f>
        <v>1037N609-001    GU MB3 LOOPBACK PLUG</v>
      </c>
      <c r="L1434">
        <v>4</v>
      </c>
      <c r="M1434" t="str">
        <f>"PR22000010"</f>
        <v>PR22000010</v>
      </c>
      <c r="N1434" t="str">
        <f>"WN015 - COMJAM SENSORS"</f>
        <v>WN015 - COMJAM SENSORS</v>
      </c>
      <c r="O1434">
        <v>224.39</v>
      </c>
      <c r="P1434" t="str">
        <f>"$"</f>
        <v>$</v>
      </c>
      <c r="Q1434" t="str">
        <f>"117"</f>
        <v>117</v>
      </c>
      <c r="R1434" t="str">
        <f>"רתמות"</f>
        <v>רתמות</v>
      </c>
      <c r="S1434" t="str">
        <f>"040"</f>
        <v>040</v>
      </c>
      <c r="T1434" t="str">
        <f>"עמר ליגל"</f>
        <v>עמר ליגל</v>
      </c>
      <c r="U1434">
        <v>0</v>
      </c>
      <c r="V1434">
        <v>0</v>
      </c>
      <c r="W1434">
        <v>224.39</v>
      </c>
      <c r="X1434">
        <v>897.56</v>
      </c>
      <c r="Z1434" t="str">
        <f>"Y"</f>
        <v>Y</v>
      </c>
      <c r="AA1434">
        <v>0</v>
      </c>
      <c r="AC1434">
        <v>0</v>
      </c>
      <c r="AE1434">
        <v>0</v>
      </c>
      <c r="AF1434">
        <v>0</v>
      </c>
      <c r="AG1434">
        <v>694.26</v>
      </c>
      <c r="AH1434">
        <v>0</v>
      </c>
      <c r="AI1434" s="2">
        <v>2777.05</v>
      </c>
      <c r="AJ1434">
        <v>897.56</v>
      </c>
      <c r="AK1434">
        <v>897.56</v>
      </c>
      <c r="AL1434" t="str">
        <f>"$"</f>
        <v>$</v>
      </c>
    </row>
    <row r="1435" spans="1:38" x14ac:dyDescent="0.3">
      <c r="A1435" t="str">
        <f>"SO22000007"</f>
        <v>SO22000007</v>
      </c>
      <c r="B1435" t="str">
        <f>"E000353717"</f>
        <v>E000353717</v>
      </c>
      <c r="C1435" t="str">
        <f>"הרכבה חלקית"</f>
        <v>הרכבה חלקית</v>
      </c>
      <c r="E1435" s="3">
        <v>44565</v>
      </c>
      <c r="F1435" s="3">
        <v>44661</v>
      </c>
      <c r="G1435" t="str">
        <f>"700065"</f>
        <v>700065</v>
      </c>
      <c r="H1435" t="str">
        <f>"אלתא מערכות בע""מ"</f>
        <v>אלתא מערכות בע"מ</v>
      </c>
      <c r="I1435" t="str">
        <f>"רחמים זרוק"</f>
        <v>רחמים זרוק</v>
      </c>
      <c r="J1435" t="str">
        <f>"OP-AR02909"</f>
        <v>OP-AR02909</v>
      </c>
      <c r="K1435" s="1" t="str">
        <f>"1037N613-001    GU MB4 LOOPBACK PLUG"</f>
        <v>1037N613-001    GU MB4 LOOPBACK PLUG</v>
      </c>
      <c r="L1435">
        <v>4</v>
      </c>
      <c r="M1435" t="str">
        <f>"PR22000010"</f>
        <v>PR22000010</v>
      </c>
      <c r="N1435" t="str">
        <f>"WN015 - COMJAM SENSORS"</f>
        <v>WN015 - COMJAM SENSORS</v>
      </c>
      <c r="O1435">
        <v>224.39</v>
      </c>
      <c r="P1435" t="str">
        <f>"$"</f>
        <v>$</v>
      </c>
      <c r="Q1435" t="str">
        <f>"117"</f>
        <v>117</v>
      </c>
      <c r="R1435" t="str">
        <f>"רתמות"</f>
        <v>רתמות</v>
      </c>
      <c r="S1435" t="str">
        <f>"040"</f>
        <v>040</v>
      </c>
      <c r="T1435" t="str">
        <f>"עמר ליגל"</f>
        <v>עמר ליגל</v>
      </c>
      <c r="U1435">
        <v>0</v>
      </c>
      <c r="V1435">
        <v>0</v>
      </c>
      <c r="W1435">
        <v>224.39</v>
      </c>
      <c r="X1435">
        <v>897.56</v>
      </c>
      <c r="Z1435" t="str">
        <f>"Y"</f>
        <v>Y</v>
      </c>
      <c r="AA1435">
        <v>0</v>
      </c>
      <c r="AC1435">
        <v>0</v>
      </c>
      <c r="AE1435">
        <v>0</v>
      </c>
      <c r="AF1435">
        <v>0</v>
      </c>
      <c r="AG1435">
        <v>694.26</v>
      </c>
      <c r="AH1435">
        <v>0</v>
      </c>
      <c r="AI1435" s="2">
        <v>2777.05</v>
      </c>
      <c r="AJ1435">
        <v>897.56</v>
      </c>
      <c r="AK1435">
        <v>897.56</v>
      </c>
      <c r="AL1435" t="str">
        <f>"$"</f>
        <v>$</v>
      </c>
    </row>
    <row r="1436" spans="1:38" x14ac:dyDescent="0.3">
      <c r="A1436" t="str">
        <f>"SO22000007"</f>
        <v>SO22000007</v>
      </c>
      <c r="B1436" t="str">
        <f>"E000353717"</f>
        <v>E000353717</v>
      </c>
      <c r="C1436" t="str">
        <f>"הרכבה חלקית"</f>
        <v>הרכבה חלקית</v>
      </c>
      <c r="E1436" s="3">
        <v>44565</v>
      </c>
      <c r="F1436" s="3">
        <v>44661</v>
      </c>
      <c r="G1436" t="str">
        <f>"700065"</f>
        <v>700065</v>
      </c>
      <c r="H1436" t="str">
        <f>"אלתא מערכות בע""מ"</f>
        <v>אלתא מערכות בע"מ</v>
      </c>
      <c r="I1436" t="str">
        <f>"רחמים זרוק"</f>
        <v>רחמים זרוק</v>
      </c>
      <c r="J1436" t="str">
        <f>"OP-AR02910"</f>
        <v>OP-AR02910</v>
      </c>
      <c r="K1436" s="1" t="str">
        <f>"1037N618-001    BFU MB1 LOOPBACK PLUG"</f>
        <v>1037N618-001    BFU MB1 LOOPBACK PLUG</v>
      </c>
      <c r="L1436">
        <v>2</v>
      </c>
      <c r="M1436" t="str">
        <f>"PR22000010"</f>
        <v>PR22000010</v>
      </c>
      <c r="N1436" t="str">
        <f>"WN015 - COMJAM SENSORS"</f>
        <v>WN015 - COMJAM SENSORS</v>
      </c>
      <c r="O1436">
        <v>176.3</v>
      </c>
      <c r="P1436" t="str">
        <f>"$"</f>
        <v>$</v>
      </c>
      <c r="Q1436" t="str">
        <f>"117"</f>
        <v>117</v>
      </c>
      <c r="R1436" t="str">
        <f>"רתמות"</f>
        <v>רתמות</v>
      </c>
      <c r="S1436" t="str">
        <f>"040"</f>
        <v>040</v>
      </c>
      <c r="T1436" t="str">
        <f>"עמר ליגל"</f>
        <v>עמר ליגל</v>
      </c>
      <c r="U1436">
        <v>0</v>
      </c>
      <c r="V1436">
        <v>0</v>
      </c>
      <c r="W1436">
        <v>176.3</v>
      </c>
      <c r="X1436">
        <v>352.6</v>
      </c>
      <c r="Z1436" t="str">
        <f>"Y"</f>
        <v>Y</v>
      </c>
      <c r="AA1436">
        <v>0</v>
      </c>
      <c r="AC1436">
        <v>0</v>
      </c>
      <c r="AE1436">
        <v>0</v>
      </c>
      <c r="AF1436">
        <v>0</v>
      </c>
      <c r="AG1436">
        <v>545.47</v>
      </c>
      <c r="AH1436">
        <v>0</v>
      </c>
      <c r="AI1436" s="2">
        <v>1090.94</v>
      </c>
      <c r="AJ1436">
        <v>352.6</v>
      </c>
      <c r="AK1436">
        <v>352.6</v>
      </c>
      <c r="AL1436" t="str">
        <f>"$"</f>
        <v>$</v>
      </c>
    </row>
    <row r="1437" spans="1:38" x14ac:dyDescent="0.3">
      <c r="A1437" t="str">
        <f>"SO22000007"</f>
        <v>SO22000007</v>
      </c>
      <c r="B1437" t="str">
        <f>"E000353717"</f>
        <v>E000353717</v>
      </c>
      <c r="C1437" t="str">
        <f>"הרכבה חלקית"</f>
        <v>הרכבה חלקית</v>
      </c>
      <c r="E1437" s="3">
        <v>44565</v>
      </c>
      <c r="F1437" s="3">
        <v>44661</v>
      </c>
      <c r="G1437" t="str">
        <f>"700065"</f>
        <v>700065</v>
      </c>
      <c r="H1437" t="str">
        <f>"אלתא מערכות בע""מ"</f>
        <v>אלתא מערכות בע"מ</v>
      </c>
      <c r="I1437" t="str">
        <f>"רחמים זרוק"</f>
        <v>רחמים זרוק</v>
      </c>
      <c r="J1437" t="str">
        <f>"OP-AR02911"</f>
        <v>OP-AR02911</v>
      </c>
      <c r="K1437" s="1" t="str">
        <f>"1037N619-001    BFU MB2 LOOPBACK PLUG"</f>
        <v>1037N619-001    BFU MB2 LOOPBACK PLUG</v>
      </c>
      <c r="L1437">
        <v>2</v>
      </c>
      <c r="M1437" t="str">
        <f>"PR22000010"</f>
        <v>PR22000010</v>
      </c>
      <c r="N1437" t="str">
        <f>"WN015 - COMJAM SENSORS"</f>
        <v>WN015 - COMJAM SENSORS</v>
      </c>
      <c r="O1437">
        <v>181.78</v>
      </c>
      <c r="P1437" t="str">
        <f>"$"</f>
        <v>$</v>
      </c>
      <c r="Q1437" t="str">
        <f>"117"</f>
        <v>117</v>
      </c>
      <c r="R1437" t="str">
        <f>"רתמות"</f>
        <v>רתמות</v>
      </c>
      <c r="S1437" t="str">
        <f>"040"</f>
        <v>040</v>
      </c>
      <c r="T1437" t="str">
        <f>"עמר ליגל"</f>
        <v>עמר ליגל</v>
      </c>
      <c r="U1437">
        <v>0</v>
      </c>
      <c r="V1437">
        <v>0</v>
      </c>
      <c r="W1437">
        <v>181.78</v>
      </c>
      <c r="X1437">
        <v>363.56</v>
      </c>
      <c r="Z1437" t="str">
        <f>"Y"</f>
        <v>Y</v>
      </c>
      <c r="AA1437">
        <v>0</v>
      </c>
      <c r="AC1437">
        <v>0</v>
      </c>
      <c r="AE1437">
        <v>0</v>
      </c>
      <c r="AF1437">
        <v>0</v>
      </c>
      <c r="AG1437">
        <v>562.42999999999995</v>
      </c>
      <c r="AH1437">
        <v>0</v>
      </c>
      <c r="AI1437" s="2">
        <v>1124.8499999999999</v>
      </c>
      <c r="AJ1437">
        <v>363.56</v>
      </c>
      <c r="AK1437">
        <v>363.56</v>
      </c>
      <c r="AL1437" t="str">
        <f>"$"</f>
        <v>$</v>
      </c>
    </row>
    <row r="1438" spans="1:38" x14ac:dyDescent="0.3">
      <c r="A1438" t="str">
        <f>"SO22000007"</f>
        <v>SO22000007</v>
      </c>
      <c r="B1438" t="str">
        <f>"E000353717"</f>
        <v>E000353717</v>
      </c>
      <c r="C1438" t="str">
        <f>"הרכבה חלקית"</f>
        <v>הרכבה חלקית</v>
      </c>
      <c r="E1438" s="3">
        <v>44565</v>
      </c>
      <c r="F1438" s="3">
        <v>44711</v>
      </c>
      <c r="G1438" t="str">
        <f>"700065"</f>
        <v>700065</v>
      </c>
      <c r="H1438" t="str">
        <f>"אלתא מערכות בע""מ"</f>
        <v>אלתא מערכות בע"מ</v>
      </c>
      <c r="I1438" t="str">
        <f>"רחמים זרוק"</f>
        <v>רחמים זרוק</v>
      </c>
      <c r="J1438" t="str">
        <f>"OP-AR02912"</f>
        <v>OP-AR02912</v>
      </c>
      <c r="K1438" s="1" t="str">
        <f>"1038A608-001    GU (VR9/MCM) TEST CABLE"</f>
        <v>1038A608-001    GU (VR9/MCM) TEST CABLE</v>
      </c>
      <c r="L1438">
        <v>4</v>
      </c>
      <c r="M1438" t="str">
        <f>"PR22000010"</f>
        <v>PR22000010</v>
      </c>
      <c r="N1438" t="str">
        <f>"WN015 - COMJAM SENSORS"</f>
        <v>WN015 - COMJAM SENSORS</v>
      </c>
      <c r="O1438">
        <v>714.27</v>
      </c>
      <c r="P1438" t="str">
        <f>"$"</f>
        <v>$</v>
      </c>
      <c r="Q1438" t="str">
        <f>"117"</f>
        <v>117</v>
      </c>
      <c r="R1438" t="str">
        <f>"רתמות"</f>
        <v>רתמות</v>
      </c>
      <c r="S1438" t="str">
        <f>"040"</f>
        <v>040</v>
      </c>
      <c r="T1438" t="str">
        <f>"עמר ליגל"</f>
        <v>עמר ליגל</v>
      </c>
      <c r="U1438">
        <v>0</v>
      </c>
      <c r="V1438">
        <v>0</v>
      </c>
      <c r="W1438">
        <v>714.27</v>
      </c>
      <c r="X1438" s="2">
        <v>2857.08</v>
      </c>
      <c r="Z1438" t="str">
        <f>"Y"</f>
        <v>Y</v>
      </c>
      <c r="AA1438">
        <v>0</v>
      </c>
      <c r="AC1438">
        <v>0</v>
      </c>
      <c r="AE1438">
        <v>0</v>
      </c>
      <c r="AF1438">
        <v>0</v>
      </c>
      <c r="AG1438" s="2">
        <v>2209.9499999999998</v>
      </c>
      <c r="AH1438">
        <v>0</v>
      </c>
      <c r="AI1438" s="2">
        <v>8839.81</v>
      </c>
      <c r="AJ1438" s="2">
        <v>2857.08</v>
      </c>
      <c r="AK1438" s="2">
        <v>2857.08</v>
      </c>
      <c r="AL1438" t="str">
        <f>"$"</f>
        <v>$</v>
      </c>
    </row>
    <row r="1439" spans="1:38" x14ac:dyDescent="0.3">
      <c r="A1439" t="str">
        <f>"SO22000007"</f>
        <v>SO22000007</v>
      </c>
      <c r="B1439" t="str">
        <f>"E000353717"</f>
        <v>E000353717</v>
      </c>
      <c r="C1439" t="str">
        <f>"הרכבה חלקית"</f>
        <v>הרכבה חלקית</v>
      </c>
      <c r="E1439" s="3">
        <v>44565</v>
      </c>
      <c r="F1439" s="3">
        <v>44711</v>
      </c>
      <c r="G1439" t="str">
        <f>"700065"</f>
        <v>700065</v>
      </c>
      <c r="H1439" t="str">
        <f>"אלתא מערכות בע""מ"</f>
        <v>אלתא מערכות בע"מ</v>
      </c>
      <c r="I1439" t="str">
        <f>"רחמים זרוק"</f>
        <v>רחמים זרוק</v>
      </c>
      <c r="J1439" t="str">
        <f>"OP-AR02913"</f>
        <v>OP-AR02913</v>
      </c>
      <c r="K1439" s="1" t="str">
        <f>"1038A648-001    SGU-BFU (VR9/MCM) TEST CABLE"</f>
        <v>1038A648-001    SGU-BFU (VR9/MCM) TEST CABLE</v>
      </c>
      <c r="L1439">
        <v>2</v>
      </c>
      <c r="M1439" t="str">
        <f>"PR22000010"</f>
        <v>PR22000010</v>
      </c>
      <c r="N1439" t="str">
        <f>"WN015 - COMJAM SENSORS"</f>
        <v>WN015 - COMJAM SENSORS</v>
      </c>
      <c r="O1439">
        <v>645.75</v>
      </c>
      <c r="P1439" t="str">
        <f>"$"</f>
        <v>$</v>
      </c>
      <c r="Q1439" t="str">
        <f>"117"</f>
        <v>117</v>
      </c>
      <c r="R1439" t="str">
        <f>"רתמות"</f>
        <v>רתמות</v>
      </c>
      <c r="S1439" t="str">
        <f>"040"</f>
        <v>040</v>
      </c>
      <c r="T1439" t="str">
        <f>"עמר ליגל"</f>
        <v>עמר ליגל</v>
      </c>
      <c r="U1439">
        <v>0</v>
      </c>
      <c r="V1439">
        <v>0</v>
      </c>
      <c r="W1439">
        <v>645.75</v>
      </c>
      <c r="X1439" s="2">
        <v>1291.5</v>
      </c>
      <c r="Z1439" t="str">
        <f>"Y"</f>
        <v>Y</v>
      </c>
      <c r="AA1439">
        <v>0</v>
      </c>
      <c r="AC1439">
        <v>0</v>
      </c>
      <c r="AE1439">
        <v>0</v>
      </c>
      <c r="AF1439">
        <v>0</v>
      </c>
      <c r="AG1439" s="2">
        <v>1997.95</v>
      </c>
      <c r="AH1439">
        <v>0</v>
      </c>
      <c r="AI1439" s="2">
        <v>3995.9</v>
      </c>
      <c r="AJ1439" s="2">
        <v>1291.5</v>
      </c>
      <c r="AK1439" s="2">
        <v>1291.5</v>
      </c>
      <c r="AL1439" t="str">
        <f>"$"</f>
        <v>$</v>
      </c>
    </row>
    <row r="1440" spans="1:38" x14ac:dyDescent="0.3">
      <c r="A1440" t="str">
        <f>"SO22000007"</f>
        <v>SO22000007</v>
      </c>
      <c r="B1440" t="str">
        <f>"E000353717"</f>
        <v>E000353717</v>
      </c>
      <c r="C1440" t="str">
        <f>"הרכבה חלקית"</f>
        <v>הרכבה חלקית</v>
      </c>
      <c r="E1440" s="3">
        <v>44565</v>
      </c>
      <c r="F1440" s="3">
        <v>44620</v>
      </c>
      <c r="G1440" t="str">
        <f>"700065"</f>
        <v>700065</v>
      </c>
      <c r="H1440" t="str">
        <f>"אלתא מערכות בע""מ"</f>
        <v>אלתא מערכות בע"מ</v>
      </c>
      <c r="I1440" t="str">
        <f>"רחמים זרוק"</f>
        <v>רחמים זרוק</v>
      </c>
      <c r="J1440" t="str">
        <f>"OP-AR02914"</f>
        <v>OP-AR02914</v>
      </c>
      <c r="K1440" s="1" t="str">
        <f>"9000Y503-001    HARNESS WA003 - INTERNAL PWR AND CONT TO"</f>
        <v>9000Y503-001    HARNESS WA003 - INTERNAL PWR AND CONT TO</v>
      </c>
      <c r="L1440">
        <v>10</v>
      </c>
      <c r="M1440" t="str">
        <f>"PR22000010"</f>
        <v>PR22000010</v>
      </c>
      <c r="N1440" t="str">
        <f>"WN015 - COMJAM SENSORS"</f>
        <v>WN015 - COMJAM SENSORS</v>
      </c>
      <c r="O1440">
        <v>139.13999999999999</v>
      </c>
      <c r="P1440" t="str">
        <f>"$"</f>
        <v>$</v>
      </c>
      <c r="Q1440" t="str">
        <f>"117"</f>
        <v>117</v>
      </c>
      <c r="R1440" t="str">
        <f>"רתמות"</f>
        <v>רתמות</v>
      </c>
      <c r="S1440" t="str">
        <f>"040"</f>
        <v>040</v>
      </c>
      <c r="T1440" t="str">
        <f>"עמר ליגל"</f>
        <v>עמר ליגל</v>
      </c>
      <c r="U1440">
        <v>0</v>
      </c>
      <c r="V1440">
        <v>0</v>
      </c>
      <c r="W1440">
        <v>139.13999999999999</v>
      </c>
      <c r="X1440" s="2">
        <v>1391.4</v>
      </c>
      <c r="Z1440" t="str">
        <f>"Y"</f>
        <v>Y</v>
      </c>
      <c r="AA1440">
        <v>0</v>
      </c>
      <c r="AC1440">
        <v>0</v>
      </c>
      <c r="AE1440">
        <v>0</v>
      </c>
      <c r="AF1440">
        <v>0</v>
      </c>
      <c r="AG1440">
        <v>430.5</v>
      </c>
      <c r="AH1440">
        <v>0</v>
      </c>
      <c r="AI1440" s="2">
        <v>4304.99</v>
      </c>
      <c r="AJ1440" s="2">
        <v>1391.4</v>
      </c>
      <c r="AK1440" s="2">
        <v>1391.4</v>
      </c>
      <c r="AL1440" t="str">
        <f>"$"</f>
        <v>$</v>
      </c>
    </row>
    <row r="1441" spans="1:38" x14ac:dyDescent="0.3">
      <c r="A1441" t="str">
        <f>"SO22000007"</f>
        <v>SO22000007</v>
      </c>
      <c r="B1441" t="str">
        <f>"E000353717"</f>
        <v>E000353717</v>
      </c>
      <c r="C1441" t="str">
        <f>"הרכבה חלקית"</f>
        <v>הרכבה חלקית</v>
      </c>
      <c r="E1441" s="3">
        <v>44565</v>
      </c>
      <c r="F1441" s="3">
        <v>44620</v>
      </c>
      <c r="G1441" t="str">
        <f>"700065"</f>
        <v>700065</v>
      </c>
      <c r="H1441" t="str">
        <f>"אלתא מערכות בע""מ"</f>
        <v>אלתא מערכות בע"מ</v>
      </c>
      <c r="I1441" t="str">
        <f>"רחמים זרוק"</f>
        <v>רחמים זרוק</v>
      </c>
      <c r="J1441" t="str">
        <f>"OP-AR02915"</f>
        <v>OP-AR02915</v>
      </c>
      <c r="K1441" s="1" t="str">
        <f>"9000Y504-001    HARNESS WA004 - INTERNAL PWR AND CONT TO"</f>
        <v>9000Y504-001    HARNESS WA004 - INTERNAL PWR AND CONT TO</v>
      </c>
      <c r="L1441">
        <v>10</v>
      </c>
      <c r="M1441" t="str">
        <f>"PR22000010"</f>
        <v>PR22000010</v>
      </c>
      <c r="N1441" t="str">
        <f>"WN015 - COMJAM SENSORS"</f>
        <v>WN015 - COMJAM SENSORS</v>
      </c>
      <c r="O1441">
        <v>184.17</v>
      </c>
      <c r="P1441" t="str">
        <f>"$"</f>
        <v>$</v>
      </c>
      <c r="Q1441" t="str">
        <f>"117"</f>
        <v>117</v>
      </c>
      <c r="R1441" t="str">
        <f>"רתמות"</f>
        <v>רתמות</v>
      </c>
      <c r="S1441" t="str">
        <f>"040"</f>
        <v>040</v>
      </c>
      <c r="T1441" t="str">
        <f>"עמר ליגל"</f>
        <v>עמר ליגל</v>
      </c>
      <c r="U1441">
        <v>0</v>
      </c>
      <c r="V1441">
        <v>0</v>
      </c>
      <c r="W1441">
        <v>184.17</v>
      </c>
      <c r="X1441" s="2">
        <v>1841.7</v>
      </c>
      <c r="Z1441" t="str">
        <f>"Y"</f>
        <v>Y</v>
      </c>
      <c r="AA1441">
        <v>0</v>
      </c>
      <c r="AC1441">
        <v>0</v>
      </c>
      <c r="AE1441">
        <v>0</v>
      </c>
      <c r="AF1441">
        <v>0</v>
      </c>
      <c r="AG1441">
        <v>569.82000000000005</v>
      </c>
      <c r="AH1441">
        <v>0</v>
      </c>
      <c r="AI1441" s="2">
        <v>5698.22</v>
      </c>
      <c r="AJ1441" s="2">
        <v>1841.7</v>
      </c>
      <c r="AK1441" s="2">
        <v>1841.7</v>
      </c>
      <c r="AL1441" t="str">
        <f>"$"</f>
        <v>$</v>
      </c>
    </row>
    <row r="1442" spans="1:38" x14ac:dyDescent="0.3">
      <c r="A1442" t="str">
        <f>"SO22000007"</f>
        <v>SO22000007</v>
      </c>
      <c r="B1442" t="str">
        <f>"E000353717"</f>
        <v>E000353717</v>
      </c>
      <c r="C1442" t="str">
        <f>"הרכבה חלקית"</f>
        <v>הרכבה חלקית</v>
      </c>
      <c r="E1442" s="3">
        <v>44565</v>
      </c>
      <c r="F1442" s="3">
        <v>44790</v>
      </c>
      <c r="G1442" t="str">
        <f>"700065"</f>
        <v>700065</v>
      </c>
      <c r="H1442" t="str">
        <f>"אלתא מערכות בע""מ"</f>
        <v>אלתא מערכות בע"מ</v>
      </c>
      <c r="I1442" t="str">
        <f>"רחמים זרוק"</f>
        <v>רחמים זרוק</v>
      </c>
      <c r="J1442" t="str">
        <f>"OP-AR02916"</f>
        <v>OP-AR02916</v>
      </c>
      <c r="K1442" s="1" t="str">
        <f>"9000Y505-001    HARNESS WA005 - INTERNAL ETHERNET"</f>
        <v>9000Y505-001    HARNESS WA005 - INTERNAL ETHERNET</v>
      </c>
      <c r="L1442">
        <v>9</v>
      </c>
      <c r="M1442" t="str">
        <f>"PR22000010"</f>
        <v>PR22000010</v>
      </c>
      <c r="N1442" t="str">
        <f>"WN015 - COMJAM SENSORS"</f>
        <v>WN015 - COMJAM SENSORS</v>
      </c>
      <c r="O1442">
        <v>73.97</v>
      </c>
      <c r="P1442" t="str">
        <f>"$"</f>
        <v>$</v>
      </c>
      <c r="Q1442" t="str">
        <f>"117"</f>
        <v>117</v>
      </c>
      <c r="R1442" t="str">
        <f>"רתמות"</f>
        <v>רתמות</v>
      </c>
      <c r="S1442" t="str">
        <f>"040"</f>
        <v>040</v>
      </c>
      <c r="T1442" t="str">
        <f>"עמר ליגל"</f>
        <v>עמר ליגל</v>
      </c>
      <c r="U1442">
        <v>0</v>
      </c>
      <c r="V1442">
        <v>0</v>
      </c>
      <c r="W1442">
        <v>73.97</v>
      </c>
      <c r="X1442">
        <v>665.73</v>
      </c>
      <c r="Z1442" t="str">
        <f>"Y"</f>
        <v>Y</v>
      </c>
      <c r="AA1442">
        <v>0</v>
      </c>
      <c r="AC1442">
        <v>0</v>
      </c>
      <c r="AE1442">
        <v>0</v>
      </c>
      <c r="AF1442">
        <v>0</v>
      </c>
      <c r="AG1442">
        <v>228.86</v>
      </c>
      <c r="AH1442">
        <v>0</v>
      </c>
      <c r="AI1442" s="2">
        <v>2059.77</v>
      </c>
      <c r="AJ1442">
        <v>665.73</v>
      </c>
      <c r="AK1442">
        <v>665.73</v>
      </c>
      <c r="AL1442" t="str">
        <f>"$"</f>
        <v>$</v>
      </c>
    </row>
    <row r="1443" spans="1:38" x14ac:dyDescent="0.3">
      <c r="A1443" t="str">
        <f>"SO22000007"</f>
        <v>SO22000007</v>
      </c>
      <c r="B1443" t="str">
        <f>"E000353717"</f>
        <v>E000353717</v>
      </c>
      <c r="C1443" t="str">
        <f>"הרכבה חלקית"</f>
        <v>הרכבה חלקית</v>
      </c>
      <c r="E1443" s="3">
        <v>44565</v>
      </c>
      <c r="F1443" s="3">
        <v>44650</v>
      </c>
      <c r="G1443" t="str">
        <f>"700065"</f>
        <v>700065</v>
      </c>
      <c r="H1443" t="str">
        <f>"אלתא מערכות בע""מ"</f>
        <v>אלתא מערכות בע"מ</v>
      </c>
      <c r="I1443" t="str">
        <f>"רחמים זרוק"</f>
        <v>רחמים זרוק</v>
      </c>
      <c r="J1443" t="str">
        <f>"OP-AR02903"</f>
        <v>OP-AR02903</v>
      </c>
      <c r="K1443" s="1" t="str">
        <f>"4005J468-001    HARNESS WN018 - JUMMER GND"</f>
        <v>4005J468-001    HARNESS WN018 - JUMMER GND</v>
      </c>
      <c r="L1443">
        <v>4</v>
      </c>
      <c r="M1443" t="str">
        <f>"PR22000010"</f>
        <v>PR22000010</v>
      </c>
      <c r="N1443" t="str">
        <f>"WN015 - COMJAM SENSORS"</f>
        <v>WN015 - COMJAM SENSORS</v>
      </c>
      <c r="O1443">
        <v>44.9</v>
      </c>
      <c r="P1443" t="str">
        <f>"$"</f>
        <v>$</v>
      </c>
      <c r="Q1443" t="str">
        <f>"117"</f>
        <v>117</v>
      </c>
      <c r="R1443" t="str">
        <f>"רתמות"</f>
        <v>רתמות</v>
      </c>
      <c r="S1443" t="str">
        <f>"040"</f>
        <v>040</v>
      </c>
      <c r="T1443" t="str">
        <f>"עמר ליגל"</f>
        <v>עמר ליגל</v>
      </c>
      <c r="U1443">
        <v>0</v>
      </c>
      <c r="V1443">
        <v>0</v>
      </c>
      <c r="W1443">
        <v>44.9</v>
      </c>
      <c r="X1443">
        <v>179.6</v>
      </c>
      <c r="Z1443" t="str">
        <f>"Y"</f>
        <v>Y</v>
      </c>
      <c r="AA1443">
        <v>0</v>
      </c>
      <c r="AC1443">
        <v>0</v>
      </c>
      <c r="AE1443">
        <v>0</v>
      </c>
      <c r="AF1443">
        <v>0</v>
      </c>
      <c r="AG1443">
        <v>138.91999999999999</v>
      </c>
      <c r="AH1443">
        <v>0</v>
      </c>
      <c r="AI1443">
        <v>555.67999999999995</v>
      </c>
      <c r="AJ1443">
        <v>179.6</v>
      </c>
      <c r="AK1443">
        <v>179.6</v>
      </c>
      <c r="AL1443" t="str">
        <f>"$"</f>
        <v>$</v>
      </c>
    </row>
    <row r="1444" spans="1:38" x14ac:dyDescent="0.3">
      <c r="A1444" t="str">
        <f>"SO22000007"</f>
        <v>SO22000007</v>
      </c>
      <c r="B1444" t="str">
        <f>"E000353717"</f>
        <v>E000353717</v>
      </c>
      <c r="C1444" t="str">
        <f>"הרכבה חלקית"</f>
        <v>הרכבה חלקית</v>
      </c>
      <c r="E1444" s="3">
        <v>44565</v>
      </c>
      <c r="F1444" s="3">
        <v>44651</v>
      </c>
      <c r="G1444" t="str">
        <f>"700065"</f>
        <v>700065</v>
      </c>
      <c r="H1444" t="str">
        <f>"אלתא מערכות בע""מ"</f>
        <v>אלתא מערכות בע"מ</v>
      </c>
      <c r="I1444" t="str">
        <f>"רחמים זרוק"</f>
        <v>רחמים זרוק</v>
      </c>
      <c r="J1444" t="str">
        <f>"OP-AR02902"</f>
        <v>OP-AR02902</v>
      </c>
      <c r="K1444" s="1" t="str">
        <f>"4005J467-001    HARNESS WN017 - RFDU GND"</f>
        <v>4005J467-001    HARNESS WN017 - RFDU GND</v>
      </c>
      <c r="L1444">
        <v>4</v>
      </c>
      <c r="M1444" t="str">
        <f>"PR22000010"</f>
        <v>PR22000010</v>
      </c>
      <c r="N1444" t="str">
        <f>"WN015 - COMJAM SENSORS"</f>
        <v>WN015 - COMJAM SENSORS</v>
      </c>
      <c r="O1444">
        <v>44.9</v>
      </c>
      <c r="P1444" t="str">
        <f>"$"</f>
        <v>$</v>
      </c>
      <c r="Q1444" t="str">
        <f>"117"</f>
        <v>117</v>
      </c>
      <c r="R1444" t="str">
        <f>"רתמות"</f>
        <v>רתמות</v>
      </c>
      <c r="S1444" t="str">
        <f>"040"</f>
        <v>040</v>
      </c>
      <c r="T1444" t="str">
        <f>"עמר ליגל"</f>
        <v>עמר ליגל</v>
      </c>
      <c r="U1444">
        <v>0</v>
      </c>
      <c r="V1444">
        <v>0</v>
      </c>
      <c r="W1444">
        <v>44.9</v>
      </c>
      <c r="X1444">
        <v>179.6</v>
      </c>
      <c r="Z1444" t="str">
        <f>"Y"</f>
        <v>Y</v>
      </c>
      <c r="AA1444">
        <v>0</v>
      </c>
      <c r="AC1444">
        <v>0</v>
      </c>
      <c r="AE1444">
        <v>0</v>
      </c>
      <c r="AF1444">
        <v>0</v>
      </c>
      <c r="AG1444">
        <v>138.91999999999999</v>
      </c>
      <c r="AH1444">
        <v>0</v>
      </c>
      <c r="AI1444">
        <v>555.67999999999995</v>
      </c>
      <c r="AJ1444">
        <v>179.6</v>
      </c>
      <c r="AK1444">
        <v>179.6</v>
      </c>
      <c r="AL1444" t="str">
        <f>"$"</f>
        <v>$</v>
      </c>
    </row>
    <row r="1445" spans="1:38" x14ac:dyDescent="0.3">
      <c r="A1445" t="str">
        <f>"SO22000007"</f>
        <v>SO22000007</v>
      </c>
      <c r="B1445" t="str">
        <f>"E000353717"</f>
        <v>E000353717</v>
      </c>
      <c r="C1445" t="str">
        <f>"הרכבה חלקית"</f>
        <v>הרכבה חלקית</v>
      </c>
      <c r="E1445" s="3">
        <v>44565</v>
      </c>
      <c r="F1445" s="3">
        <v>44651</v>
      </c>
      <c r="G1445" t="str">
        <f>"700065"</f>
        <v>700065</v>
      </c>
      <c r="H1445" t="str">
        <f>"אלתא מערכות בע""מ"</f>
        <v>אלתא מערכות בע"מ</v>
      </c>
      <c r="I1445" t="str">
        <f>"רחמים זרוק"</f>
        <v>רחמים זרוק</v>
      </c>
      <c r="J1445" t="str">
        <f>"OP-AR02901"</f>
        <v>OP-AR02901</v>
      </c>
      <c r="K1445" s="1" t="str">
        <f>"4005J466-001    HARNESS WN016 - ACU GND"</f>
        <v>4005J466-001    HARNESS WN016 - ACU GND</v>
      </c>
      <c r="L1445">
        <v>4</v>
      </c>
      <c r="M1445" t="str">
        <f>"PR22000010"</f>
        <v>PR22000010</v>
      </c>
      <c r="N1445" t="str">
        <f>"WN015 - COMJAM SENSORS"</f>
        <v>WN015 - COMJAM SENSORS</v>
      </c>
      <c r="O1445">
        <v>44.9</v>
      </c>
      <c r="P1445" t="str">
        <f>"$"</f>
        <v>$</v>
      </c>
      <c r="Q1445" t="str">
        <f>"117"</f>
        <v>117</v>
      </c>
      <c r="R1445" t="str">
        <f>"רתמות"</f>
        <v>רתמות</v>
      </c>
      <c r="S1445" t="str">
        <f>"040"</f>
        <v>040</v>
      </c>
      <c r="T1445" t="str">
        <f>"עמר ליגל"</f>
        <v>עמר ליגל</v>
      </c>
      <c r="U1445">
        <v>0</v>
      </c>
      <c r="V1445">
        <v>0</v>
      </c>
      <c r="W1445">
        <v>44.9</v>
      </c>
      <c r="X1445">
        <v>179.6</v>
      </c>
      <c r="Z1445" t="str">
        <f>"Y"</f>
        <v>Y</v>
      </c>
      <c r="AA1445">
        <v>0</v>
      </c>
      <c r="AC1445">
        <v>0</v>
      </c>
      <c r="AE1445">
        <v>0</v>
      </c>
      <c r="AF1445">
        <v>0</v>
      </c>
      <c r="AG1445">
        <v>138.91999999999999</v>
      </c>
      <c r="AH1445">
        <v>0</v>
      </c>
      <c r="AI1445">
        <v>555.67999999999995</v>
      </c>
      <c r="AJ1445">
        <v>179.6</v>
      </c>
      <c r="AK1445">
        <v>179.6</v>
      </c>
      <c r="AL1445" t="str">
        <f>"$"</f>
        <v>$</v>
      </c>
    </row>
    <row r="1446" spans="1:38" x14ac:dyDescent="0.3">
      <c r="A1446" t="str">
        <f>"SO22000008"</f>
        <v>SO22000008</v>
      </c>
      <c r="B1446" t="str">
        <f>"E000353826"</f>
        <v>E000353826</v>
      </c>
      <c r="C1446" t="str">
        <f>"בוצעה"</f>
        <v>בוצעה</v>
      </c>
      <c r="E1446" s="3">
        <v>44570</v>
      </c>
      <c r="F1446" s="3">
        <v>44616</v>
      </c>
      <c r="G1446" t="str">
        <f>"700065"</f>
        <v>700065</v>
      </c>
      <c r="H1446" t="str">
        <f>"אלתא מערכות בע""מ"</f>
        <v>אלתא מערכות בע"מ</v>
      </c>
      <c r="I1446" t="str">
        <f>"רחמים זרוק"</f>
        <v>רחמים זרוק</v>
      </c>
      <c r="J1446" t="str">
        <f>"OP-AR02939"</f>
        <v>OP-AR02939</v>
      </c>
      <c r="K1446" s="1" t="str">
        <f>"1039H815-001 REV A REPAIR"</f>
        <v>1039H815-001 REV A REPAIR</v>
      </c>
      <c r="L1446">
        <v>1</v>
      </c>
      <c r="M1446" t="str">
        <f>"PR22000009"</f>
        <v>PR22000009</v>
      </c>
      <c r="N1446" t="str">
        <f>"תיקון רתמות 851"</f>
        <v>תיקון רתמות 851</v>
      </c>
      <c r="O1446">
        <v>372.68</v>
      </c>
      <c r="P1446" t="str">
        <f>"$"</f>
        <v>$</v>
      </c>
      <c r="Q1446" t="str">
        <f>"117"</f>
        <v>117</v>
      </c>
      <c r="R1446" t="str">
        <f>"רתמות"</f>
        <v>רתמות</v>
      </c>
      <c r="S1446" t="str">
        <f>"040"</f>
        <v>040</v>
      </c>
      <c r="T1446" t="str">
        <f>"עמר ליגל"</f>
        <v>עמר ליגל</v>
      </c>
      <c r="U1446">
        <v>0</v>
      </c>
      <c r="V1446">
        <v>0</v>
      </c>
      <c r="W1446">
        <v>372.68</v>
      </c>
      <c r="X1446">
        <v>372.68</v>
      </c>
      <c r="Z1446" t="str">
        <f>"Y"</f>
        <v>Y</v>
      </c>
      <c r="AA1446">
        <v>0</v>
      </c>
      <c r="AC1446">
        <v>0</v>
      </c>
      <c r="AE1446">
        <v>0</v>
      </c>
      <c r="AF1446">
        <v>0</v>
      </c>
      <c r="AG1446" s="2">
        <v>1158.6600000000001</v>
      </c>
      <c r="AH1446">
        <v>0</v>
      </c>
      <c r="AI1446" s="2">
        <v>1158.6600000000001</v>
      </c>
      <c r="AJ1446">
        <v>372.68</v>
      </c>
      <c r="AK1446">
        <v>372.68</v>
      </c>
      <c r="AL1446" t="str">
        <f>"$"</f>
        <v>$</v>
      </c>
    </row>
    <row r="1447" spans="1:38" x14ac:dyDescent="0.3">
      <c r="A1447" t="str">
        <f>"SO22000008"</f>
        <v>SO22000008</v>
      </c>
      <c r="B1447" t="str">
        <f>"E000353826"</f>
        <v>E000353826</v>
      </c>
      <c r="C1447" t="str">
        <f>"בוצעה"</f>
        <v>בוצעה</v>
      </c>
      <c r="E1447" s="3">
        <v>44570</v>
      </c>
      <c r="F1447" s="3">
        <v>44616</v>
      </c>
      <c r="G1447" t="str">
        <f>"700065"</f>
        <v>700065</v>
      </c>
      <c r="H1447" t="str">
        <f>"אלתא מערכות בע""מ"</f>
        <v>אלתא מערכות בע"מ</v>
      </c>
      <c r="I1447" t="str">
        <f>"רחמים זרוק"</f>
        <v>רחמים זרוק</v>
      </c>
      <c r="J1447" t="str">
        <f>"OP-AR02943"</f>
        <v>OP-AR02943</v>
      </c>
      <c r="K1447" s="1" t="str">
        <f>"1039H802-001 REV A REPAIR"</f>
        <v>1039H802-001 REV A REPAIR</v>
      </c>
      <c r="L1447">
        <v>1</v>
      </c>
      <c r="M1447" t="str">
        <f>"PR22000009"</f>
        <v>PR22000009</v>
      </c>
      <c r="N1447" t="str">
        <f>"תיקון רתמות 851"</f>
        <v>תיקון רתמות 851</v>
      </c>
      <c r="O1447">
        <v>218.58</v>
      </c>
      <c r="P1447" t="str">
        <f>"$"</f>
        <v>$</v>
      </c>
      <c r="Q1447" t="str">
        <f>"117"</f>
        <v>117</v>
      </c>
      <c r="R1447" t="str">
        <f>"רתמות"</f>
        <v>רתמות</v>
      </c>
      <c r="S1447" t="str">
        <f>"040"</f>
        <v>040</v>
      </c>
      <c r="T1447" t="str">
        <f>"עמר ליגל"</f>
        <v>עמר ליגל</v>
      </c>
      <c r="U1447">
        <v>0</v>
      </c>
      <c r="V1447">
        <v>0</v>
      </c>
      <c r="W1447">
        <v>218.58</v>
      </c>
      <c r="X1447">
        <v>218.58</v>
      </c>
      <c r="Z1447" t="str">
        <f>"Y"</f>
        <v>Y</v>
      </c>
      <c r="AA1447">
        <v>0</v>
      </c>
      <c r="AC1447">
        <v>0</v>
      </c>
      <c r="AE1447">
        <v>0</v>
      </c>
      <c r="AF1447">
        <v>0</v>
      </c>
      <c r="AG1447">
        <v>679.57</v>
      </c>
      <c r="AH1447">
        <v>0</v>
      </c>
      <c r="AI1447">
        <v>679.57</v>
      </c>
      <c r="AJ1447">
        <v>218.58</v>
      </c>
      <c r="AK1447">
        <v>218.58</v>
      </c>
      <c r="AL1447" t="str">
        <f>"$"</f>
        <v>$</v>
      </c>
    </row>
    <row r="1448" spans="1:38" x14ac:dyDescent="0.3">
      <c r="A1448" t="str">
        <f>"SO22000008"</f>
        <v>SO22000008</v>
      </c>
      <c r="B1448" t="str">
        <f>"E000353826"</f>
        <v>E000353826</v>
      </c>
      <c r="C1448" t="str">
        <f>"בוצעה"</f>
        <v>בוצעה</v>
      </c>
      <c r="E1448" s="3">
        <v>44570</v>
      </c>
      <c r="F1448" s="3">
        <v>44616</v>
      </c>
      <c r="G1448" t="str">
        <f>"700065"</f>
        <v>700065</v>
      </c>
      <c r="H1448" t="str">
        <f>"אלתא מערכות בע""מ"</f>
        <v>אלתא מערכות בע"מ</v>
      </c>
      <c r="I1448" t="str">
        <f>"רחמים זרוק"</f>
        <v>רחמים זרוק</v>
      </c>
      <c r="J1448" t="str">
        <f>"OP-AR02944"</f>
        <v>OP-AR02944</v>
      </c>
      <c r="K1448" s="1" t="str">
        <f>"1039H801-001 REV A REPAIR"</f>
        <v>1039H801-001 REV A REPAIR</v>
      </c>
      <c r="L1448">
        <v>2</v>
      </c>
      <c r="M1448" t="str">
        <f>"PR22000009"</f>
        <v>PR22000009</v>
      </c>
      <c r="N1448" t="str">
        <f>"תיקון רתמות 851"</f>
        <v>תיקון רתמות 851</v>
      </c>
      <c r="O1448">
        <v>218.58</v>
      </c>
      <c r="P1448" t="str">
        <f>"$"</f>
        <v>$</v>
      </c>
      <c r="Q1448" t="str">
        <f>"117"</f>
        <v>117</v>
      </c>
      <c r="R1448" t="str">
        <f>"רתמות"</f>
        <v>רתמות</v>
      </c>
      <c r="S1448" t="str">
        <f>"040"</f>
        <v>040</v>
      </c>
      <c r="T1448" t="str">
        <f>"עמר ליגל"</f>
        <v>עמר ליגל</v>
      </c>
      <c r="U1448">
        <v>0</v>
      </c>
      <c r="V1448">
        <v>0</v>
      </c>
      <c r="W1448">
        <v>218.58</v>
      </c>
      <c r="X1448">
        <v>437.16</v>
      </c>
      <c r="Z1448" t="str">
        <f>"Y"</f>
        <v>Y</v>
      </c>
      <c r="AA1448">
        <v>0</v>
      </c>
      <c r="AC1448">
        <v>0</v>
      </c>
      <c r="AE1448">
        <v>0</v>
      </c>
      <c r="AF1448">
        <v>0</v>
      </c>
      <c r="AG1448">
        <v>679.57</v>
      </c>
      <c r="AH1448">
        <v>0</v>
      </c>
      <c r="AI1448" s="2">
        <v>1359.13</v>
      </c>
      <c r="AJ1448">
        <v>437.16</v>
      </c>
      <c r="AK1448">
        <v>437.16</v>
      </c>
      <c r="AL1448" t="str">
        <f>"$"</f>
        <v>$</v>
      </c>
    </row>
    <row r="1449" spans="1:38" x14ac:dyDescent="0.3">
      <c r="A1449" t="str">
        <f>"SO22000008"</f>
        <v>SO22000008</v>
      </c>
      <c r="B1449" t="str">
        <f>"E000353826"</f>
        <v>E000353826</v>
      </c>
      <c r="C1449" t="str">
        <f>"בוצעה"</f>
        <v>בוצעה</v>
      </c>
      <c r="E1449" s="3">
        <v>44570</v>
      </c>
      <c r="F1449" s="3">
        <v>44616</v>
      </c>
      <c r="G1449" t="str">
        <f>"700065"</f>
        <v>700065</v>
      </c>
      <c r="H1449" t="str">
        <f>"אלתא מערכות בע""מ"</f>
        <v>אלתא מערכות בע"מ</v>
      </c>
      <c r="I1449" t="str">
        <f>"רחמים זרוק"</f>
        <v>רחמים זרוק</v>
      </c>
      <c r="J1449" t="str">
        <f>"OP-AR02933"</f>
        <v>OP-AR02933</v>
      </c>
      <c r="K1449" s="1" t="str">
        <f>"1039H811-001 REV A REPAIR"</f>
        <v>1039H811-001 REV A REPAIR</v>
      </c>
      <c r="L1449">
        <v>1</v>
      </c>
      <c r="M1449" t="str">
        <f>"PR22000009"</f>
        <v>PR22000009</v>
      </c>
      <c r="N1449" t="str">
        <f>"תיקון רתמות 851"</f>
        <v>תיקון רתמות 851</v>
      </c>
      <c r="O1449">
        <v>452.18</v>
      </c>
      <c r="P1449" t="str">
        <f>"$"</f>
        <v>$</v>
      </c>
      <c r="Q1449" t="str">
        <f>"117"</f>
        <v>117</v>
      </c>
      <c r="R1449" t="str">
        <f>"רתמות"</f>
        <v>רתמות</v>
      </c>
      <c r="S1449" t="str">
        <f>"040"</f>
        <v>040</v>
      </c>
      <c r="T1449" t="str">
        <f>"עמר ליגל"</f>
        <v>עמר ליגל</v>
      </c>
      <c r="U1449">
        <v>0</v>
      </c>
      <c r="V1449">
        <v>0</v>
      </c>
      <c r="W1449">
        <v>452.18</v>
      </c>
      <c r="X1449">
        <v>452.18</v>
      </c>
      <c r="Z1449" t="str">
        <f>"Y"</f>
        <v>Y</v>
      </c>
      <c r="AA1449">
        <v>0</v>
      </c>
      <c r="AC1449">
        <v>0</v>
      </c>
      <c r="AE1449">
        <v>0</v>
      </c>
      <c r="AF1449">
        <v>0</v>
      </c>
      <c r="AG1449" s="2">
        <v>1405.83</v>
      </c>
      <c r="AH1449">
        <v>0</v>
      </c>
      <c r="AI1449" s="2">
        <v>1405.83</v>
      </c>
      <c r="AJ1449">
        <v>452.18</v>
      </c>
      <c r="AK1449">
        <v>452.18</v>
      </c>
      <c r="AL1449" t="str">
        <f>"$"</f>
        <v>$</v>
      </c>
    </row>
    <row r="1450" spans="1:38" x14ac:dyDescent="0.3">
      <c r="A1450" t="str">
        <f>"SO22000008"</f>
        <v>SO22000008</v>
      </c>
      <c r="B1450" t="str">
        <f>"E000353826"</f>
        <v>E000353826</v>
      </c>
      <c r="C1450" t="str">
        <f>"בוצעה"</f>
        <v>בוצעה</v>
      </c>
      <c r="E1450" s="3">
        <v>44570</v>
      </c>
      <c r="F1450" s="3">
        <v>44616</v>
      </c>
      <c r="G1450" t="str">
        <f>"700065"</f>
        <v>700065</v>
      </c>
      <c r="H1450" t="str">
        <f>"אלתא מערכות בע""מ"</f>
        <v>אלתא מערכות בע"מ</v>
      </c>
      <c r="I1450" t="str">
        <f>"רחמים זרוק"</f>
        <v>רחמים זרוק</v>
      </c>
      <c r="J1450" t="str">
        <f>"OP-AR02934"</f>
        <v>OP-AR02934</v>
      </c>
      <c r="K1450" s="1" t="str">
        <f>"1039H844-001 REV A REPAIR"</f>
        <v>1039H844-001 REV A REPAIR</v>
      </c>
      <c r="L1450">
        <v>1</v>
      </c>
      <c r="M1450" t="str">
        <f>"PR22000009"</f>
        <v>PR22000009</v>
      </c>
      <c r="N1450" t="str">
        <f>"תיקון רתמות 851"</f>
        <v>תיקון רתמות 851</v>
      </c>
      <c r="O1450">
        <v>261.60000000000002</v>
      </c>
      <c r="P1450" t="str">
        <f>"$"</f>
        <v>$</v>
      </c>
      <c r="Q1450" t="str">
        <f>"117"</f>
        <v>117</v>
      </c>
      <c r="R1450" t="str">
        <f>"רתמות"</f>
        <v>רתמות</v>
      </c>
      <c r="S1450" t="str">
        <f>"040"</f>
        <v>040</v>
      </c>
      <c r="T1450" t="str">
        <f>"עמר ליגל"</f>
        <v>עמר ליגל</v>
      </c>
      <c r="U1450">
        <v>0</v>
      </c>
      <c r="V1450">
        <v>0</v>
      </c>
      <c r="W1450">
        <v>261.60000000000002</v>
      </c>
      <c r="X1450">
        <v>261.60000000000002</v>
      </c>
      <c r="Z1450" t="str">
        <f>"Y"</f>
        <v>Y</v>
      </c>
      <c r="AA1450">
        <v>0</v>
      </c>
      <c r="AC1450">
        <v>0</v>
      </c>
      <c r="AE1450">
        <v>0</v>
      </c>
      <c r="AF1450">
        <v>0</v>
      </c>
      <c r="AG1450">
        <v>813.31</v>
      </c>
      <c r="AH1450">
        <v>0</v>
      </c>
      <c r="AI1450">
        <v>813.31</v>
      </c>
      <c r="AJ1450">
        <v>261.60000000000002</v>
      </c>
      <c r="AK1450">
        <v>261.60000000000002</v>
      </c>
      <c r="AL1450" t="str">
        <f>"$"</f>
        <v>$</v>
      </c>
    </row>
    <row r="1451" spans="1:38" x14ac:dyDescent="0.3">
      <c r="A1451" t="str">
        <f>"SO22000008"</f>
        <v>SO22000008</v>
      </c>
      <c r="B1451" t="str">
        <f>"E000353826"</f>
        <v>E000353826</v>
      </c>
      <c r="C1451" t="str">
        <f>"בוצעה"</f>
        <v>בוצעה</v>
      </c>
      <c r="E1451" s="3">
        <v>44570</v>
      </c>
      <c r="F1451" s="3">
        <v>44616</v>
      </c>
      <c r="G1451" t="str">
        <f>"700065"</f>
        <v>700065</v>
      </c>
      <c r="H1451" t="str">
        <f>"אלתא מערכות בע""מ"</f>
        <v>אלתא מערכות בע"מ</v>
      </c>
      <c r="I1451" t="str">
        <f>"רחמים זרוק"</f>
        <v>רחמים זרוק</v>
      </c>
      <c r="J1451" t="str">
        <f>"OP-AR02935"</f>
        <v>OP-AR02935</v>
      </c>
      <c r="K1451" s="1" t="str">
        <f>"1039H842-001 REV A REPAIR"</f>
        <v>1039H842-001 REV A REPAIR</v>
      </c>
      <c r="L1451">
        <v>1</v>
      </c>
      <c r="M1451" t="str">
        <f>"PR22000009"</f>
        <v>PR22000009</v>
      </c>
      <c r="N1451" t="str">
        <f>"תיקון רתמות 851"</f>
        <v>תיקון רתמות 851</v>
      </c>
      <c r="O1451">
        <v>615.35</v>
      </c>
      <c r="P1451" t="str">
        <f>"$"</f>
        <v>$</v>
      </c>
      <c r="Q1451" t="str">
        <f>"117"</f>
        <v>117</v>
      </c>
      <c r="R1451" t="str">
        <f>"רתמות"</f>
        <v>רתמות</v>
      </c>
      <c r="S1451" t="str">
        <f>"040"</f>
        <v>040</v>
      </c>
      <c r="T1451" t="str">
        <f>"עמר ליגל"</f>
        <v>עמר ליגל</v>
      </c>
      <c r="U1451">
        <v>0</v>
      </c>
      <c r="V1451">
        <v>0</v>
      </c>
      <c r="W1451">
        <v>615.35</v>
      </c>
      <c r="X1451">
        <v>615.35</v>
      </c>
      <c r="Z1451" t="str">
        <f>"Y"</f>
        <v>Y</v>
      </c>
      <c r="AA1451">
        <v>0</v>
      </c>
      <c r="AC1451">
        <v>0</v>
      </c>
      <c r="AE1451">
        <v>0</v>
      </c>
      <c r="AF1451">
        <v>0</v>
      </c>
      <c r="AG1451" s="2">
        <v>1913.12</v>
      </c>
      <c r="AH1451">
        <v>0</v>
      </c>
      <c r="AI1451" s="2">
        <v>1913.12</v>
      </c>
      <c r="AJ1451">
        <v>615.35</v>
      </c>
      <c r="AK1451">
        <v>615.35</v>
      </c>
      <c r="AL1451" t="str">
        <f>"$"</f>
        <v>$</v>
      </c>
    </row>
    <row r="1452" spans="1:38" x14ac:dyDescent="0.3">
      <c r="A1452" t="str">
        <f>"SO22000008"</f>
        <v>SO22000008</v>
      </c>
      <c r="B1452" t="str">
        <f>"E000353826"</f>
        <v>E000353826</v>
      </c>
      <c r="C1452" t="str">
        <f>"בוצעה"</f>
        <v>בוצעה</v>
      </c>
      <c r="E1452" s="3">
        <v>44570</v>
      </c>
      <c r="F1452" s="3">
        <v>44616</v>
      </c>
      <c r="G1452" t="str">
        <f>"700065"</f>
        <v>700065</v>
      </c>
      <c r="H1452" t="str">
        <f>"אלתא מערכות בע""מ"</f>
        <v>אלתא מערכות בע"מ</v>
      </c>
      <c r="I1452" t="str">
        <f>"רחמים זרוק"</f>
        <v>רחמים זרוק</v>
      </c>
      <c r="J1452" t="str">
        <f>"OP-AR02936"</f>
        <v>OP-AR02936</v>
      </c>
      <c r="K1452" s="1" t="str">
        <f>"1039H818-001 REV A REPAIR"</f>
        <v>1039H818-001 REV A REPAIR</v>
      </c>
      <c r="L1452">
        <v>1</v>
      </c>
      <c r="M1452" t="str">
        <f>"PR22000009"</f>
        <v>PR22000009</v>
      </c>
      <c r="N1452" t="str">
        <f>"תיקון רתמות 851"</f>
        <v>תיקון רתמות 851</v>
      </c>
      <c r="O1452">
        <v>351.38</v>
      </c>
      <c r="P1452" t="str">
        <f>"$"</f>
        <v>$</v>
      </c>
      <c r="Q1452" t="str">
        <f>"117"</f>
        <v>117</v>
      </c>
      <c r="R1452" t="str">
        <f>"רתמות"</f>
        <v>רתמות</v>
      </c>
      <c r="S1452" t="str">
        <f>"040"</f>
        <v>040</v>
      </c>
      <c r="T1452" t="str">
        <f>"עמר ליגל"</f>
        <v>עמר ליגל</v>
      </c>
      <c r="U1452">
        <v>0</v>
      </c>
      <c r="V1452">
        <v>0</v>
      </c>
      <c r="W1452">
        <v>351.38</v>
      </c>
      <c r="X1452">
        <v>351.38</v>
      </c>
      <c r="Z1452" t="str">
        <f>"Y"</f>
        <v>Y</v>
      </c>
      <c r="AA1452">
        <v>0</v>
      </c>
      <c r="AC1452">
        <v>0</v>
      </c>
      <c r="AE1452">
        <v>0</v>
      </c>
      <c r="AF1452">
        <v>0</v>
      </c>
      <c r="AG1452" s="2">
        <v>1092.44</v>
      </c>
      <c r="AH1452">
        <v>0</v>
      </c>
      <c r="AI1452" s="2">
        <v>1092.44</v>
      </c>
      <c r="AJ1452">
        <v>351.38</v>
      </c>
      <c r="AK1452">
        <v>351.38</v>
      </c>
      <c r="AL1452" t="str">
        <f>"$"</f>
        <v>$</v>
      </c>
    </row>
    <row r="1453" spans="1:38" x14ac:dyDescent="0.3">
      <c r="A1453" t="str">
        <f>"SO22000008"</f>
        <v>SO22000008</v>
      </c>
      <c r="B1453" t="str">
        <f>"E000353826"</f>
        <v>E000353826</v>
      </c>
      <c r="C1453" t="str">
        <f>"בוצעה"</f>
        <v>בוצעה</v>
      </c>
      <c r="E1453" s="3">
        <v>44570</v>
      </c>
      <c r="F1453" s="3">
        <v>44616</v>
      </c>
      <c r="G1453" t="str">
        <f>"700065"</f>
        <v>700065</v>
      </c>
      <c r="H1453" t="str">
        <f>"אלתא מערכות בע""מ"</f>
        <v>אלתא מערכות בע"מ</v>
      </c>
      <c r="I1453" t="str">
        <f>"רחמים זרוק"</f>
        <v>רחמים זרוק</v>
      </c>
      <c r="J1453" t="str">
        <f>"OP-AR02937"</f>
        <v>OP-AR02937</v>
      </c>
      <c r="K1453" s="1" t="str">
        <f>"1039H817-001 REV A REPAIR"</f>
        <v>1039H817-001 REV A REPAIR</v>
      </c>
      <c r="L1453">
        <v>1</v>
      </c>
      <c r="M1453" t="str">
        <f>"PR22000009"</f>
        <v>PR22000009</v>
      </c>
      <c r="N1453" t="str">
        <f>"תיקון רתמות 851"</f>
        <v>תיקון רתמות 851</v>
      </c>
      <c r="O1453">
        <v>351.38</v>
      </c>
      <c r="P1453" t="str">
        <f>"$"</f>
        <v>$</v>
      </c>
      <c r="Q1453" t="str">
        <f>"117"</f>
        <v>117</v>
      </c>
      <c r="R1453" t="str">
        <f>"רתמות"</f>
        <v>רתמות</v>
      </c>
      <c r="S1453" t="str">
        <f>"040"</f>
        <v>040</v>
      </c>
      <c r="T1453" t="str">
        <f>"עמר ליגל"</f>
        <v>עמר ליגל</v>
      </c>
      <c r="U1453">
        <v>0</v>
      </c>
      <c r="V1453">
        <v>0</v>
      </c>
      <c r="W1453">
        <v>351.38</v>
      </c>
      <c r="X1453">
        <v>351.38</v>
      </c>
      <c r="Z1453" t="str">
        <f>"Y"</f>
        <v>Y</v>
      </c>
      <c r="AA1453">
        <v>0</v>
      </c>
      <c r="AC1453">
        <v>0</v>
      </c>
      <c r="AE1453">
        <v>0</v>
      </c>
      <c r="AF1453">
        <v>0</v>
      </c>
      <c r="AG1453" s="2">
        <v>1092.44</v>
      </c>
      <c r="AH1453">
        <v>0</v>
      </c>
      <c r="AI1453" s="2">
        <v>1092.44</v>
      </c>
      <c r="AJ1453">
        <v>351.38</v>
      </c>
      <c r="AK1453">
        <v>351.38</v>
      </c>
      <c r="AL1453" t="str">
        <f>"$"</f>
        <v>$</v>
      </c>
    </row>
    <row r="1454" spans="1:38" x14ac:dyDescent="0.3">
      <c r="A1454" t="str">
        <f>"SO22000008"</f>
        <v>SO22000008</v>
      </c>
      <c r="B1454" t="str">
        <f>"E000353826"</f>
        <v>E000353826</v>
      </c>
      <c r="C1454" t="str">
        <f>"בוצעה"</f>
        <v>בוצעה</v>
      </c>
      <c r="E1454" s="3">
        <v>44570</v>
      </c>
      <c r="F1454" s="3">
        <v>44616</v>
      </c>
      <c r="G1454" t="str">
        <f>"700065"</f>
        <v>700065</v>
      </c>
      <c r="H1454" t="str">
        <f>"אלתא מערכות בע""מ"</f>
        <v>אלתא מערכות בע"מ</v>
      </c>
      <c r="I1454" t="str">
        <f>"רחמים זרוק"</f>
        <v>רחמים זרוק</v>
      </c>
      <c r="J1454" t="str">
        <f>"OP-AR02938"</f>
        <v>OP-AR02938</v>
      </c>
      <c r="K1454" s="1" t="str">
        <f>"1039H816-001 REV A REPAIR"</f>
        <v>1039H816-001 REV A REPAIR</v>
      </c>
      <c r="L1454">
        <v>1</v>
      </c>
      <c r="M1454" t="str">
        <f>"PR22000009"</f>
        <v>PR22000009</v>
      </c>
      <c r="N1454" t="str">
        <f>"תיקון רתמות 851"</f>
        <v>תיקון רתמות 851</v>
      </c>
      <c r="O1454">
        <v>357.68</v>
      </c>
      <c r="P1454" t="str">
        <f>"$"</f>
        <v>$</v>
      </c>
      <c r="Q1454" t="str">
        <f>"117"</f>
        <v>117</v>
      </c>
      <c r="R1454" t="str">
        <f>"רתמות"</f>
        <v>רתמות</v>
      </c>
      <c r="S1454" t="str">
        <f>"040"</f>
        <v>040</v>
      </c>
      <c r="T1454" t="str">
        <f>"עמר ליגל"</f>
        <v>עמר ליגל</v>
      </c>
      <c r="U1454">
        <v>0</v>
      </c>
      <c r="V1454">
        <v>0</v>
      </c>
      <c r="W1454">
        <v>357.68</v>
      </c>
      <c r="X1454">
        <v>357.68</v>
      </c>
      <c r="Z1454" t="str">
        <f>"Y"</f>
        <v>Y</v>
      </c>
      <c r="AA1454">
        <v>0</v>
      </c>
      <c r="AC1454">
        <v>0</v>
      </c>
      <c r="AE1454">
        <v>0</v>
      </c>
      <c r="AF1454">
        <v>0</v>
      </c>
      <c r="AG1454" s="2">
        <v>1112.03</v>
      </c>
      <c r="AH1454">
        <v>0</v>
      </c>
      <c r="AI1454" s="2">
        <v>1112.03</v>
      </c>
      <c r="AJ1454">
        <v>357.68</v>
      </c>
      <c r="AK1454">
        <v>357.68</v>
      </c>
      <c r="AL1454" t="str">
        <f>"$"</f>
        <v>$</v>
      </c>
    </row>
    <row r="1455" spans="1:38" x14ac:dyDescent="0.3">
      <c r="A1455" t="str">
        <f>"SO22000008"</f>
        <v>SO22000008</v>
      </c>
      <c r="B1455" t="str">
        <f>"E000353826"</f>
        <v>E000353826</v>
      </c>
      <c r="C1455" t="str">
        <f>"בוצעה"</f>
        <v>בוצעה</v>
      </c>
      <c r="E1455" s="3">
        <v>44570</v>
      </c>
      <c r="F1455" s="3">
        <v>44616</v>
      </c>
      <c r="G1455" t="str">
        <f>"700065"</f>
        <v>700065</v>
      </c>
      <c r="H1455" t="str">
        <f>"אלתא מערכות בע""מ"</f>
        <v>אלתא מערכות בע"מ</v>
      </c>
      <c r="I1455" t="str">
        <f>"רחמים זרוק"</f>
        <v>רחמים זרוק</v>
      </c>
      <c r="J1455" t="str">
        <f>"OP-AR02940"</f>
        <v>OP-AR02940</v>
      </c>
      <c r="K1455" s="1" t="str">
        <f>"1039H814-001 REV A REPAIR"</f>
        <v>1039H814-001 REV A REPAIR</v>
      </c>
      <c r="L1455">
        <v>1</v>
      </c>
      <c r="M1455" t="str">
        <f>"PR22000009"</f>
        <v>PR22000009</v>
      </c>
      <c r="N1455" t="str">
        <f>"תיקון רתמות 851"</f>
        <v>תיקון רתמות 851</v>
      </c>
      <c r="O1455">
        <v>452.18</v>
      </c>
      <c r="P1455" t="str">
        <f>"$"</f>
        <v>$</v>
      </c>
      <c r="Q1455" t="str">
        <f>"117"</f>
        <v>117</v>
      </c>
      <c r="R1455" t="str">
        <f>"רתמות"</f>
        <v>רתמות</v>
      </c>
      <c r="S1455" t="str">
        <f>"040"</f>
        <v>040</v>
      </c>
      <c r="T1455" t="str">
        <f>"עמר ליגל"</f>
        <v>עמר ליגל</v>
      </c>
      <c r="U1455">
        <v>0</v>
      </c>
      <c r="V1455">
        <v>0</v>
      </c>
      <c r="W1455">
        <v>452.18</v>
      </c>
      <c r="X1455">
        <v>452.18</v>
      </c>
      <c r="Z1455" t="str">
        <f>"Y"</f>
        <v>Y</v>
      </c>
      <c r="AA1455">
        <v>0</v>
      </c>
      <c r="AC1455">
        <v>0</v>
      </c>
      <c r="AE1455">
        <v>0</v>
      </c>
      <c r="AF1455">
        <v>0</v>
      </c>
      <c r="AG1455" s="2">
        <v>1405.83</v>
      </c>
      <c r="AH1455">
        <v>0</v>
      </c>
      <c r="AI1455" s="2">
        <v>1405.83</v>
      </c>
      <c r="AJ1455">
        <v>452.18</v>
      </c>
      <c r="AK1455">
        <v>452.18</v>
      </c>
      <c r="AL1455" t="str">
        <f>"$"</f>
        <v>$</v>
      </c>
    </row>
    <row r="1456" spans="1:38" x14ac:dyDescent="0.3">
      <c r="A1456" t="str">
        <f>"SO22000008"</f>
        <v>SO22000008</v>
      </c>
      <c r="B1456" t="str">
        <f>"E000353826"</f>
        <v>E000353826</v>
      </c>
      <c r="C1456" t="str">
        <f>"בוצעה"</f>
        <v>בוצעה</v>
      </c>
      <c r="E1456" s="3">
        <v>44570</v>
      </c>
      <c r="F1456" s="3">
        <v>44616</v>
      </c>
      <c r="G1456" t="str">
        <f>"700065"</f>
        <v>700065</v>
      </c>
      <c r="H1456" t="str">
        <f>"אלתא מערכות בע""מ"</f>
        <v>אלתא מערכות בע"מ</v>
      </c>
      <c r="I1456" t="str">
        <f>"רחמים זרוק"</f>
        <v>רחמים זרוק</v>
      </c>
      <c r="J1456" t="str">
        <f>"OP-AR02941"</f>
        <v>OP-AR02941</v>
      </c>
      <c r="K1456" s="1" t="str">
        <f>"1039H813-001 REV A REPAIR"</f>
        <v>1039H813-001 REV A REPAIR</v>
      </c>
      <c r="L1456">
        <v>1</v>
      </c>
      <c r="M1456" t="str">
        <f>"PR22000009"</f>
        <v>PR22000009</v>
      </c>
      <c r="N1456" t="str">
        <f>"תיקון רתמות 851"</f>
        <v>תיקון רתמות 851</v>
      </c>
      <c r="O1456">
        <v>452.18</v>
      </c>
      <c r="P1456" t="str">
        <f>"$"</f>
        <v>$</v>
      </c>
      <c r="Q1456" t="str">
        <f>"117"</f>
        <v>117</v>
      </c>
      <c r="R1456" t="str">
        <f>"רתמות"</f>
        <v>רתמות</v>
      </c>
      <c r="S1456" t="str">
        <f>"040"</f>
        <v>040</v>
      </c>
      <c r="T1456" t="str">
        <f>"עמר ליגל"</f>
        <v>עמר ליגל</v>
      </c>
      <c r="U1456">
        <v>0</v>
      </c>
      <c r="V1456">
        <v>0</v>
      </c>
      <c r="W1456">
        <v>452.18</v>
      </c>
      <c r="X1456">
        <v>452.18</v>
      </c>
      <c r="Z1456" t="str">
        <f>"Y"</f>
        <v>Y</v>
      </c>
      <c r="AA1456">
        <v>0</v>
      </c>
      <c r="AC1456">
        <v>0</v>
      </c>
      <c r="AE1456">
        <v>0</v>
      </c>
      <c r="AF1456">
        <v>0</v>
      </c>
      <c r="AG1456" s="2">
        <v>1405.83</v>
      </c>
      <c r="AH1456">
        <v>0</v>
      </c>
      <c r="AI1456" s="2">
        <v>1405.83</v>
      </c>
      <c r="AJ1456">
        <v>452.18</v>
      </c>
      <c r="AK1456">
        <v>452.18</v>
      </c>
      <c r="AL1456" t="str">
        <f>"$"</f>
        <v>$</v>
      </c>
    </row>
    <row r="1457" spans="1:38" x14ac:dyDescent="0.3">
      <c r="A1457" t="str">
        <f>"SO22000008"</f>
        <v>SO22000008</v>
      </c>
      <c r="B1457" t="str">
        <f>"E000353826"</f>
        <v>E000353826</v>
      </c>
      <c r="C1457" t="str">
        <f>"בוצעה"</f>
        <v>בוצעה</v>
      </c>
      <c r="E1457" s="3">
        <v>44570</v>
      </c>
      <c r="F1457" s="3">
        <v>44616</v>
      </c>
      <c r="G1457" t="str">
        <f>"700065"</f>
        <v>700065</v>
      </c>
      <c r="H1457" t="str">
        <f>"אלתא מערכות בע""מ"</f>
        <v>אלתא מערכות בע"מ</v>
      </c>
      <c r="I1457" t="str">
        <f>"רחמים זרוק"</f>
        <v>רחמים זרוק</v>
      </c>
      <c r="J1457" t="str">
        <f>"OP-AR02942"</f>
        <v>OP-AR02942</v>
      </c>
      <c r="K1457" s="1" t="str">
        <f>"1039H812-001 REV A REPAIR"</f>
        <v>1039H812-001 REV A REPAIR</v>
      </c>
      <c r="L1457">
        <v>1</v>
      </c>
      <c r="M1457" t="str">
        <f>"PR22000009"</f>
        <v>PR22000009</v>
      </c>
      <c r="N1457" t="str">
        <f>"תיקון רתמות 851"</f>
        <v>תיקון רתמות 851</v>
      </c>
      <c r="O1457">
        <v>452.18</v>
      </c>
      <c r="P1457" t="str">
        <f>"$"</f>
        <v>$</v>
      </c>
      <c r="Q1457" t="str">
        <f>"117"</f>
        <v>117</v>
      </c>
      <c r="R1457" t="str">
        <f>"רתמות"</f>
        <v>רתמות</v>
      </c>
      <c r="S1457" t="str">
        <f>"040"</f>
        <v>040</v>
      </c>
      <c r="T1457" t="str">
        <f>"עמר ליגל"</f>
        <v>עמר ליגל</v>
      </c>
      <c r="U1457">
        <v>0</v>
      </c>
      <c r="V1457">
        <v>0</v>
      </c>
      <c r="W1457">
        <v>452.18</v>
      </c>
      <c r="X1457">
        <v>452.18</v>
      </c>
      <c r="Z1457" t="str">
        <f>"Y"</f>
        <v>Y</v>
      </c>
      <c r="AA1457">
        <v>0</v>
      </c>
      <c r="AC1457">
        <v>0</v>
      </c>
      <c r="AE1457">
        <v>0</v>
      </c>
      <c r="AF1457">
        <v>0</v>
      </c>
      <c r="AG1457" s="2">
        <v>1405.83</v>
      </c>
      <c r="AH1457">
        <v>0</v>
      </c>
      <c r="AI1457" s="2">
        <v>1405.83</v>
      </c>
      <c r="AJ1457">
        <v>452.18</v>
      </c>
      <c r="AK1457">
        <v>452.18</v>
      </c>
      <c r="AL1457" t="str">
        <f>"$"</f>
        <v>$</v>
      </c>
    </row>
    <row r="1458" spans="1:38" x14ac:dyDescent="0.3">
      <c r="A1458" t="str">
        <f>"SO22000008"</f>
        <v>SO22000008</v>
      </c>
      <c r="B1458" t="str">
        <f>"E000353826"</f>
        <v>E000353826</v>
      </c>
      <c r="C1458" t="str">
        <f>"בוצעה"</f>
        <v>בוצעה</v>
      </c>
      <c r="E1458" s="3">
        <v>44570</v>
      </c>
      <c r="F1458" s="3">
        <v>44675</v>
      </c>
      <c r="G1458" t="str">
        <f>"700065"</f>
        <v>700065</v>
      </c>
      <c r="H1458" t="str">
        <f>"אלתא מערכות בע""מ"</f>
        <v>אלתא מערכות בע"מ</v>
      </c>
      <c r="I1458" t="str">
        <f>"רחמים זרוק"</f>
        <v>רחמים זרוק</v>
      </c>
      <c r="J1458" t="str">
        <f>"cust001171"</f>
        <v>cust001171</v>
      </c>
      <c r="K1458" s="1" t="str">
        <f>"1039H840-001 ELTA"</f>
        <v>1039H840-001 ELTA</v>
      </c>
      <c r="L1458">
        <v>2</v>
      </c>
      <c r="O1458">
        <v>235.7</v>
      </c>
      <c r="P1458" t="str">
        <f>"$"</f>
        <v>$</v>
      </c>
      <c r="Q1458" t="str">
        <f>"117"</f>
        <v>117</v>
      </c>
      <c r="R1458" t="str">
        <f>"רתמות"</f>
        <v>רתמות</v>
      </c>
      <c r="S1458" t="str">
        <f>"040"</f>
        <v>040</v>
      </c>
      <c r="T1458" t="str">
        <f>"עמר ליגל"</f>
        <v>עמר ליגל</v>
      </c>
      <c r="U1458">
        <v>0</v>
      </c>
      <c r="V1458">
        <v>0</v>
      </c>
      <c r="W1458">
        <v>235.7</v>
      </c>
      <c r="X1458">
        <v>471.4</v>
      </c>
      <c r="Z1458" t="str">
        <f>"Y"</f>
        <v>Y</v>
      </c>
      <c r="AA1458">
        <v>0</v>
      </c>
      <c r="AC1458">
        <v>0</v>
      </c>
      <c r="AE1458">
        <v>0</v>
      </c>
      <c r="AF1458">
        <v>0</v>
      </c>
      <c r="AG1458">
        <v>732.79</v>
      </c>
      <c r="AH1458">
        <v>0</v>
      </c>
      <c r="AI1458" s="2">
        <v>1465.58</v>
      </c>
      <c r="AJ1458">
        <v>471.4</v>
      </c>
      <c r="AK1458">
        <v>471.4</v>
      </c>
      <c r="AL1458" t="str">
        <f>"$"</f>
        <v>$</v>
      </c>
    </row>
    <row r="1459" spans="1:38" x14ac:dyDescent="0.3">
      <c r="A1459" t="str">
        <f>"SO22000016"</f>
        <v>SO22000016</v>
      </c>
      <c r="B1459" t="str">
        <f>"E000355064"</f>
        <v>E000355064</v>
      </c>
      <c r="C1459" t="str">
        <f>"הרכבה חלקית"</f>
        <v>הרכבה חלקית</v>
      </c>
      <c r="E1459" s="3">
        <v>44574</v>
      </c>
      <c r="F1459" s="3">
        <v>44864</v>
      </c>
      <c r="G1459" t="str">
        <f>"700065"</f>
        <v>700065</v>
      </c>
      <c r="H1459" t="str">
        <f>"אלתא מערכות בע""מ"</f>
        <v>אלתא מערכות בע"מ</v>
      </c>
      <c r="I1459" t="str">
        <f>"רוני דידי"</f>
        <v>רוני דידי</v>
      </c>
      <c r="J1459" t="str">
        <f>"OP-AR02041"</f>
        <v>OP-AR02041</v>
      </c>
      <c r="K1459" s="1" t="str">
        <f>"PDB1 1038C860-001"</f>
        <v>PDB1 1038C860-001</v>
      </c>
      <c r="L1459">
        <v>1</v>
      </c>
      <c r="O1459" s="2">
        <v>41000</v>
      </c>
      <c r="P1459" t="str">
        <f>"$"</f>
        <v>$</v>
      </c>
      <c r="Q1459" t="str">
        <f>"118"</f>
        <v>118</v>
      </c>
      <c r="R1459" t="str">
        <f>"מערכות"</f>
        <v>מערכות</v>
      </c>
      <c r="S1459" t="str">
        <f>"007"</f>
        <v>007</v>
      </c>
      <c r="T1459" t="str">
        <f>"עמר ליגל"</f>
        <v>עמר ליגל</v>
      </c>
      <c r="U1459">
        <v>0</v>
      </c>
      <c r="V1459">
        <v>0</v>
      </c>
      <c r="W1459" s="2">
        <v>41000</v>
      </c>
      <c r="X1459" s="2">
        <v>41000</v>
      </c>
      <c r="AA1459">
        <v>1</v>
      </c>
      <c r="AC1459">
        <v>0</v>
      </c>
      <c r="AE1459">
        <v>0</v>
      </c>
      <c r="AF1459">
        <v>0</v>
      </c>
      <c r="AG1459" s="2">
        <v>127797</v>
      </c>
      <c r="AH1459">
        <v>0</v>
      </c>
      <c r="AI1459" s="2">
        <v>127797</v>
      </c>
      <c r="AJ1459" s="2">
        <v>41000</v>
      </c>
      <c r="AK1459" s="2">
        <v>41000</v>
      </c>
      <c r="AL1459" t="str">
        <f>"$"</f>
        <v>$</v>
      </c>
    </row>
    <row r="1460" spans="1:38" x14ac:dyDescent="0.3">
      <c r="A1460" t="str">
        <f>"SO22000016"</f>
        <v>SO22000016</v>
      </c>
      <c r="B1460" t="str">
        <f>"E000355064"</f>
        <v>E000355064</v>
      </c>
      <c r="C1460" t="str">
        <f>"הרכבה חלקית"</f>
        <v>הרכבה חלקית</v>
      </c>
      <c r="E1460" s="3">
        <v>44574</v>
      </c>
      <c r="F1460" s="3">
        <v>44895</v>
      </c>
      <c r="G1460" t="str">
        <f>"700065"</f>
        <v>700065</v>
      </c>
      <c r="H1460" t="str">
        <f>"אלתא מערכות בע""מ"</f>
        <v>אלתא מערכות בע"מ</v>
      </c>
      <c r="I1460" t="str">
        <f>"רוני דידי"</f>
        <v>רוני דידי</v>
      </c>
      <c r="J1460" t="str">
        <f>"OP-AR02041"</f>
        <v>OP-AR02041</v>
      </c>
      <c r="K1460" s="1" t="str">
        <f>"PDB1 1038C860-001"</f>
        <v>PDB1 1038C860-001</v>
      </c>
      <c r="L1460">
        <v>1</v>
      </c>
      <c r="O1460" s="2">
        <v>41000</v>
      </c>
      <c r="P1460" t="str">
        <f>"$"</f>
        <v>$</v>
      </c>
      <c r="Q1460" t="str">
        <f>"118"</f>
        <v>118</v>
      </c>
      <c r="R1460" t="str">
        <f>"מערכות"</f>
        <v>מערכות</v>
      </c>
      <c r="S1460" t="str">
        <f>"007"</f>
        <v>007</v>
      </c>
      <c r="T1460" t="str">
        <f>"עמר ליגל"</f>
        <v>עמר ליגל</v>
      </c>
      <c r="U1460">
        <v>0</v>
      </c>
      <c r="V1460">
        <v>0</v>
      </c>
      <c r="W1460" s="2">
        <v>41000</v>
      </c>
      <c r="X1460" s="2">
        <v>41000</v>
      </c>
      <c r="Z1460" t="str">
        <f>"Y"</f>
        <v>Y</v>
      </c>
      <c r="AA1460">
        <v>1</v>
      </c>
      <c r="AC1460">
        <v>0</v>
      </c>
      <c r="AE1460">
        <v>0</v>
      </c>
      <c r="AF1460">
        <v>0</v>
      </c>
      <c r="AG1460" s="2">
        <v>127797</v>
      </c>
      <c r="AH1460">
        <v>0</v>
      </c>
      <c r="AI1460" s="2">
        <v>127797</v>
      </c>
      <c r="AJ1460" s="2">
        <v>41000</v>
      </c>
      <c r="AK1460" s="2">
        <v>41000</v>
      </c>
      <c r="AL1460" t="str">
        <f>"$"</f>
        <v>$</v>
      </c>
    </row>
    <row r="1461" spans="1:38" x14ac:dyDescent="0.3">
      <c r="A1461" t="str">
        <f>"SO22000016"</f>
        <v>SO22000016</v>
      </c>
      <c r="B1461" t="str">
        <f>"E000355064"</f>
        <v>E000355064</v>
      </c>
      <c r="C1461" t="str">
        <f>"הרכבה חלקית"</f>
        <v>הרכבה חלקית</v>
      </c>
      <c r="E1461" s="3">
        <v>44574</v>
      </c>
      <c r="F1461" s="3">
        <v>44925</v>
      </c>
      <c r="G1461" t="str">
        <f>"700065"</f>
        <v>700065</v>
      </c>
      <c r="H1461" t="str">
        <f>"אלתא מערכות בע""מ"</f>
        <v>אלתא מערכות בע"מ</v>
      </c>
      <c r="I1461" t="str">
        <f>"רוני דידי"</f>
        <v>רוני דידי</v>
      </c>
      <c r="J1461" t="str">
        <f>"OP-AR02041"</f>
        <v>OP-AR02041</v>
      </c>
      <c r="K1461" s="1" t="str">
        <f>"PDB1 1038C860-001"</f>
        <v>PDB1 1038C860-001</v>
      </c>
      <c r="L1461">
        <v>1</v>
      </c>
      <c r="O1461" s="2">
        <v>41000</v>
      </c>
      <c r="P1461" t="str">
        <f>"$"</f>
        <v>$</v>
      </c>
      <c r="Q1461" t="str">
        <f>"118"</f>
        <v>118</v>
      </c>
      <c r="R1461" t="str">
        <f>"מערכות"</f>
        <v>מערכות</v>
      </c>
      <c r="S1461" t="str">
        <f>"007"</f>
        <v>007</v>
      </c>
      <c r="T1461" t="str">
        <f>"עמר ליגל"</f>
        <v>עמר ליגל</v>
      </c>
      <c r="U1461">
        <v>0</v>
      </c>
      <c r="V1461">
        <v>0</v>
      </c>
      <c r="W1461" s="2">
        <v>41000</v>
      </c>
      <c r="X1461" s="2">
        <v>41000</v>
      </c>
      <c r="Z1461" t="str">
        <f>"Y"</f>
        <v>Y</v>
      </c>
      <c r="AA1461">
        <v>1</v>
      </c>
      <c r="AC1461">
        <v>0</v>
      </c>
      <c r="AE1461">
        <v>0</v>
      </c>
      <c r="AF1461">
        <v>0</v>
      </c>
      <c r="AG1461" s="2">
        <v>127797</v>
      </c>
      <c r="AH1461">
        <v>0</v>
      </c>
      <c r="AI1461" s="2">
        <v>127797</v>
      </c>
      <c r="AJ1461" s="2">
        <v>41000</v>
      </c>
      <c r="AK1461" s="2">
        <v>41000</v>
      </c>
      <c r="AL1461" t="str">
        <f>"$"</f>
        <v>$</v>
      </c>
    </row>
    <row r="1462" spans="1:38" x14ac:dyDescent="0.3">
      <c r="A1462" t="str">
        <f>"SO22000016"</f>
        <v>SO22000016</v>
      </c>
      <c r="B1462" t="str">
        <f>"E000355064"</f>
        <v>E000355064</v>
      </c>
      <c r="C1462" t="str">
        <f>"הרכבה חלקית"</f>
        <v>הרכבה חלקית</v>
      </c>
      <c r="E1462" s="3">
        <v>44574</v>
      </c>
      <c r="F1462" s="3">
        <v>44927</v>
      </c>
      <c r="G1462" t="str">
        <f>"700065"</f>
        <v>700065</v>
      </c>
      <c r="H1462" t="str">
        <f>"אלתא מערכות בע""מ"</f>
        <v>אלתא מערכות בע"מ</v>
      </c>
      <c r="I1462" t="str">
        <f>"רוני דידי"</f>
        <v>רוני דידי</v>
      </c>
      <c r="J1462" t="str">
        <f>"OP-AR02041"</f>
        <v>OP-AR02041</v>
      </c>
      <c r="K1462" s="1" t="str">
        <f>"PDB1 1038C860-001"</f>
        <v>PDB1 1038C860-001</v>
      </c>
      <c r="L1462">
        <v>1</v>
      </c>
      <c r="O1462" s="2">
        <v>41000</v>
      </c>
      <c r="P1462" t="str">
        <f>"$"</f>
        <v>$</v>
      </c>
      <c r="Q1462" t="str">
        <f>"118"</f>
        <v>118</v>
      </c>
      <c r="R1462" t="str">
        <f>"מערכות"</f>
        <v>מערכות</v>
      </c>
      <c r="S1462" t="str">
        <f>"007"</f>
        <v>007</v>
      </c>
      <c r="T1462" t="str">
        <f>"עמר ליגל"</f>
        <v>עמר ליגל</v>
      </c>
      <c r="U1462">
        <v>0</v>
      </c>
      <c r="V1462">
        <v>0</v>
      </c>
      <c r="W1462" s="2">
        <v>41000</v>
      </c>
      <c r="X1462" s="2">
        <v>41000</v>
      </c>
      <c r="Z1462" t="str">
        <f>"Y"</f>
        <v>Y</v>
      </c>
      <c r="AA1462">
        <v>1</v>
      </c>
      <c r="AC1462">
        <v>0</v>
      </c>
      <c r="AE1462">
        <v>0</v>
      </c>
      <c r="AF1462">
        <v>0</v>
      </c>
      <c r="AG1462" s="2">
        <v>127797</v>
      </c>
      <c r="AH1462">
        <v>0</v>
      </c>
      <c r="AI1462" s="2">
        <v>127797</v>
      </c>
      <c r="AJ1462" s="2">
        <v>41000</v>
      </c>
      <c r="AK1462" s="2">
        <v>41000</v>
      </c>
      <c r="AL1462" t="str">
        <f>"$"</f>
        <v>$</v>
      </c>
    </row>
    <row r="1463" spans="1:38" x14ac:dyDescent="0.3">
      <c r="A1463" t="str">
        <f>"SO22000016"</f>
        <v>SO22000016</v>
      </c>
      <c r="B1463" t="str">
        <f>"E000355064"</f>
        <v>E000355064</v>
      </c>
      <c r="C1463" t="str">
        <f>"הרכבה חלקית"</f>
        <v>הרכבה חלקית</v>
      </c>
      <c r="E1463" s="3">
        <v>44574</v>
      </c>
      <c r="F1463" s="3">
        <v>45078</v>
      </c>
      <c r="G1463" t="str">
        <f>"700065"</f>
        <v>700065</v>
      </c>
      <c r="H1463" t="str">
        <f>"אלתא מערכות בע""מ"</f>
        <v>אלתא מערכות בע"מ</v>
      </c>
      <c r="I1463" t="str">
        <f>"רוני דידי"</f>
        <v>רוני דידי</v>
      </c>
      <c r="J1463" t="str">
        <f>"OP-AR02041"</f>
        <v>OP-AR02041</v>
      </c>
      <c r="K1463" s="1" t="str">
        <f>"PDB1 1038C860-001"</f>
        <v>PDB1 1038C860-001</v>
      </c>
      <c r="L1463">
        <v>1</v>
      </c>
      <c r="O1463" s="2">
        <v>41000</v>
      </c>
      <c r="P1463" t="str">
        <f>"$"</f>
        <v>$</v>
      </c>
      <c r="Q1463" t="str">
        <f>"118"</f>
        <v>118</v>
      </c>
      <c r="R1463" t="str">
        <f>"מערכות"</f>
        <v>מערכות</v>
      </c>
      <c r="S1463" t="str">
        <f>"007"</f>
        <v>007</v>
      </c>
      <c r="T1463" t="str">
        <f>"עמר ליגל"</f>
        <v>עמר ליגל</v>
      </c>
      <c r="U1463">
        <v>0</v>
      </c>
      <c r="V1463">
        <v>0</v>
      </c>
      <c r="W1463" s="2">
        <v>41000</v>
      </c>
      <c r="X1463" s="2">
        <v>41000</v>
      </c>
      <c r="Z1463" t="str">
        <f>"Y"</f>
        <v>Y</v>
      </c>
      <c r="AA1463">
        <v>1</v>
      </c>
      <c r="AC1463">
        <v>0</v>
      </c>
      <c r="AE1463">
        <v>0</v>
      </c>
      <c r="AF1463">
        <v>0</v>
      </c>
      <c r="AG1463" s="2">
        <v>127797</v>
      </c>
      <c r="AH1463">
        <v>0</v>
      </c>
      <c r="AI1463" s="2">
        <v>127797</v>
      </c>
      <c r="AJ1463" s="2">
        <v>41000</v>
      </c>
      <c r="AK1463" s="2">
        <v>41000</v>
      </c>
      <c r="AL1463" t="str">
        <f>"$"</f>
        <v>$</v>
      </c>
    </row>
    <row r="1464" spans="1:38" x14ac:dyDescent="0.3">
      <c r="A1464" t="str">
        <f>"SO22000016"</f>
        <v>SO22000016</v>
      </c>
      <c r="B1464" t="str">
        <f>"E000355064"</f>
        <v>E000355064</v>
      </c>
      <c r="C1464" t="str">
        <f>"הרכבה חלקית"</f>
        <v>הרכבה חלקית</v>
      </c>
      <c r="E1464" s="3">
        <v>44574</v>
      </c>
      <c r="F1464" s="3">
        <v>45078</v>
      </c>
      <c r="G1464" t="str">
        <f>"700065"</f>
        <v>700065</v>
      </c>
      <c r="H1464" t="str">
        <f>"אלתא מערכות בע""מ"</f>
        <v>אלתא מערכות בע"מ</v>
      </c>
      <c r="I1464" t="str">
        <f>"רוני דידי"</f>
        <v>רוני דידי</v>
      </c>
      <c r="J1464" t="str">
        <f>"OP-AR02041"</f>
        <v>OP-AR02041</v>
      </c>
      <c r="K1464" s="1" t="str">
        <f>"PDB1 1038C860-001"</f>
        <v>PDB1 1038C860-001</v>
      </c>
      <c r="L1464">
        <v>1</v>
      </c>
      <c r="O1464" s="2">
        <v>41000</v>
      </c>
      <c r="P1464" t="str">
        <f>"$"</f>
        <v>$</v>
      </c>
      <c r="Q1464" t="str">
        <f>"118"</f>
        <v>118</v>
      </c>
      <c r="R1464" t="str">
        <f>"מערכות"</f>
        <v>מערכות</v>
      </c>
      <c r="S1464" t="str">
        <f>"007"</f>
        <v>007</v>
      </c>
      <c r="T1464" t="str">
        <f>"עמר ליגל"</f>
        <v>עמר ליגל</v>
      </c>
      <c r="U1464">
        <v>0</v>
      </c>
      <c r="V1464">
        <v>0</v>
      </c>
      <c r="W1464" s="2">
        <v>41000</v>
      </c>
      <c r="X1464" s="2">
        <v>41000</v>
      </c>
      <c r="Z1464" t="str">
        <f>"Y"</f>
        <v>Y</v>
      </c>
      <c r="AA1464">
        <v>1</v>
      </c>
      <c r="AC1464">
        <v>0</v>
      </c>
      <c r="AE1464">
        <v>0</v>
      </c>
      <c r="AF1464">
        <v>0</v>
      </c>
      <c r="AG1464" s="2">
        <v>127797</v>
      </c>
      <c r="AH1464">
        <v>0</v>
      </c>
      <c r="AI1464" s="2">
        <v>127797</v>
      </c>
      <c r="AJ1464" s="2">
        <v>41000</v>
      </c>
      <c r="AK1464" s="2">
        <v>41000</v>
      </c>
      <c r="AL1464" t="str">
        <f>"$"</f>
        <v>$</v>
      </c>
    </row>
    <row r="1465" spans="1:38" x14ac:dyDescent="0.3">
      <c r="A1465" t="str">
        <f>"SO22000016"</f>
        <v>SO22000016</v>
      </c>
      <c r="B1465" t="str">
        <f>"E000355064"</f>
        <v>E000355064</v>
      </c>
      <c r="C1465" t="str">
        <f>"הרכבה חלקית"</f>
        <v>הרכבה חלקית</v>
      </c>
      <c r="E1465" s="3">
        <v>44574</v>
      </c>
      <c r="F1465" s="3">
        <v>45078</v>
      </c>
      <c r="G1465" t="str">
        <f>"700065"</f>
        <v>700065</v>
      </c>
      <c r="H1465" t="str">
        <f>"אלתא מערכות בע""מ"</f>
        <v>אלתא מערכות בע"מ</v>
      </c>
      <c r="I1465" t="str">
        <f>"רוני דידי"</f>
        <v>רוני דידי</v>
      </c>
      <c r="J1465" t="str">
        <f>"OP-AR02041"</f>
        <v>OP-AR02041</v>
      </c>
      <c r="K1465" s="1" t="str">
        <f>"PDB1 1038C860-001"</f>
        <v>PDB1 1038C860-001</v>
      </c>
      <c r="L1465">
        <v>1</v>
      </c>
      <c r="O1465" s="2">
        <v>41000</v>
      </c>
      <c r="P1465" t="str">
        <f>"$"</f>
        <v>$</v>
      </c>
      <c r="Q1465" t="str">
        <f>"118"</f>
        <v>118</v>
      </c>
      <c r="R1465" t="str">
        <f>"מערכות"</f>
        <v>מערכות</v>
      </c>
      <c r="S1465" t="str">
        <f>"007"</f>
        <v>007</v>
      </c>
      <c r="T1465" t="str">
        <f>"עמר ליגל"</f>
        <v>עמר ליגל</v>
      </c>
      <c r="U1465">
        <v>0</v>
      </c>
      <c r="V1465">
        <v>0</v>
      </c>
      <c r="W1465" s="2">
        <v>41000</v>
      </c>
      <c r="X1465" s="2">
        <v>41000</v>
      </c>
      <c r="Z1465" t="str">
        <f>"Y"</f>
        <v>Y</v>
      </c>
      <c r="AA1465">
        <v>1</v>
      </c>
      <c r="AC1465">
        <v>0</v>
      </c>
      <c r="AE1465">
        <v>0</v>
      </c>
      <c r="AF1465">
        <v>0</v>
      </c>
      <c r="AG1465" s="2">
        <v>127797</v>
      </c>
      <c r="AH1465">
        <v>0</v>
      </c>
      <c r="AI1465" s="2">
        <v>127797</v>
      </c>
      <c r="AJ1465" s="2">
        <v>41000</v>
      </c>
      <c r="AK1465" s="2">
        <v>41000</v>
      </c>
      <c r="AL1465" t="str">
        <f>"$"</f>
        <v>$</v>
      </c>
    </row>
    <row r="1466" spans="1:38" x14ac:dyDescent="0.3">
      <c r="A1466" t="str">
        <f>"SO22000016"</f>
        <v>SO22000016</v>
      </c>
      <c r="B1466" t="str">
        <f>"E000355064"</f>
        <v>E000355064</v>
      </c>
      <c r="C1466" t="str">
        <f>"הרכבה חלקית"</f>
        <v>הרכבה חלקית</v>
      </c>
      <c r="E1466" s="3">
        <v>44574</v>
      </c>
      <c r="F1466" s="3">
        <v>45032</v>
      </c>
      <c r="G1466" t="str">
        <f>"700065"</f>
        <v>700065</v>
      </c>
      <c r="H1466" t="str">
        <f>"אלתא מערכות בע""מ"</f>
        <v>אלתא מערכות בע"מ</v>
      </c>
      <c r="I1466" t="str">
        <f>"רוני דידי"</f>
        <v>רוני דידי</v>
      </c>
      <c r="J1466" t="str">
        <f>"OP-AR02041-1S"</f>
        <v>OP-AR02041-1S</v>
      </c>
      <c r="K1466" s="1" t="str">
        <f>"SL PDB  1 1042A860-001"</f>
        <v>SL PDB  1 1042A860-001</v>
      </c>
      <c r="L1466">
        <v>1</v>
      </c>
      <c r="O1466" s="2">
        <v>41000</v>
      </c>
      <c r="P1466" t="str">
        <f>"$"</f>
        <v>$</v>
      </c>
      <c r="Q1466" t="str">
        <f>"118"</f>
        <v>118</v>
      </c>
      <c r="R1466" t="str">
        <f>"מערכות"</f>
        <v>מערכות</v>
      </c>
      <c r="S1466" t="str">
        <f>"007"</f>
        <v>007</v>
      </c>
      <c r="T1466" t="str">
        <f>"עמר ליגל"</f>
        <v>עמר ליגל</v>
      </c>
      <c r="U1466">
        <v>0</v>
      </c>
      <c r="V1466">
        <v>0</v>
      </c>
      <c r="W1466" s="2">
        <v>41000</v>
      </c>
      <c r="X1466" s="2">
        <v>41000</v>
      </c>
      <c r="Z1466" t="str">
        <f>"Y"</f>
        <v>Y</v>
      </c>
      <c r="AA1466">
        <v>1</v>
      </c>
      <c r="AC1466">
        <v>0</v>
      </c>
      <c r="AE1466">
        <v>0</v>
      </c>
      <c r="AF1466">
        <v>0</v>
      </c>
      <c r="AG1466" s="2">
        <v>127797</v>
      </c>
      <c r="AH1466">
        <v>0</v>
      </c>
      <c r="AI1466" s="2">
        <v>127797</v>
      </c>
      <c r="AJ1466" s="2">
        <v>41000</v>
      </c>
      <c r="AK1466" s="2">
        <v>41000</v>
      </c>
      <c r="AL1466" t="str">
        <f>"$"</f>
        <v>$</v>
      </c>
    </row>
    <row r="1467" spans="1:38" x14ac:dyDescent="0.3">
      <c r="A1467" t="str">
        <f>"SO22000016"</f>
        <v>SO22000016</v>
      </c>
      <c r="B1467" t="str">
        <f>"E000355064"</f>
        <v>E000355064</v>
      </c>
      <c r="C1467" t="str">
        <f>"הרכבה חלקית"</f>
        <v>הרכבה חלקית</v>
      </c>
      <c r="E1467" s="3">
        <v>44574</v>
      </c>
      <c r="F1467" s="3">
        <v>45032</v>
      </c>
      <c r="G1467" t="str">
        <f>"700065"</f>
        <v>700065</v>
      </c>
      <c r="H1467" t="str">
        <f>"אלתא מערכות בע""מ"</f>
        <v>אלתא מערכות בע"מ</v>
      </c>
      <c r="I1467" t="str">
        <f>"רוני דידי"</f>
        <v>רוני דידי</v>
      </c>
      <c r="J1467" t="str">
        <f>"OP-AR02041-1S"</f>
        <v>OP-AR02041-1S</v>
      </c>
      <c r="K1467" s="1" t="str">
        <f>"SL PDB  1 1042A860-001"</f>
        <v>SL PDB  1 1042A860-001</v>
      </c>
      <c r="L1467">
        <v>1</v>
      </c>
      <c r="O1467" s="2">
        <v>41000</v>
      </c>
      <c r="P1467" t="str">
        <f>"$"</f>
        <v>$</v>
      </c>
      <c r="Q1467" t="str">
        <f>"118"</f>
        <v>118</v>
      </c>
      <c r="R1467" t="str">
        <f>"מערכות"</f>
        <v>מערכות</v>
      </c>
      <c r="S1467" t="str">
        <f>"007"</f>
        <v>007</v>
      </c>
      <c r="T1467" t="str">
        <f>"עמר ליגל"</f>
        <v>עמר ליגל</v>
      </c>
      <c r="U1467">
        <v>0</v>
      </c>
      <c r="V1467">
        <v>0</v>
      </c>
      <c r="W1467" s="2">
        <v>41000</v>
      </c>
      <c r="X1467" s="2">
        <v>41000</v>
      </c>
      <c r="Z1467" t="str">
        <f>"Y"</f>
        <v>Y</v>
      </c>
      <c r="AA1467">
        <v>1</v>
      </c>
      <c r="AC1467">
        <v>0</v>
      </c>
      <c r="AE1467">
        <v>0</v>
      </c>
      <c r="AF1467">
        <v>0</v>
      </c>
      <c r="AG1467" s="2">
        <v>127797</v>
      </c>
      <c r="AH1467">
        <v>0</v>
      </c>
      <c r="AI1467" s="2">
        <v>127797</v>
      </c>
      <c r="AJ1467" s="2">
        <v>41000</v>
      </c>
      <c r="AK1467" s="2">
        <v>41000</v>
      </c>
      <c r="AL1467" t="str">
        <f>"$"</f>
        <v>$</v>
      </c>
    </row>
    <row r="1468" spans="1:38" x14ac:dyDescent="0.3">
      <c r="A1468" t="str">
        <f>"SO22000016"</f>
        <v>SO22000016</v>
      </c>
      <c r="B1468" t="str">
        <f>"E000355064"</f>
        <v>E000355064</v>
      </c>
      <c r="C1468" t="str">
        <f>"הרכבה חלקית"</f>
        <v>הרכבה חלקית</v>
      </c>
      <c r="E1468" s="3">
        <v>44574</v>
      </c>
      <c r="F1468" s="3">
        <v>44803</v>
      </c>
      <c r="G1468" t="str">
        <f>"700065"</f>
        <v>700065</v>
      </c>
      <c r="H1468" t="str">
        <f>"אלתא מערכות בע""מ"</f>
        <v>אלתא מערכות בע"מ</v>
      </c>
      <c r="I1468" t="str">
        <f>"רוני דידי"</f>
        <v>רוני דידי</v>
      </c>
      <c r="J1468" t="str">
        <f>"OP-AR02041"</f>
        <v>OP-AR02041</v>
      </c>
      <c r="K1468" s="1" t="str">
        <f>"PDB1 1038C860-001"</f>
        <v>PDB1 1038C860-001</v>
      </c>
      <c r="L1468">
        <v>1</v>
      </c>
      <c r="O1468" s="2">
        <v>41000</v>
      </c>
      <c r="P1468" t="str">
        <f>"$"</f>
        <v>$</v>
      </c>
      <c r="Q1468" t="str">
        <f>"118"</f>
        <v>118</v>
      </c>
      <c r="R1468" t="str">
        <f>"מערכות"</f>
        <v>מערכות</v>
      </c>
      <c r="S1468" t="str">
        <f>"007"</f>
        <v>007</v>
      </c>
      <c r="T1468" t="str">
        <f>"עמר ליגל"</f>
        <v>עמר ליגל</v>
      </c>
      <c r="U1468">
        <v>0</v>
      </c>
      <c r="V1468">
        <v>0</v>
      </c>
      <c r="W1468" s="2">
        <v>41000</v>
      </c>
      <c r="X1468" s="2">
        <v>41000</v>
      </c>
      <c r="Z1468" t="str">
        <f>"Y"</f>
        <v>Y</v>
      </c>
      <c r="AA1468">
        <v>1</v>
      </c>
      <c r="AC1468">
        <v>0</v>
      </c>
      <c r="AE1468">
        <v>0</v>
      </c>
      <c r="AF1468">
        <v>0</v>
      </c>
      <c r="AG1468" s="2">
        <v>127797</v>
      </c>
      <c r="AH1468">
        <v>0</v>
      </c>
      <c r="AI1468" s="2">
        <v>127797</v>
      </c>
      <c r="AJ1468" s="2">
        <v>41000</v>
      </c>
      <c r="AK1468" s="2">
        <v>41000</v>
      </c>
      <c r="AL1468" t="str">
        <f>"$"</f>
        <v>$</v>
      </c>
    </row>
    <row r="1469" spans="1:38" x14ac:dyDescent="0.3">
      <c r="A1469" t="str">
        <f>"SO22000016"</f>
        <v>SO22000016</v>
      </c>
      <c r="B1469" t="str">
        <f>"E000355064"</f>
        <v>E000355064</v>
      </c>
      <c r="C1469" t="str">
        <f>"הרכבה חלקית"</f>
        <v>הרכבה חלקית</v>
      </c>
      <c r="E1469" s="3">
        <v>44574</v>
      </c>
      <c r="F1469" s="3">
        <v>44803</v>
      </c>
      <c r="G1469" t="str">
        <f>"700065"</f>
        <v>700065</v>
      </c>
      <c r="H1469" t="str">
        <f>"אלתא מערכות בע""מ"</f>
        <v>אלתא מערכות בע"מ</v>
      </c>
      <c r="I1469" t="str">
        <f>"רוני דידי"</f>
        <v>רוני דידי</v>
      </c>
      <c r="J1469" t="str">
        <f>"OP-AR02041"</f>
        <v>OP-AR02041</v>
      </c>
      <c r="K1469" s="1" t="str">
        <f>"PDB1 1038C860-001"</f>
        <v>PDB1 1038C860-001</v>
      </c>
      <c r="L1469">
        <v>1</v>
      </c>
      <c r="O1469" s="2">
        <v>41000</v>
      </c>
      <c r="P1469" t="str">
        <f>"$"</f>
        <v>$</v>
      </c>
      <c r="Q1469" t="str">
        <f>"118"</f>
        <v>118</v>
      </c>
      <c r="R1469" t="str">
        <f>"מערכות"</f>
        <v>מערכות</v>
      </c>
      <c r="S1469" t="str">
        <f>"007"</f>
        <v>007</v>
      </c>
      <c r="T1469" t="str">
        <f>"עמר ליגל"</f>
        <v>עמר ליגל</v>
      </c>
      <c r="U1469">
        <v>0</v>
      </c>
      <c r="V1469">
        <v>0</v>
      </c>
      <c r="W1469" s="2">
        <v>41000</v>
      </c>
      <c r="X1469" s="2">
        <v>41000</v>
      </c>
      <c r="Z1469" t="str">
        <f>"Y"</f>
        <v>Y</v>
      </c>
      <c r="AA1469">
        <v>1</v>
      </c>
      <c r="AC1469">
        <v>0</v>
      </c>
      <c r="AE1469">
        <v>0</v>
      </c>
      <c r="AF1469">
        <v>0</v>
      </c>
      <c r="AG1469" s="2">
        <v>127797</v>
      </c>
      <c r="AH1469">
        <v>0</v>
      </c>
      <c r="AI1469" s="2">
        <v>127797</v>
      </c>
      <c r="AJ1469" s="2">
        <v>41000</v>
      </c>
      <c r="AK1469" s="2">
        <v>41000</v>
      </c>
      <c r="AL1469" t="str">
        <f>"$"</f>
        <v>$</v>
      </c>
    </row>
    <row r="1470" spans="1:38" x14ac:dyDescent="0.3">
      <c r="A1470" t="str">
        <f>"SO22000016"</f>
        <v>SO22000016</v>
      </c>
      <c r="B1470" t="str">
        <f>"E000355064"</f>
        <v>E000355064</v>
      </c>
      <c r="C1470" t="str">
        <f>"הרכבה חלקית"</f>
        <v>הרכבה חלקית</v>
      </c>
      <c r="E1470" s="3">
        <v>44574</v>
      </c>
      <c r="F1470" s="3">
        <v>44986</v>
      </c>
      <c r="G1470" t="str">
        <f>"700065"</f>
        <v>700065</v>
      </c>
      <c r="H1470" t="str">
        <f>"אלתא מערכות בע""מ"</f>
        <v>אלתא מערכות בע"מ</v>
      </c>
      <c r="I1470" t="str">
        <f>"רוני דידי"</f>
        <v>רוני דידי</v>
      </c>
      <c r="J1470" t="str">
        <f>"OP-AR02918"</f>
        <v>OP-AR02918</v>
      </c>
      <c r="K1470" s="1" t="str">
        <f>"HU PDB1 1033H520-001"</f>
        <v>HU PDB1 1033H520-001</v>
      </c>
      <c r="L1470">
        <v>1</v>
      </c>
      <c r="M1470" t="str">
        <f>"PR22000151"</f>
        <v>PR22000151</v>
      </c>
      <c r="N1470" t="str">
        <f>"1033H520-001 PDB1 VICD"</f>
        <v>1033H520-001 PDB1 VICD</v>
      </c>
      <c r="O1470" s="2">
        <v>41000</v>
      </c>
      <c r="P1470" t="str">
        <f>"$"</f>
        <v>$</v>
      </c>
      <c r="Q1470" t="str">
        <f>"118"</f>
        <v>118</v>
      </c>
      <c r="R1470" t="str">
        <f>"מערכות"</f>
        <v>מערכות</v>
      </c>
      <c r="S1470" t="str">
        <f>"007"</f>
        <v>007</v>
      </c>
      <c r="T1470" t="str">
        <f>"עמר ליגל"</f>
        <v>עמר ליגל</v>
      </c>
      <c r="U1470">
        <v>0</v>
      </c>
      <c r="V1470">
        <v>0</v>
      </c>
      <c r="W1470" s="2">
        <v>41000</v>
      </c>
      <c r="X1470" s="2">
        <v>41000</v>
      </c>
      <c r="Z1470" t="str">
        <f>"Y"</f>
        <v>Y</v>
      </c>
      <c r="AA1470">
        <v>0</v>
      </c>
      <c r="AC1470">
        <v>0</v>
      </c>
      <c r="AE1470">
        <v>0</v>
      </c>
      <c r="AF1470">
        <v>0</v>
      </c>
      <c r="AG1470" s="2">
        <v>127797</v>
      </c>
      <c r="AH1470">
        <v>0</v>
      </c>
      <c r="AI1470" s="2">
        <v>127797</v>
      </c>
      <c r="AJ1470" s="2">
        <v>41000</v>
      </c>
      <c r="AK1470" s="2">
        <v>41000</v>
      </c>
      <c r="AL1470" t="str">
        <f>"$"</f>
        <v>$</v>
      </c>
    </row>
    <row r="1471" spans="1:38" x14ac:dyDescent="0.3">
      <c r="A1471" t="str">
        <f>"SO22000016"</f>
        <v>SO22000016</v>
      </c>
      <c r="B1471" t="str">
        <f>"E000355064"</f>
        <v>E000355064</v>
      </c>
      <c r="C1471" t="str">
        <f>"הרכבה חלקית"</f>
        <v>הרכבה חלקית</v>
      </c>
      <c r="E1471" s="3">
        <v>44574</v>
      </c>
      <c r="F1471" s="3">
        <v>44635</v>
      </c>
      <c r="G1471" t="str">
        <f>"700065"</f>
        <v>700065</v>
      </c>
      <c r="H1471" t="str">
        <f>"אלתא מערכות בע""מ"</f>
        <v>אלתא מערכות בע"מ</v>
      </c>
      <c r="I1471" t="str">
        <f>"רוני דידי"</f>
        <v>רוני דידי</v>
      </c>
      <c r="J1471" t="str">
        <f>"OP-AR02918"</f>
        <v>OP-AR02918</v>
      </c>
      <c r="K1471" s="1" t="str">
        <f>"HU PDB1 1033H520-001"</f>
        <v>HU PDB1 1033H520-001</v>
      </c>
      <c r="L1471">
        <v>1</v>
      </c>
      <c r="M1471" t="str">
        <f>"PR22000152"</f>
        <v>PR22000152</v>
      </c>
      <c r="N1471" t="str">
        <f>"1033H520-001 PDB1 VICD"</f>
        <v>1033H520-001 PDB1 VICD</v>
      </c>
      <c r="O1471" s="2">
        <v>41000</v>
      </c>
      <c r="P1471" t="str">
        <f>"$"</f>
        <v>$</v>
      </c>
      <c r="Q1471" t="str">
        <f>"118"</f>
        <v>118</v>
      </c>
      <c r="R1471" t="str">
        <f>"מערכות"</f>
        <v>מערכות</v>
      </c>
      <c r="S1471" t="str">
        <f>"007"</f>
        <v>007</v>
      </c>
      <c r="T1471" t="str">
        <f>"עמר ליגל"</f>
        <v>עמר ליגל</v>
      </c>
      <c r="U1471">
        <v>0</v>
      </c>
      <c r="V1471">
        <v>0</v>
      </c>
      <c r="W1471" s="2">
        <v>41000</v>
      </c>
      <c r="X1471" s="2">
        <v>41000</v>
      </c>
      <c r="Z1471" t="str">
        <f>"Y"</f>
        <v>Y</v>
      </c>
      <c r="AA1471">
        <v>0</v>
      </c>
      <c r="AC1471">
        <v>0</v>
      </c>
      <c r="AE1471">
        <v>0</v>
      </c>
      <c r="AF1471">
        <v>0</v>
      </c>
      <c r="AG1471" s="2">
        <v>127797</v>
      </c>
      <c r="AH1471">
        <v>0</v>
      </c>
      <c r="AI1471" s="2">
        <v>127797</v>
      </c>
      <c r="AJ1471" s="2">
        <v>41000</v>
      </c>
      <c r="AK1471" s="2">
        <v>41000</v>
      </c>
      <c r="AL1471" t="str">
        <f>"$"</f>
        <v>$</v>
      </c>
    </row>
    <row r="1472" spans="1:38" x14ac:dyDescent="0.3">
      <c r="A1472" t="str">
        <f>"SO22000016"</f>
        <v>SO22000016</v>
      </c>
      <c r="B1472" t="str">
        <f>"E000355064"</f>
        <v>E000355064</v>
      </c>
      <c r="C1472" t="str">
        <f>"הרכבה חלקית"</f>
        <v>הרכבה חלקית</v>
      </c>
      <c r="E1472" s="3">
        <v>44574</v>
      </c>
      <c r="F1472" s="3">
        <v>44635</v>
      </c>
      <c r="G1472" t="str">
        <f>"700065"</f>
        <v>700065</v>
      </c>
      <c r="H1472" t="str">
        <f>"אלתא מערכות בע""מ"</f>
        <v>אלתא מערכות בע"מ</v>
      </c>
      <c r="I1472" t="str">
        <f>"רוני דידי"</f>
        <v>רוני דידי</v>
      </c>
      <c r="J1472" t="str">
        <f>"OP-AR02918"</f>
        <v>OP-AR02918</v>
      </c>
      <c r="K1472" s="1" t="str">
        <f>"HU PDB1 1033H520-001"</f>
        <v>HU PDB1 1033H520-001</v>
      </c>
      <c r="L1472">
        <v>1</v>
      </c>
      <c r="M1472" t="str">
        <f>"PR22000156"</f>
        <v>PR22000156</v>
      </c>
      <c r="N1472" t="str">
        <f>"1033H520-001 PDB1 VICD"</f>
        <v>1033H520-001 PDB1 VICD</v>
      </c>
      <c r="O1472" s="2">
        <v>41000</v>
      </c>
      <c r="P1472" t="str">
        <f>"$"</f>
        <v>$</v>
      </c>
      <c r="Q1472" t="str">
        <f>"118"</f>
        <v>118</v>
      </c>
      <c r="R1472" t="str">
        <f>"מערכות"</f>
        <v>מערכות</v>
      </c>
      <c r="S1472" t="str">
        <f>"007"</f>
        <v>007</v>
      </c>
      <c r="T1472" t="str">
        <f>"עמר ליגל"</f>
        <v>עמר ליגל</v>
      </c>
      <c r="U1472">
        <v>0</v>
      </c>
      <c r="V1472">
        <v>0</v>
      </c>
      <c r="W1472" s="2">
        <v>41000</v>
      </c>
      <c r="X1472" s="2">
        <v>41000</v>
      </c>
      <c r="Z1472" t="str">
        <f>"Y"</f>
        <v>Y</v>
      </c>
      <c r="AA1472">
        <v>0</v>
      </c>
      <c r="AC1472">
        <v>0</v>
      </c>
      <c r="AE1472">
        <v>0</v>
      </c>
      <c r="AF1472">
        <v>0</v>
      </c>
      <c r="AG1472" s="2">
        <v>127797</v>
      </c>
      <c r="AH1472">
        <v>0</v>
      </c>
      <c r="AI1472" s="2">
        <v>127797</v>
      </c>
      <c r="AJ1472" s="2">
        <v>41000</v>
      </c>
      <c r="AK1472" s="2">
        <v>41000</v>
      </c>
      <c r="AL1472" t="str">
        <f>"$"</f>
        <v>$</v>
      </c>
    </row>
    <row r="1473" spans="1:38" x14ac:dyDescent="0.3">
      <c r="A1473" t="str">
        <f>"SO22000016"</f>
        <v>SO22000016</v>
      </c>
      <c r="B1473" t="str">
        <f>"E000355064"</f>
        <v>E000355064</v>
      </c>
      <c r="C1473" t="str">
        <f>"הרכבה חלקית"</f>
        <v>הרכבה חלקית</v>
      </c>
      <c r="E1473" s="3">
        <v>44574</v>
      </c>
      <c r="F1473" s="3">
        <v>44925</v>
      </c>
      <c r="G1473" t="str">
        <f>"700065"</f>
        <v>700065</v>
      </c>
      <c r="H1473" t="str">
        <f>"אלתא מערכות בע""מ"</f>
        <v>אלתא מערכות בע"מ</v>
      </c>
      <c r="I1473" t="str">
        <f>"רוני דידי"</f>
        <v>רוני דידי</v>
      </c>
      <c r="J1473" t="str">
        <f>"OP-AR02918"</f>
        <v>OP-AR02918</v>
      </c>
      <c r="K1473" s="1" t="str">
        <f>"HU PDB1 1033H520-001"</f>
        <v>HU PDB1 1033H520-001</v>
      </c>
      <c r="L1473">
        <v>1</v>
      </c>
      <c r="M1473" t="str">
        <f>"PR22000157"</f>
        <v>PR22000157</v>
      </c>
      <c r="N1473" t="str">
        <f>"1043B860 PDB1 M"</f>
        <v>1043B860 PDB1 M</v>
      </c>
      <c r="O1473" s="2">
        <v>41000</v>
      </c>
      <c r="P1473" t="str">
        <f>"$"</f>
        <v>$</v>
      </c>
      <c r="Q1473" t="str">
        <f>"118"</f>
        <v>118</v>
      </c>
      <c r="R1473" t="str">
        <f>"מערכות"</f>
        <v>מערכות</v>
      </c>
      <c r="S1473" t="str">
        <f>"007"</f>
        <v>007</v>
      </c>
      <c r="T1473" t="str">
        <f>"עמר ליגל"</f>
        <v>עמר ליגל</v>
      </c>
      <c r="U1473">
        <v>0</v>
      </c>
      <c r="V1473">
        <v>0</v>
      </c>
      <c r="W1473" s="2">
        <v>41000</v>
      </c>
      <c r="X1473" s="2">
        <v>41000</v>
      </c>
      <c r="Z1473" t="str">
        <f>"Y"</f>
        <v>Y</v>
      </c>
      <c r="AA1473">
        <v>0</v>
      </c>
      <c r="AC1473">
        <v>0</v>
      </c>
      <c r="AE1473">
        <v>0</v>
      </c>
      <c r="AF1473">
        <v>0</v>
      </c>
      <c r="AG1473" s="2">
        <v>127797</v>
      </c>
      <c r="AH1473">
        <v>0</v>
      </c>
      <c r="AI1473" s="2">
        <v>127797</v>
      </c>
      <c r="AJ1473" s="2">
        <v>41000</v>
      </c>
      <c r="AK1473" s="2">
        <v>41000</v>
      </c>
      <c r="AL1473" t="str">
        <f>"$"</f>
        <v>$</v>
      </c>
    </row>
    <row r="1474" spans="1:38" x14ac:dyDescent="0.3">
      <c r="A1474" t="str">
        <f>"SO22000016"</f>
        <v>SO22000016</v>
      </c>
      <c r="B1474" t="str">
        <f>"E000355064"</f>
        <v>E000355064</v>
      </c>
      <c r="C1474" t="str">
        <f>"הרכבה חלקית"</f>
        <v>הרכבה חלקית</v>
      </c>
      <c r="E1474" s="3">
        <v>44574</v>
      </c>
      <c r="F1474" s="3">
        <v>45291</v>
      </c>
      <c r="G1474" t="str">
        <f>"700065"</f>
        <v>700065</v>
      </c>
      <c r="H1474" t="str">
        <f>"אלתא מערכות בע""מ"</f>
        <v>אלתא מערכות בע"מ</v>
      </c>
      <c r="I1474" t="str">
        <f>"רוני דידי"</f>
        <v>רוני דידי</v>
      </c>
      <c r="J1474" t="str">
        <f>"OP-AR02918"</f>
        <v>OP-AR02918</v>
      </c>
      <c r="K1474" s="1" t="str">
        <f>"HU PDB1 1033H520-001"</f>
        <v>HU PDB1 1033H520-001</v>
      </c>
      <c r="L1474">
        <v>1</v>
      </c>
      <c r="M1474" t="str">
        <f>"PR22000159"</f>
        <v>PR22000159</v>
      </c>
      <c r="N1474" t="str">
        <f>"05 1033H520-001 PDB1 VICD"</f>
        <v>05 1033H520-001 PDB1 VICD</v>
      </c>
      <c r="O1474" s="2">
        <v>41000</v>
      </c>
      <c r="P1474" t="str">
        <f>"$"</f>
        <v>$</v>
      </c>
      <c r="Q1474" t="str">
        <f>"118"</f>
        <v>118</v>
      </c>
      <c r="R1474" t="str">
        <f>"מערכות"</f>
        <v>מערכות</v>
      </c>
      <c r="S1474" t="str">
        <f>"007"</f>
        <v>007</v>
      </c>
      <c r="T1474" t="str">
        <f>"עמר ליגל"</f>
        <v>עמר ליגל</v>
      </c>
      <c r="U1474">
        <v>0</v>
      </c>
      <c r="V1474">
        <v>0</v>
      </c>
      <c r="W1474" s="2">
        <v>41000</v>
      </c>
      <c r="X1474" s="2">
        <v>41000</v>
      </c>
      <c r="Z1474" t="str">
        <f>"Y"</f>
        <v>Y</v>
      </c>
      <c r="AA1474">
        <v>0</v>
      </c>
      <c r="AC1474">
        <v>0</v>
      </c>
      <c r="AE1474">
        <v>0</v>
      </c>
      <c r="AF1474">
        <v>0</v>
      </c>
      <c r="AG1474" s="2">
        <v>127797</v>
      </c>
      <c r="AH1474">
        <v>0</v>
      </c>
      <c r="AI1474" s="2">
        <v>127797</v>
      </c>
      <c r="AJ1474" s="2">
        <v>41000</v>
      </c>
      <c r="AK1474" s="2">
        <v>41000</v>
      </c>
      <c r="AL1474" t="str">
        <f>"$"</f>
        <v>$</v>
      </c>
    </row>
    <row r="1475" spans="1:38" x14ac:dyDescent="0.3">
      <c r="A1475" t="str">
        <f>"SO22000016"</f>
        <v>SO22000016</v>
      </c>
      <c r="B1475" t="str">
        <f>"E000355064"</f>
        <v>E000355064</v>
      </c>
      <c r="C1475" t="str">
        <f>"הרכבה חלקית"</f>
        <v>הרכבה חלקית</v>
      </c>
      <c r="E1475" s="3">
        <v>44574</v>
      </c>
      <c r="F1475" s="3">
        <v>44972</v>
      </c>
      <c r="G1475" t="str">
        <f>"700065"</f>
        <v>700065</v>
      </c>
      <c r="H1475" t="str">
        <f>"אלתא מערכות בע""מ"</f>
        <v>אלתא מערכות בע"מ</v>
      </c>
      <c r="I1475" t="str">
        <f>"רוני דידי"</f>
        <v>רוני דידי</v>
      </c>
      <c r="J1475" t="str">
        <f>"OP-AR02918"</f>
        <v>OP-AR02918</v>
      </c>
      <c r="K1475" s="1" t="str">
        <f>"HU PDB1 1033H520-001"</f>
        <v>HU PDB1 1033H520-001</v>
      </c>
      <c r="L1475">
        <v>1</v>
      </c>
      <c r="M1475" t="str">
        <f>"PR22000160"</f>
        <v>PR22000160</v>
      </c>
      <c r="N1475" t="str">
        <f>"1033H520-001 PDB1 VICD"</f>
        <v>1033H520-001 PDB1 VICD</v>
      </c>
      <c r="O1475" s="2">
        <v>41000</v>
      </c>
      <c r="P1475" t="str">
        <f>"$"</f>
        <v>$</v>
      </c>
      <c r="Q1475" t="str">
        <f>"118"</f>
        <v>118</v>
      </c>
      <c r="R1475" t="str">
        <f>"מערכות"</f>
        <v>מערכות</v>
      </c>
      <c r="S1475" t="str">
        <f>"007"</f>
        <v>007</v>
      </c>
      <c r="T1475" t="str">
        <f>"עמר ליגל"</f>
        <v>עמר ליגל</v>
      </c>
      <c r="U1475">
        <v>0</v>
      </c>
      <c r="V1475">
        <v>0</v>
      </c>
      <c r="W1475" s="2">
        <v>41000</v>
      </c>
      <c r="X1475" s="2">
        <v>41000</v>
      </c>
      <c r="AA1475">
        <v>1</v>
      </c>
      <c r="AC1475">
        <v>0</v>
      </c>
      <c r="AE1475">
        <v>0</v>
      </c>
      <c r="AF1475">
        <v>0</v>
      </c>
      <c r="AG1475" s="2">
        <v>127797</v>
      </c>
      <c r="AH1475">
        <v>0</v>
      </c>
      <c r="AI1475" s="2">
        <v>127797</v>
      </c>
      <c r="AJ1475" s="2">
        <v>41000</v>
      </c>
      <c r="AK1475" s="2">
        <v>41000</v>
      </c>
      <c r="AL1475" t="str">
        <f>"$"</f>
        <v>$</v>
      </c>
    </row>
    <row r="1476" spans="1:38" x14ac:dyDescent="0.3">
      <c r="A1476" t="str">
        <f>"SO22000016"</f>
        <v>SO22000016</v>
      </c>
      <c r="B1476" t="str">
        <f>"E000355064"</f>
        <v>E000355064</v>
      </c>
      <c r="C1476" t="str">
        <f>"הרכבה חלקית"</f>
        <v>הרכבה חלקית</v>
      </c>
      <c r="E1476" s="3">
        <v>44574</v>
      </c>
      <c r="F1476" s="3">
        <v>45200</v>
      </c>
      <c r="G1476" t="str">
        <f>"700065"</f>
        <v>700065</v>
      </c>
      <c r="H1476" t="str">
        <f>"אלתא מערכות בע""מ"</f>
        <v>אלתא מערכות בע"מ</v>
      </c>
      <c r="I1476" t="str">
        <f>"רוני דידי"</f>
        <v>רוני דידי</v>
      </c>
      <c r="J1476" t="str">
        <f>"OP-AR02918"</f>
        <v>OP-AR02918</v>
      </c>
      <c r="K1476" s="1" t="str">
        <f>"HU PDB1 1033H520-001"</f>
        <v>HU PDB1 1033H520-001</v>
      </c>
      <c r="L1476">
        <v>1</v>
      </c>
      <c r="M1476" t="str">
        <f>"PR22000161"</f>
        <v>PR22000161</v>
      </c>
      <c r="N1476" t="str">
        <f>"06 1033H520-001 PDB1 VICD"</f>
        <v>06 1033H520-001 PDB1 VICD</v>
      </c>
      <c r="O1476" s="2">
        <v>41000</v>
      </c>
      <c r="P1476" t="str">
        <f>"$"</f>
        <v>$</v>
      </c>
      <c r="Q1476" t="str">
        <f>"118"</f>
        <v>118</v>
      </c>
      <c r="R1476" t="str">
        <f>"מערכות"</f>
        <v>מערכות</v>
      </c>
      <c r="S1476" t="str">
        <f>"007"</f>
        <v>007</v>
      </c>
      <c r="T1476" t="str">
        <f>"עמר ליגל"</f>
        <v>עמר ליגל</v>
      </c>
      <c r="U1476">
        <v>0</v>
      </c>
      <c r="V1476">
        <v>0</v>
      </c>
      <c r="W1476" s="2">
        <v>41000</v>
      </c>
      <c r="X1476" s="2">
        <v>41000</v>
      </c>
      <c r="AA1476">
        <v>1</v>
      </c>
      <c r="AC1476">
        <v>0</v>
      </c>
      <c r="AE1476">
        <v>0</v>
      </c>
      <c r="AF1476">
        <v>0</v>
      </c>
      <c r="AG1476" s="2">
        <v>127797</v>
      </c>
      <c r="AH1476">
        <v>0</v>
      </c>
      <c r="AI1476" s="2">
        <v>127797</v>
      </c>
      <c r="AJ1476" s="2">
        <v>41000</v>
      </c>
      <c r="AK1476" s="2">
        <v>41000</v>
      </c>
      <c r="AL1476" t="str">
        <f>"$"</f>
        <v>$</v>
      </c>
    </row>
    <row r="1477" spans="1:38" x14ac:dyDescent="0.3">
      <c r="A1477" t="str">
        <f>"SO22000016"</f>
        <v>SO22000016</v>
      </c>
      <c r="B1477" t="str">
        <f>"E000355064"</f>
        <v>E000355064</v>
      </c>
      <c r="C1477" t="str">
        <f>"הרכבה חלקית"</f>
        <v>הרכבה חלקית</v>
      </c>
      <c r="E1477" s="3">
        <v>44574</v>
      </c>
      <c r="F1477" s="3">
        <v>45200</v>
      </c>
      <c r="G1477" t="str">
        <f>"700065"</f>
        <v>700065</v>
      </c>
      <c r="H1477" t="str">
        <f>"אלתא מערכות בע""מ"</f>
        <v>אלתא מערכות בע"מ</v>
      </c>
      <c r="I1477" t="str">
        <f>"רוני דידי"</f>
        <v>רוני דידי</v>
      </c>
      <c r="J1477" t="str">
        <f>"OP-AR02918"</f>
        <v>OP-AR02918</v>
      </c>
      <c r="K1477" s="1" t="str">
        <f>"HU PDB1 1033H520-001"</f>
        <v>HU PDB1 1033H520-001</v>
      </c>
      <c r="L1477">
        <v>1</v>
      </c>
      <c r="M1477" t="str">
        <f>"PR22000303"</f>
        <v>PR22000303</v>
      </c>
      <c r="N1477" t="str">
        <f>"1033H520-001 PDB1 VICD"</f>
        <v>1033H520-001 PDB1 VICD</v>
      </c>
      <c r="O1477" s="2">
        <v>41000</v>
      </c>
      <c r="P1477" t="str">
        <f>"$"</f>
        <v>$</v>
      </c>
      <c r="Q1477" t="str">
        <f>"118"</f>
        <v>118</v>
      </c>
      <c r="R1477" t="str">
        <f>"מערכות"</f>
        <v>מערכות</v>
      </c>
      <c r="S1477" t="str">
        <f>"007"</f>
        <v>007</v>
      </c>
      <c r="T1477" t="str">
        <f>"עמר ליגל"</f>
        <v>עמר ליגל</v>
      </c>
      <c r="U1477">
        <v>0</v>
      </c>
      <c r="V1477">
        <v>0</v>
      </c>
      <c r="W1477" s="2">
        <v>41000</v>
      </c>
      <c r="X1477" s="2">
        <v>41000</v>
      </c>
      <c r="AA1477">
        <v>1</v>
      </c>
      <c r="AC1477">
        <v>0</v>
      </c>
      <c r="AE1477">
        <v>0</v>
      </c>
      <c r="AF1477">
        <v>0</v>
      </c>
      <c r="AG1477" s="2">
        <v>127797</v>
      </c>
      <c r="AH1477">
        <v>0</v>
      </c>
      <c r="AI1477" s="2">
        <v>127797</v>
      </c>
      <c r="AJ1477" s="2">
        <v>41000</v>
      </c>
      <c r="AK1477" s="2">
        <v>41000</v>
      </c>
      <c r="AL1477" t="str">
        <f>"$"</f>
        <v>$</v>
      </c>
    </row>
    <row r="1478" spans="1:38" x14ac:dyDescent="0.3">
      <c r="A1478" t="str">
        <f>"SO22000016"</f>
        <v>SO22000016</v>
      </c>
      <c r="B1478" t="str">
        <f>"E000355064"</f>
        <v>E000355064</v>
      </c>
      <c r="C1478" t="str">
        <f>"הרכבה חלקית"</f>
        <v>הרכבה חלקית</v>
      </c>
      <c r="E1478" s="3">
        <v>44574</v>
      </c>
      <c r="F1478" s="3">
        <v>45291</v>
      </c>
      <c r="G1478" t="str">
        <f>"700065"</f>
        <v>700065</v>
      </c>
      <c r="H1478" t="str">
        <f>"אלתא מערכות בע""מ"</f>
        <v>אלתא מערכות בע"מ</v>
      </c>
      <c r="I1478" t="str">
        <f>"רוני דידי"</f>
        <v>רוני דידי</v>
      </c>
      <c r="J1478" t="str">
        <f>"OP-AR02918"</f>
        <v>OP-AR02918</v>
      </c>
      <c r="K1478" s="1" t="str">
        <f>"HU PDB1 1033H520-001"</f>
        <v>HU PDB1 1033H520-001</v>
      </c>
      <c r="L1478">
        <v>1</v>
      </c>
      <c r="M1478" t="str">
        <f>"PR22000304"</f>
        <v>PR22000304</v>
      </c>
      <c r="N1478" t="str">
        <f>"1033H520-001 PDB1 VICD"</f>
        <v>1033H520-001 PDB1 VICD</v>
      </c>
      <c r="O1478" s="2">
        <v>41000</v>
      </c>
      <c r="P1478" t="str">
        <f>"$"</f>
        <v>$</v>
      </c>
      <c r="Q1478" t="str">
        <f>"118"</f>
        <v>118</v>
      </c>
      <c r="R1478" t="str">
        <f>"מערכות"</f>
        <v>מערכות</v>
      </c>
      <c r="S1478" t="str">
        <f>"007"</f>
        <v>007</v>
      </c>
      <c r="T1478" t="str">
        <f>"עמר ליגל"</f>
        <v>עמר ליגל</v>
      </c>
      <c r="U1478">
        <v>0</v>
      </c>
      <c r="V1478">
        <v>0</v>
      </c>
      <c r="W1478" s="2">
        <v>41000</v>
      </c>
      <c r="X1478" s="2">
        <v>41000</v>
      </c>
      <c r="AA1478">
        <v>1</v>
      </c>
      <c r="AC1478">
        <v>0</v>
      </c>
      <c r="AE1478">
        <v>0</v>
      </c>
      <c r="AF1478">
        <v>0</v>
      </c>
      <c r="AG1478" s="2">
        <v>127797</v>
      </c>
      <c r="AH1478">
        <v>0</v>
      </c>
      <c r="AI1478" s="2">
        <v>127797</v>
      </c>
      <c r="AJ1478" s="2">
        <v>41000</v>
      </c>
      <c r="AK1478" s="2">
        <v>41000</v>
      </c>
      <c r="AL1478" t="str">
        <f>"$"</f>
        <v>$</v>
      </c>
    </row>
    <row r="1479" spans="1:38" x14ac:dyDescent="0.3">
      <c r="A1479" t="str">
        <f>"SO22000016"</f>
        <v>SO22000016</v>
      </c>
      <c r="B1479" t="str">
        <f>"E000355064"</f>
        <v>E000355064</v>
      </c>
      <c r="C1479" t="str">
        <f>"הרכבה חלקית"</f>
        <v>הרכבה חלקית</v>
      </c>
      <c r="E1479" s="3">
        <v>44574</v>
      </c>
      <c r="F1479" s="3">
        <v>45291</v>
      </c>
      <c r="G1479" t="str">
        <f>"700065"</f>
        <v>700065</v>
      </c>
      <c r="H1479" t="str">
        <f>"אלתא מערכות בע""מ"</f>
        <v>אלתא מערכות בע"מ</v>
      </c>
      <c r="I1479" t="str">
        <f>"רוני דידי"</f>
        <v>רוני דידי</v>
      </c>
      <c r="J1479" t="str">
        <f>"OP-AR02918"</f>
        <v>OP-AR02918</v>
      </c>
      <c r="K1479" s="1" t="str">
        <f>"HU PDB1 1033H520-001"</f>
        <v>HU PDB1 1033H520-001</v>
      </c>
      <c r="L1479">
        <v>1</v>
      </c>
      <c r="M1479" t="str">
        <f>"PR22000428"</f>
        <v>PR22000428</v>
      </c>
      <c r="N1479" t="str">
        <f>"1033H520-001 PDB1 VICD"</f>
        <v>1033H520-001 PDB1 VICD</v>
      </c>
      <c r="O1479" s="2">
        <v>41000</v>
      </c>
      <c r="P1479" t="str">
        <f>"$"</f>
        <v>$</v>
      </c>
      <c r="Q1479" t="str">
        <f>"118"</f>
        <v>118</v>
      </c>
      <c r="R1479" t="str">
        <f>"מערכות"</f>
        <v>מערכות</v>
      </c>
      <c r="S1479" t="str">
        <f>"007"</f>
        <v>007</v>
      </c>
      <c r="T1479" t="str">
        <f>"עמר ליגל"</f>
        <v>עמר ליגל</v>
      </c>
      <c r="U1479">
        <v>0</v>
      </c>
      <c r="V1479">
        <v>0</v>
      </c>
      <c r="W1479" s="2">
        <v>41000</v>
      </c>
      <c r="X1479" s="2">
        <v>41000</v>
      </c>
      <c r="AA1479">
        <v>1</v>
      </c>
      <c r="AC1479">
        <v>0</v>
      </c>
      <c r="AE1479">
        <v>0</v>
      </c>
      <c r="AF1479">
        <v>0</v>
      </c>
      <c r="AG1479" s="2">
        <v>127797</v>
      </c>
      <c r="AH1479">
        <v>0</v>
      </c>
      <c r="AI1479" s="2">
        <v>127797</v>
      </c>
      <c r="AJ1479" s="2">
        <v>41000</v>
      </c>
      <c r="AK1479" s="2">
        <v>41000</v>
      </c>
      <c r="AL1479" t="str">
        <f>"$"</f>
        <v>$</v>
      </c>
    </row>
    <row r="1480" spans="1:38" x14ac:dyDescent="0.3">
      <c r="A1480" t="str">
        <f>"SO22000016"</f>
        <v>SO22000016</v>
      </c>
      <c r="B1480" t="str">
        <f>"E000355064"</f>
        <v>E000355064</v>
      </c>
      <c r="C1480" t="str">
        <f>"הרכבה חלקית"</f>
        <v>הרכבה חלקית</v>
      </c>
      <c r="E1480" s="3">
        <v>44574</v>
      </c>
      <c r="F1480" s="3">
        <v>45291</v>
      </c>
      <c r="G1480" t="str">
        <f>"700065"</f>
        <v>700065</v>
      </c>
      <c r="H1480" t="str">
        <f>"אלתא מערכות בע""מ"</f>
        <v>אלתא מערכות בע"מ</v>
      </c>
      <c r="I1480" t="str">
        <f>"רוני דידי"</f>
        <v>רוני דידי</v>
      </c>
      <c r="J1480" t="str">
        <f>"OP-AR02918"</f>
        <v>OP-AR02918</v>
      </c>
      <c r="K1480" s="1" t="str">
        <f>"HU PDB1 1033H520-001"</f>
        <v>HU PDB1 1033H520-001</v>
      </c>
      <c r="L1480">
        <v>1</v>
      </c>
      <c r="M1480" t="str">
        <f>"PR22000429"</f>
        <v>PR22000429</v>
      </c>
      <c r="N1480" t="str">
        <f>"1033H520-001 PDB1 VICD"</f>
        <v>1033H520-001 PDB1 VICD</v>
      </c>
      <c r="O1480" s="2">
        <v>41000</v>
      </c>
      <c r="P1480" t="str">
        <f>"$"</f>
        <v>$</v>
      </c>
      <c r="Q1480" t="str">
        <f>"118"</f>
        <v>118</v>
      </c>
      <c r="R1480" t="str">
        <f>"מערכות"</f>
        <v>מערכות</v>
      </c>
      <c r="S1480" t="str">
        <f>"007"</f>
        <v>007</v>
      </c>
      <c r="T1480" t="str">
        <f>"עמר ליגל"</f>
        <v>עמר ליגל</v>
      </c>
      <c r="U1480">
        <v>0</v>
      </c>
      <c r="V1480">
        <v>0</v>
      </c>
      <c r="W1480" s="2">
        <v>41000</v>
      </c>
      <c r="X1480" s="2">
        <v>41000</v>
      </c>
      <c r="AA1480">
        <v>1</v>
      </c>
      <c r="AC1480">
        <v>0</v>
      </c>
      <c r="AE1480">
        <v>0</v>
      </c>
      <c r="AF1480">
        <v>0</v>
      </c>
      <c r="AG1480" s="2">
        <v>127797</v>
      </c>
      <c r="AH1480">
        <v>0</v>
      </c>
      <c r="AI1480" s="2">
        <v>127797</v>
      </c>
      <c r="AJ1480" s="2">
        <v>41000</v>
      </c>
      <c r="AK1480" s="2">
        <v>41000</v>
      </c>
      <c r="AL1480" t="str">
        <f>"$"</f>
        <v>$</v>
      </c>
    </row>
    <row r="1481" spans="1:38" x14ac:dyDescent="0.3">
      <c r="A1481" t="str">
        <f>"SO22000016"</f>
        <v>SO22000016</v>
      </c>
      <c r="B1481" t="str">
        <f>"E000355064"</f>
        <v>E000355064</v>
      </c>
      <c r="C1481" t="str">
        <f>"הרכבה חלקית"</f>
        <v>הרכבה חלקית</v>
      </c>
      <c r="E1481" s="3">
        <v>44574</v>
      </c>
      <c r="F1481" s="3">
        <v>45104</v>
      </c>
      <c r="G1481" t="str">
        <f>"700065"</f>
        <v>700065</v>
      </c>
      <c r="H1481" t="str">
        <f>"אלתא מערכות בע""מ"</f>
        <v>אלתא מערכות בע"מ</v>
      </c>
      <c r="I1481" t="str">
        <f>"רוני דידי"</f>
        <v>רוני דידי</v>
      </c>
      <c r="J1481" t="str">
        <f>"OP-AR02041-1S"</f>
        <v>OP-AR02041-1S</v>
      </c>
      <c r="K1481" s="1" t="str">
        <f>"SL PDB  1 1042A860-001"</f>
        <v>SL PDB  1 1042A860-001</v>
      </c>
      <c r="L1481">
        <v>1</v>
      </c>
      <c r="M1481" t="str">
        <f>"PR22000139"</f>
        <v>PR22000139</v>
      </c>
      <c r="N1481" t="str">
        <f>"01/PDB  1 1038C860-001"</f>
        <v>01/PDB  1 1038C860-001</v>
      </c>
      <c r="O1481" s="2">
        <v>41000</v>
      </c>
      <c r="P1481" t="str">
        <f>"$"</f>
        <v>$</v>
      </c>
      <c r="Q1481" t="str">
        <f>"118"</f>
        <v>118</v>
      </c>
      <c r="R1481" t="str">
        <f>"מערכות"</f>
        <v>מערכות</v>
      </c>
      <c r="S1481" t="str">
        <f>"007"</f>
        <v>007</v>
      </c>
      <c r="T1481" t="str">
        <f>"עמר ליגל"</f>
        <v>עמר ליגל</v>
      </c>
      <c r="U1481">
        <v>0</v>
      </c>
      <c r="V1481">
        <v>0</v>
      </c>
      <c r="W1481" s="2">
        <v>41000</v>
      </c>
      <c r="X1481" s="2">
        <v>41000</v>
      </c>
      <c r="Z1481" t="str">
        <f>"Y"</f>
        <v>Y</v>
      </c>
      <c r="AA1481">
        <v>0</v>
      </c>
      <c r="AC1481">
        <v>0</v>
      </c>
      <c r="AE1481">
        <v>0</v>
      </c>
      <c r="AF1481">
        <v>0</v>
      </c>
      <c r="AG1481" s="2">
        <v>127797</v>
      </c>
      <c r="AH1481">
        <v>0</v>
      </c>
      <c r="AI1481" s="2">
        <v>127797</v>
      </c>
      <c r="AJ1481" s="2">
        <v>41000</v>
      </c>
      <c r="AK1481" s="2">
        <v>41000</v>
      </c>
      <c r="AL1481" t="str">
        <f>"$"</f>
        <v>$</v>
      </c>
    </row>
    <row r="1482" spans="1:38" x14ac:dyDescent="0.3">
      <c r="A1482" t="str">
        <f>"SO22000016"</f>
        <v>SO22000016</v>
      </c>
      <c r="B1482" t="str">
        <f>"E000355064"</f>
        <v>E000355064</v>
      </c>
      <c r="C1482" t="str">
        <f>"הרכבה חלקית"</f>
        <v>הרכבה חלקית</v>
      </c>
      <c r="E1482" s="3">
        <v>44574</v>
      </c>
      <c r="F1482" s="3">
        <v>45104</v>
      </c>
      <c r="G1482" t="str">
        <f>"700065"</f>
        <v>700065</v>
      </c>
      <c r="H1482" t="str">
        <f>"אלתא מערכות בע""מ"</f>
        <v>אלתא מערכות בע"מ</v>
      </c>
      <c r="I1482" t="str">
        <f>"רוני דידי"</f>
        <v>רוני דידי</v>
      </c>
      <c r="J1482" t="str">
        <f>"OP-AR02041-1S"</f>
        <v>OP-AR02041-1S</v>
      </c>
      <c r="K1482" s="1" t="str">
        <f>"SL PDB  1 1042A860-001"</f>
        <v>SL PDB  1 1042A860-001</v>
      </c>
      <c r="L1482">
        <v>1</v>
      </c>
      <c r="M1482" t="str">
        <f>"PR22000140"</f>
        <v>PR22000140</v>
      </c>
      <c r="N1482" t="str">
        <f>"2/PDB  1 1038C860-001"</f>
        <v>2/PDB  1 1038C860-001</v>
      </c>
      <c r="O1482" s="2">
        <v>41000</v>
      </c>
      <c r="P1482" t="str">
        <f>"$"</f>
        <v>$</v>
      </c>
      <c r="Q1482" t="str">
        <f>"118"</f>
        <v>118</v>
      </c>
      <c r="R1482" t="str">
        <f>"מערכות"</f>
        <v>מערכות</v>
      </c>
      <c r="S1482" t="str">
        <f>"007"</f>
        <v>007</v>
      </c>
      <c r="T1482" t="str">
        <f>"עמר ליגל"</f>
        <v>עמר ליגל</v>
      </c>
      <c r="U1482">
        <v>0</v>
      </c>
      <c r="V1482">
        <v>0</v>
      </c>
      <c r="W1482" s="2">
        <v>41000</v>
      </c>
      <c r="X1482" s="2">
        <v>41000</v>
      </c>
      <c r="Z1482" t="str">
        <f>"Y"</f>
        <v>Y</v>
      </c>
      <c r="AA1482">
        <v>0</v>
      </c>
      <c r="AC1482">
        <v>0</v>
      </c>
      <c r="AE1482">
        <v>0</v>
      </c>
      <c r="AF1482">
        <v>0</v>
      </c>
      <c r="AG1482" s="2">
        <v>127797</v>
      </c>
      <c r="AH1482">
        <v>0</v>
      </c>
      <c r="AI1482" s="2">
        <v>127797</v>
      </c>
      <c r="AJ1482" s="2">
        <v>41000</v>
      </c>
      <c r="AK1482" s="2">
        <v>41000</v>
      </c>
      <c r="AL1482" t="str">
        <f>"$"</f>
        <v>$</v>
      </c>
    </row>
    <row r="1483" spans="1:38" x14ac:dyDescent="0.3">
      <c r="A1483" t="str">
        <f>"SO22000016"</f>
        <v>SO22000016</v>
      </c>
      <c r="B1483" t="str">
        <f>"E000355064"</f>
        <v>E000355064</v>
      </c>
      <c r="C1483" t="str">
        <f>"הרכבה חלקית"</f>
        <v>הרכבה חלקית</v>
      </c>
      <c r="E1483" s="3">
        <v>44574</v>
      </c>
      <c r="F1483" s="3">
        <v>45104</v>
      </c>
      <c r="G1483" t="str">
        <f>"700065"</f>
        <v>700065</v>
      </c>
      <c r="H1483" t="str">
        <f>"אלתא מערכות בע""מ"</f>
        <v>אלתא מערכות בע"מ</v>
      </c>
      <c r="I1483" t="str">
        <f>"רוני דידי"</f>
        <v>רוני דידי</v>
      </c>
      <c r="J1483" t="str">
        <f>"OP-AR02041-1S"</f>
        <v>OP-AR02041-1S</v>
      </c>
      <c r="K1483" s="1" t="str">
        <f>"SL PDB  1 1042A860-001"</f>
        <v>SL PDB  1 1042A860-001</v>
      </c>
      <c r="L1483">
        <v>1</v>
      </c>
      <c r="M1483" t="str">
        <f>"PR22000141"</f>
        <v>PR22000141</v>
      </c>
      <c r="N1483" t="str">
        <f>"3  PDB  1 1038C860-001"</f>
        <v>3  PDB  1 1038C860-001</v>
      </c>
      <c r="O1483" s="2">
        <v>41000</v>
      </c>
      <c r="P1483" t="str">
        <f>"$"</f>
        <v>$</v>
      </c>
      <c r="Q1483" t="str">
        <f>"118"</f>
        <v>118</v>
      </c>
      <c r="R1483" t="str">
        <f>"מערכות"</f>
        <v>מערכות</v>
      </c>
      <c r="S1483" t="str">
        <f>"007"</f>
        <v>007</v>
      </c>
      <c r="T1483" t="str">
        <f>"עמר ליגל"</f>
        <v>עמר ליגל</v>
      </c>
      <c r="U1483">
        <v>0</v>
      </c>
      <c r="V1483">
        <v>0</v>
      </c>
      <c r="W1483" s="2">
        <v>41000</v>
      </c>
      <c r="X1483" s="2">
        <v>41000</v>
      </c>
      <c r="Z1483" t="str">
        <f>"Y"</f>
        <v>Y</v>
      </c>
      <c r="AA1483">
        <v>0</v>
      </c>
      <c r="AC1483">
        <v>0</v>
      </c>
      <c r="AE1483">
        <v>0</v>
      </c>
      <c r="AF1483">
        <v>0</v>
      </c>
      <c r="AG1483" s="2">
        <v>127797</v>
      </c>
      <c r="AH1483">
        <v>0</v>
      </c>
      <c r="AI1483" s="2">
        <v>127797</v>
      </c>
      <c r="AJ1483" s="2">
        <v>41000</v>
      </c>
      <c r="AK1483" s="2">
        <v>41000</v>
      </c>
      <c r="AL1483" t="str">
        <f>"$"</f>
        <v>$</v>
      </c>
    </row>
    <row r="1484" spans="1:38" x14ac:dyDescent="0.3">
      <c r="A1484" t="str">
        <f>"SO22000016"</f>
        <v>SO22000016</v>
      </c>
      <c r="B1484" t="str">
        <f>"E000355064"</f>
        <v>E000355064</v>
      </c>
      <c r="C1484" t="str">
        <f>"הרכבה חלקית"</f>
        <v>הרכבה חלקית</v>
      </c>
      <c r="E1484" s="3">
        <v>44574</v>
      </c>
      <c r="F1484" s="3">
        <v>45104</v>
      </c>
      <c r="G1484" t="str">
        <f>"700065"</f>
        <v>700065</v>
      </c>
      <c r="H1484" t="str">
        <f>"אלתא מערכות בע""מ"</f>
        <v>אלתא מערכות בע"מ</v>
      </c>
      <c r="I1484" t="str">
        <f>"רוני דידי"</f>
        <v>רוני דידי</v>
      </c>
      <c r="J1484" t="str">
        <f>"OP-AR02041-1S"</f>
        <v>OP-AR02041-1S</v>
      </c>
      <c r="K1484" s="1" t="str">
        <f>"SL PDB  1 1042A860-001"</f>
        <v>SL PDB  1 1042A860-001</v>
      </c>
      <c r="L1484">
        <v>1</v>
      </c>
      <c r="M1484" t="str">
        <f>"PR22000142"</f>
        <v>PR22000142</v>
      </c>
      <c r="N1484" t="str">
        <f>"4/PDB  1 1038C860-001"</f>
        <v>4/PDB  1 1038C860-001</v>
      </c>
      <c r="O1484" s="2">
        <v>41000</v>
      </c>
      <c r="P1484" t="str">
        <f>"$"</f>
        <v>$</v>
      </c>
      <c r="Q1484" t="str">
        <f>"118"</f>
        <v>118</v>
      </c>
      <c r="R1484" t="str">
        <f>"מערכות"</f>
        <v>מערכות</v>
      </c>
      <c r="S1484" t="str">
        <f>"007"</f>
        <v>007</v>
      </c>
      <c r="T1484" t="str">
        <f>"עמר ליגל"</f>
        <v>עמר ליגל</v>
      </c>
      <c r="U1484">
        <v>0</v>
      </c>
      <c r="V1484">
        <v>0</v>
      </c>
      <c r="W1484" s="2">
        <v>41000</v>
      </c>
      <c r="X1484" s="2">
        <v>41000</v>
      </c>
      <c r="Z1484" t="str">
        <f>"Y"</f>
        <v>Y</v>
      </c>
      <c r="AA1484">
        <v>0</v>
      </c>
      <c r="AC1484">
        <v>0</v>
      </c>
      <c r="AE1484">
        <v>0</v>
      </c>
      <c r="AF1484">
        <v>0</v>
      </c>
      <c r="AG1484" s="2">
        <v>127797</v>
      </c>
      <c r="AH1484">
        <v>0</v>
      </c>
      <c r="AI1484" s="2">
        <v>127797</v>
      </c>
      <c r="AJ1484" s="2">
        <v>41000</v>
      </c>
      <c r="AK1484" s="2">
        <v>41000</v>
      </c>
      <c r="AL1484" t="str">
        <f>"$"</f>
        <v>$</v>
      </c>
    </row>
    <row r="1485" spans="1:38" x14ac:dyDescent="0.3">
      <c r="A1485" t="str">
        <f>"SO22000016"</f>
        <v>SO22000016</v>
      </c>
      <c r="B1485" t="str">
        <f>"E000355064"</f>
        <v>E000355064</v>
      </c>
      <c r="C1485" t="str">
        <f>"הרכבה חלקית"</f>
        <v>הרכבה חלקית</v>
      </c>
      <c r="E1485" s="3">
        <v>44574</v>
      </c>
      <c r="F1485" s="3">
        <v>45104</v>
      </c>
      <c r="G1485" t="str">
        <f>"700065"</f>
        <v>700065</v>
      </c>
      <c r="H1485" t="str">
        <f>"אלתא מערכות בע""מ"</f>
        <v>אלתא מערכות בע"מ</v>
      </c>
      <c r="I1485" t="str">
        <f>"רוני דידי"</f>
        <v>רוני דידי</v>
      </c>
      <c r="J1485" t="str">
        <f>"OP-AR02041-1S"</f>
        <v>OP-AR02041-1S</v>
      </c>
      <c r="K1485" s="1" t="str">
        <f>"SL PDB  1 1042A860-001"</f>
        <v>SL PDB  1 1042A860-001</v>
      </c>
      <c r="L1485">
        <v>1</v>
      </c>
      <c r="M1485" t="str">
        <f>"PR22000143"</f>
        <v>PR22000143</v>
      </c>
      <c r="N1485" t="str">
        <f>"5/PDB  1 1038C860-001"</f>
        <v>5/PDB  1 1038C860-001</v>
      </c>
      <c r="O1485" s="2">
        <v>41000</v>
      </c>
      <c r="P1485" t="str">
        <f>"$"</f>
        <v>$</v>
      </c>
      <c r="Q1485" t="str">
        <f>"118"</f>
        <v>118</v>
      </c>
      <c r="R1485" t="str">
        <f>"מערכות"</f>
        <v>מערכות</v>
      </c>
      <c r="S1485" t="str">
        <f>"007"</f>
        <v>007</v>
      </c>
      <c r="T1485" t="str">
        <f>"עמר ליגל"</f>
        <v>עמר ליגל</v>
      </c>
      <c r="U1485">
        <v>0</v>
      </c>
      <c r="V1485">
        <v>0</v>
      </c>
      <c r="W1485" s="2">
        <v>41000</v>
      </c>
      <c r="X1485" s="2">
        <v>41000</v>
      </c>
      <c r="Z1485" t="str">
        <f>"Y"</f>
        <v>Y</v>
      </c>
      <c r="AA1485">
        <v>0</v>
      </c>
      <c r="AC1485">
        <v>0</v>
      </c>
      <c r="AE1485">
        <v>0</v>
      </c>
      <c r="AF1485">
        <v>0</v>
      </c>
      <c r="AG1485" s="2">
        <v>127797</v>
      </c>
      <c r="AH1485">
        <v>0</v>
      </c>
      <c r="AI1485" s="2">
        <v>127797</v>
      </c>
      <c r="AJ1485" s="2">
        <v>41000</v>
      </c>
      <c r="AK1485" s="2">
        <v>41000</v>
      </c>
      <c r="AL1485" t="str">
        <f>"$"</f>
        <v>$</v>
      </c>
    </row>
    <row r="1486" spans="1:38" x14ac:dyDescent="0.3">
      <c r="A1486" t="str">
        <f>"SO22000016"</f>
        <v>SO22000016</v>
      </c>
      <c r="B1486" t="str">
        <f>"E000355064"</f>
        <v>E000355064</v>
      </c>
      <c r="C1486" t="str">
        <f>"הרכבה חלקית"</f>
        <v>הרכבה חלקית</v>
      </c>
      <c r="E1486" s="3">
        <v>44574</v>
      </c>
      <c r="F1486" s="3">
        <v>45104</v>
      </c>
      <c r="G1486" t="str">
        <f>"700065"</f>
        <v>700065</v>
      </c>
      <c r="H1486" t="str">
        <f>"אלתא מערכות בע""מ"</f>
        <v>אלתא מערכות בע"מ</v>
      </c>
      <c r="I1486" t="str">
        <f>"רוני דידי"</f>
        <v>רוני דידי</v>
      </c>
      <c r="J1486" t="str">
        <f>"OP-AR02041-1S"</f>
        <v>OP-AR02041-1S</v>
      </c>
      <c r="K1486" s="1" t="str">
        <f>"SL PDB  1 1042A860-001"</f>
        <v>SL PDB  1 1042A860-001</v>
      </c>
      <c r="L1486">
        <v>1</v>
      </c>
      <c r="M1486" t="str">
        <f>"PR22000144"</f>
        <v>PR22000144</v>
      </c>
      <c r="N1486" t="str">
        <f>"6/PDB  1 1038C860-001"</f>
        <v>6/PDB  1 1038C860-001</v>
      </c>
      <c r="O1486" s="2">
        <v>41000</v>
      </c>
      <c r="P1486" t="str">
        <f>"$"</f>
        <v>$</v>
      </c>
      <c r="Q1486" t="str">
        <f>"118"</f>
        <v>118</v>
      </c>
      <c r="R1486" t="str">
        <f>"מערכות"</f>
        <v>מערכות</v>
      </c>
      <c r="S1486" t="str">
        <f>"007"</f>
        <v>007</v>
      </c>
      <c r="T1486" t="str">
        <f>"עמר ליגל"</f>
        <v>עמר ליגל</v>
      </c>
      <c r="U1486">
        <v>0</v>
      </c>
      <c r="V1486">
        <v>0</v>
      </c>
      <c r="W1486" s="2">
        <v>41000</v>
      </c>
      <c r="X1486" s="2">
        <v>41000</v>
      </c>
      <c r="Z1486" t="str">
        <f>"Y"</f>
        <v>Y</v>
      </c>
      <c r="AA1486">
        <v>0</v>
      </c>
      <c r="AC1486">
        <v>0</v>
      </c>
      <c r="AE1486">
        <v>0</v>
      </c>
      <c r="AF1486">
        <v>0</v>
      </c>
      <c r="AG1486" s="2">
        <v>127797</v>
      </c>
      <c r="AH1486">
        <v>0</v>
      </c>
      <c r="AI1486" s="2">
        <v>127797</v>
      </c>
      <c r="AJ1486" s="2">
        <v>41000</v>
      </c>
      <c r="AK1486" s="2">
        <v>41000</v>
      </c>
      <c r="AL1486" t="str">
        <f>"$"</f>
        <v>$</v>
      </c>
    </row>
    <row r="1487" spans="1:38" x14ac:dyDescent="0.3">
      <c r="A1487" t="str">
        <f>"SO22000016"</f>
        <v>SO22000016</v>
      </c>
      <c r="B1487" t="str">
        <f>"E000355064"</f>
        <v>E000355064</v>
      </c>
      <c r="C1487" t="str">
        <f>"הרכבה חלקית"</f>
        <v>הרכבה חלקית</v>
      </c>
      <c r="E1487" s="3">
        <v>44574</v>
      </c>
      <c r="F1487" s="3">
        <v>45147</v>
      </c>
      <c r="G1487" t="str">
        <f>"700065"</f>
        <v>700065</v>
      </c>
      <c r="H1487" t="str">
        <f>"אלתא מערכות בע""מ"</f>
        <v>אלתא מערכות בע"מ</v>
      </c>
      <c r="I1487" t="str">
        <f>"רוני דידי"</f>
        <v>רוני דידי</v>
      </c>
      <c r="J1487" t="str">
        <f>"OP-AR02041-1S"</f>
        <v>OP-AR02041-1S</v>
      </c>
      <c r="K1487" s="1" t="str">
        <f>"SL PDB  1 1042A860-001"</f>
        <v>SL PDB  1 1042A860-001</v>
      </c>
      <c r="L1487">
        <v>1</v>
      </c>
      <c r="M1487" t="str">
        <f>"PR22000149"</f>
        <v>PR22000149</v>
      </c>
      <c r="N1487" t="str">
        <f>"19/PDB  1 1038C860-001"</f>
        <v>19/PDB  1 1038C860-001</v>
      </c>
      <c r="O1487" s="2">
        <v>41000</v>
      </c>
      <c r="P1487" t="str">
        <f>"$"</f>
        <v>$</v>
      </c>
      <c r="Q1487" t="str">
        <f>"118"</f>
        <v>118</v>
      </c>
      <c r="R1487" t="str">
        <f>"מערכות"</f>
        <v>מערכות</v>
      </c>
      <c r="S1487" t="str">
        <f>"007"</f>
        <v>007</v>
      </c>
      <c r="T1487" t="str">
        <f>"עמר ליגל"</f>
        <v>עמר ליגל</v>
      </c>
      <c r="U1487">
        <v>0</v>
      </c>
      <c r="V1487">
        <v>0</v>
      </c>
      <c r="W1487" s="2">
        <v>41000</v>
      </c>
      <c r="X1487" s="2">
        <v>41000</v>
      </c>
      <c r="Z1487" t="str">
        <f>"Y"</f>
        <v>Y</v>
      </c>
      <c r="AA1487">
        <v>0</v>
      </c>
      <c r="AC1487">
        <v>0</v>
      </c>
      <c r="AE1487">
        <v>0</v>
      </c>
      <c r="AF1487">
        <v>0</v>
      </c>
      <c r="AG1487" s="2">
        <v>127797</v>
      </c>
      <c r="AH1487">
        <v>0</v>
      </c>
      <c r="AI1487" s="2">
        <v>127797</v>
      </c>
      <c r="AJ1487" s="2">
        <v>41000</v>
      </c>
      <c r="AK1487" s="2">
        <v>41000</v>
      </c>
      <c r="AL1487" t="str">
        <f>"$"</f>
        <v>$</v>
      </c>
    </row>
    <row r="1488" spans="1:38" x14ac:dyDescent="0.3">
      <c r="A1488" t="str">
        <f>"SO22000016"</f>
        <v>SO22000016</v>
      </c>
      <c r="B1488" t="str">
        <f>"E000355064"</f>
        <v>E000355064</v>
      </c>
      <c r="C1488" t="str">
        <f>"הרכבה חלקית"</f>
        <v>הרכבה חלקית</v>
      </c>
      <c r="E1488" s="3">
        <v>44574</v>
      </c>
      <c r="F1488" s="3">
        <v>45147</v>
      </c>
      <c r="G1488" t="str">
        <f>"700065"</f>
        <v>700065</v>
      </c>
      <c r="H1488" t="str">
        <f>"אלתא מערכות בע""מ"</f>
        <v>אלתא מערכות בע"מ</v>
      </c>
      <c r="I1488" t="str">
        <f>"רוני דידי"</f>
        <v>רוני דידי</v>
      </c>
      <c r="J1488" t="str">
        <f>"OP-AR02041-1S"</f>
        <v>OP-AR02041-1S</v>
      </c>
      <c r="K1488" s="1" t="str">
        <f>"SL PDB  1 1042A860-001"</f>
        <v>SL PDB  1 1042A860-001</v>
      </c>
      <c r="L1488">
        <v>1</v>
      </c>
      <c r="M1488" t="str">
        <f>"PR22000148"</f>
        <v>PR22000148</v>
      </c>
      <c r="N1488" t="str">
        <f>"18/PDB  1 1038C860-001"</f>
        <v>18/PDB  1 1038C860-001</v>
      </c>
      <c r="O1488" s="2">
        <v>41000</v>
      </c>
      <c r="P1488" t="str">
        <f>"$"</f>
        <v>$</v>
      </c>
      <c r="Q1488" t="str">
        <f>"118"</f>
        <v>118</v>
      </c>
      <c r="R1488" t="str">
        <f>"מערכות"</f>
        <v>מערכות</v>
      </c>
      <c r="S1488" t="str">
        <f>"007"</f>
        <v>007</v>
      </c>
      <c r="T1488" t="str">
        <f>"עמר ליגל"</f>
        <v>עמר ליגל</v>
      </c>
      <c r="U1488">
        <v>0</v>
      </c>
      <c r="V1488">
        <v>0</v>
      </c>
      <c r="W1488" s="2">
        <v>41000</v>
      </c>
      <c r="X1488" s="2">
        <v>41000</v>
      </c>
      <c r="Z1488" t="str">
        <f>"Y"</f>
        <v>Y</v>
      </c>
      <c r="AA1488">
        <v>0</v>
      </c>
      <c r="AC1488">
        <v>0</v>
      </c>
      <c r="AE1488">
        <v>0</v>
      </c>
      <c r="AF1488">
        <v>0</v>
      </c>
      <c r="AG1488" s="2">
        <v>127797</v>
      </c>
      <c r="AH1488">
        <v>0</v>
      </c>
      <c r="AI1488" s="2">
        <v>127797</v>
      </c>
      <c r="AJ1488" s="2">
        <v>41000</v>
      </c>
      <c r="AK1488" s="2">
        <v>41000</v>
      </c>
      <c r="AL1488" t="str">
        <f>"$"</f>
        <v>$</v>
      </c>
    </row>
    <row r="1489" spans="1:38" x14ac:dyDescent="0.3">
      <c r="A1489" t="str">
        <f>"SO22000016"</f>
        <v>SO22000016</v>
      </c>
      <c r="B1489" t="str">
        <f>"E000355064"</f>
        <v>E000355064</v>
      </c>
      <c r="C1489" t="str">
        <f>"הרכבה חלקית"</f>
        <v>הרכבה חלקית</v>
      </c>
      <c r="E1489" s="3">
        <v>44574</v>
      </c>
      <c r="F1489" s="3">
        <v>45104</v>
      </c>
      <c r="G1489" t="str">
        <f>"700065"</f>
        <v>700065</v>
      </c>
      <c r="H1489" t="str">
        <f>"אלתא מערכות בע""מ"</f>
        <v>אלתא מערכות בע"מ</v>
      </c>
      <c r="I1489" t="str">
        <f>"רוני דידי"</f>
        <v>רוני דידי</v>
      </c>
      <c r="J1489" t="str">
        <f>"OP-AR02041-1S"</f>
        <v>OP-AR02041-1S</v>
      </c>
      <c r="K1489" s="1" t="str">
        <f>"SL PDB  1 1042A860-001"</f>
        <v>SL PDB  1 1042A860-001</v>
      </c>
      <c r="L1489">
        <v>1</v>
      </c>
      <c r="M1489" t="str">
        <f>"PR22000145"</f>
        <v>PR22000145</v>
      </c>
      <c r="N1489" t="str">
        <f>"7/PDB  1 1038C860-001"</f>
        <v>7/PDB  1 1038C860-001</v>
      </c>
      <c r="O1489" s="2">
        <v>41000</v>
      </c>
      <c r="P1489" t="str">
        <f>"$"</f>
        <v>$</v>
      </c>
      <c r="Q1489" t="str">
        <f>"118"</f>
        <v>118</v>
      </c>
      <c r="R1489" t="str">
        <f>"מערכות"</f>
        <v>מערכות</v>
      </c>
      <c r="S1489" t="str">
        <f>"007"</f>
        <v>007</v>
      </c>
      <c r="T1489" t="str">
        <f>"עמר ליגל"</f>
        <v>עמר ליגל</v>
      </c>
      <c r="U1489">
        <v>0</v>
      </c>
      <c r="V1489">
        <v>0</v>
      </c>
      <c r="W1489" s="2">
        <v>41000</v>
      </c>
      <c r="X1489" s="2">
        <v>41000</v>
      </c>
      <c r="Z1489" t="str">
        <f>"Y"</f>
        <v>Y</v>
      </c>
      <c r="AA1489">
        <v>0</v>
      </c>
      <c r="AC1489">
        <v>0</v>
      </c>
      <c r="AE1489">
        <v>0</v>
      </c>
      <c r="AF1489">
        <v>0</v>
      </c>
      <c r="AG1489" s="2">
        <v>127797</v>
      </c>
      <c r="AH1489">
        <v>0</v>
      </c>
      <c r="AI1489" s="2">
        <v>127797</v>
      </c>
      <c r="AJ1489" s="2">
        <v>41000</v>
      </c>
      <c r="AK1489" s="2">
        <v>41000</v>
      </c>
      <c r="AL1489" t="str">
        <f>"$"</f>
        <v>$</v>
      </c>
    </row>
    <row r="1490" spans="1:38" x14ac:dyDescent="0.3">
      <c r="A1490" t="str">
        <f>"SO22000016"</f>
        <v>SO22000016</v>
      </c>
      <c r="B1490" t="str">
        <f>"E000355064"</f>
        <v>E000355064</v>
      </c>
      <c r="C1490" t="str">
        <f>"הרכבה חלקית"</f>
        <v>הרכבה חלקית</v>
      </c>
      <c r="E1490" s="3">
        <v>44574</v>
      </c>
      <c r="F1490" s="3">
        <v>45104</v>
      </c>
      <c r="G1490" t="str">
        <f>"700065"</f>
        <v>700065</v>
      </c>
      <c r="H1490" t="str">
        <f>"אלתא מערכות בע""מ"</f>
        <v>אלתא מערכות בע"מ</v>
      </c>
      <c r="I1490" t="str">
        <f>"רוני דידי"</f>
        <v>רוני דידי</v>
      </c>
      <c r="J1490" t="str">
        <f>"OP-AR02041-1S"</f>
        <v>OP-AR02041-1S</v>
      </c>
      <c r="K1490" s="1" t="str">
        <f>"SL PDB  1 1042A860-001"</f>
        <v>SL PDB  1 1042A860-001</v>
      </c>
      <c r="L1490">
        <v>1</v>
      </c>
      <c r="M1490" t="str">
        <f>"PR22000146"</f>
        <v>PR22000146</v>
      </c>
      <c r="N1490" t="str">
        <f>"8/PDB  1 1038C860-001"</f>
        <v>8/PDB  1 1038C860-001</v>
      </c>
      <c r="O1490" s="2">
        <v>41000</v>
      </c>
      <c r="P1490" t="str">
        <f>"$"</f>
        <v>$</v>
      </c>
      <c r="Q1490" t="str">
        <f>"118"</f>
        <v>118</v>
      </c>
      <c r="R1490" t="str">
        <f>"מערכות"</f>
        <v>מערכות</v>
      </c>
      <c r="S1490" t="str">
        <f>"007"</f>
        <v>007</v>
      </c>
      <c r="T1490" t="str">
        <f>"עמר ליגל"</f>
        <v>עמר ליגל</v>
      </c>
      <c r="U1490">
        <v>0</v>
      </c>
      <c r="V1490">
        <v>0</v>
      </c>
      <c r="W1490" s="2">
        <v>41000</v>
      </c>
      <c r="X1490" s="2">
        <v>41000</v>
      </c>
      <c r="Z1490" t="str">
        <f>"Y"</f>
        <v>Y</v>
      </c>
      <c r="AA1490">
        <v>0</v>
      </c>
      <c r="AC1490">
        <v>0</v>
      </c>
      <c r="AE1490">
        <v>0</v>
      </c>
      <c r="AF1490">
        <v>0</v>
      </c>
      <c r="AG1490" s="2">
        <v>127797</v>
      </c>
      <c r="AH1490">
        <v>0</v>
      </c>
      <c r="AI1490" s="2">
        <v>127797</v>
      </c>
      <c r="AJ1490" s="2">
        <v>41000</v>
      </c>
      <c r="AK1490" s="2">
        <v>41000</v>
      </c>
      <c r="AL1490" t="str">
        <f>"$"</f>
        <v>$</v>
      </c>
    </row>
    <row r="1491" spans="1:38" x14ac:dyDescent="0.3">
      <c r="A1491" t="str">
        <f>"SO22000016"</f>
        <v>SO22000016</v>
      </c>
      <c r="B1491" t="str">
        <f>"E000355064"</f>
        <v>E000355064</v>
      </c>
      <c r="C1491" t="str">
        <f>"הרכבה חלקית"</f>
        <v>הרכבה חלקית</v>
      </c>
      <c r="E1491" s="3">
        <v>44574</v>
      </c>
      <c r="F1491" s="3">
        <v>45104</v>
      </c>
      <c r="G1491" t="str">
        <f>"700065"</f>
        <v>700065</v>
      </c>
      <c r="H1491" t="str">
        <f>"אלתא מערכות בע""מ"</f>
        <v>אלתא מערכות בע"מ</v>
      </c>
      <c r="I1491" t="str">
        <f>"רוני דידי"</f>
        <v>רוני דידי</v>
      </c>
      <c r="J1491" t="str">
        <f>"OP-AR02041-1S"</f>
        <v>OP-AR02041-1S</v>
      </c>
      <c r="K1491" s="1" t="str">
        <f>"SL PDB  1 1042A860-001"</f>
        <v>SL PDB  1 1042A860-001</v>
      </c>
      <c r="L1491">
        <v>1</v>
      </c>
      <c r="M1491" t="str">
        <f>"PR22000302"</f>
        <v>PR22000302</v>
      </c>
      <c r="N1491" t="str">
        <f>"E000361337/PDB  1 1038C860-001"</f>
        <v>E000361337/PDB  1 1038C860-001</v>
      </c>
      <c r="O1491" s="2">
        <v>41000</v>
      </c>
      <c r="P1491" t="str">
        <f>"$"</f>
        <v>$</v>
      </c>
      <c r="Q1491" t="str">
        <f>"118"</f>
        <v>118</v>
      </c>
      <c r="R1491" t="str">
        <f>"מערכות"</f>
        <v>מערכות</v>
      </c>
      <c r="S1491" t="str">
        <f>"007"</f>
        <v>007</v>
      </c>
      <c r="T1491" t="str">
        <f>"עמר ליגל"</f>
        <v>עמר ליגל</v>
      </c>
      <c r="U1491">
        <v>0</v>
      </c>
      <c r="V1491">
        <v>0</v>
      </c>
      <c r="W1491" s="2">
        <v>41000</v>
      </c>
      <c r="X1491" s="2">
        <v>41000</v>
      </c>
      <c r="Z1491" t="str">
        <f>"Y"</f>
        <v>Y</v>
      </c>
      <c r="AA1491">
        <v>0</v>
      </c>
      <c r="AC1491">
        <v>0</v>
      </c>
      <c r="AE1491">
        <v>0</v>
      </c>
      <c r="AF1491">
        <v>0</v>
      </c>
      <c r="AG1491" s="2">
        <v>127797</v>
      </c>
      <c r="AH1491">
        <v>0</v>
      </c>
      <c r="AI1491" s="2">
        <v>127797</v>
      </c>
      <c r="AJ1491" s="2">
        <v>41000</v>
      </c>
      <c r="AK1491" s="2">
        <v>41000</v>
      </c>
      <c r="AL1491" t="str">
        <f>"$"</f>
        <v>$</v>
      </c>
    </row>
    <row r="1492" spans="1:38" x14ac:dyDescent="0.3">
      <c r="A1492" t="str">
        <f>"SO22000019"</f>
        <v>SO22000019</v>
      </c>
      <c r="B1492" t="str">
        <f>"E000355733"</f>
        <v>E000355733</v>
      </c>
      <c r="C1492" t="str">
        <f>"בוצעה"</f>
        <v>בוצעה</v>
      </c>
      <c r="E1492" s="3">
        <v>44579</v>
      </c>
      <c r="F1492" s="3">
        <v>44621</v>
      </c>
      <c r="G1492" t="str">
        <f>"700065"</f>
        <v>700065</v>
      </c>
      <c r="H1492" t="str">
        <f>"אלתא מערכות בע""מ"</f>
        <v>אלתא מערכות בע"מ</v>
      </c>
      <c r="I1492" t="str">
        <f>"רוני דידי"</f>
        <v>רוני דידי</v>
      </c>
      <c r="J1492" t="str">
        <f>"000"</f>
        <v>000</v>
      </c>
      <c r="K1492" s="1" t="str">
        <f>"פתרון בעיית מיתוג ביחידת PDB"</f>
        <v>פתרון בעיית מיתוג ביחידת PDB</v>
      </c>
      <c r="L1492">
        <v>1</v>
      </c>
      <c r="M1492" t="str">
        <f>"PR21000541"</f>
        <v>PR21000541</v>
      </c>
      <c r="N1492" t="str">
        <f>"PDB UNIT שדרוג טל שמיים"</f>
        <v>PDB UNIT שדרוג טל שמיים</v>
      </c>
      <c r="O1492" s="2">
        <v>13005</v>
      </c>
      <c r="P1492" t="str">
        <f>"$"</f>
        <v>$</v>
      </c>
      <c r="Q1492" t="str">
        <f>"118"</f>
        <v>118</v>
      </c>
      <c r="R1492" t="str">
        <f>"מערכות"</f>
        <v>מערכות</v>
      </c>
      <c r="S1492" t="str">
        <f>"007"</f>
        <v>007</v>
      </c>
      <c r="T1492" t="str">
        <f>"עמר ליגל"</f>
        <v>עמר ליגל</v>
      </c>
      <c r="U1492">
        <v>0</v>
      </c>
      <c r="V1492">
        <v>0</v>
      </c>
      <c r="W1492" s="2">
        <v>13005</v>
      </c>
      <c r="X1492" s="2">
        <v>13005</v>
      </c>
      <c r="Z1492" t="str">
        <f>"Y"</f>
        <v>Y</v>
      </c>
      <c r="AA1492">
        <v>1</v>
      </c>
      <c r="AC1492">
        <v>0</v>
      </c>
      <c r="AE1492">
        <v>0</v>
      </c>
      <c r="AF1492">
        <v>0</v>
      </c>
      <c r="AG1492" s="2">
        <v>40627.620000000003</v>
      </c>
      <c r="AH1492">
        <v>0</v>
      </c>
      <c r="AI1492" s="2">
        <v>40627.620000000003</v>
      </c>
      <c r="AJ1492" s="2">
        <v>13005</v>
      </c>
      <c r="AK1492" s="2">
        <v>13005</v>
      </c>
      <c r="AL1492" t="str">
        <f>"$"</f>
        <v>$</v>
      </c>
    </row>
    <row r="1493" spans="1:38" x14ac:dyDescent="0.3">
      <c r="A1493" t="str">
        <f>"SO22000019"</f>
        <v>SO22000019</v>
      </c>
      <c r="B1493" t="str">
        <f>"E000355733"</f>
        <v>E000355733</v>
      </c>
      <c r="C1493" t="str">
        <f>"בוצעה"</f>
        <v>בוצעה</v>
      </c>
      <c r="E1493" s="3">
        <v>44579</v>
      </c>
      <c r="F1493" s="3">
        <v>44658</v>
      </c>
      <c r="G1493" t="str">
        <f>"700065"</f>
        <v>700065</v>
      </c>
      <c r="H1493" t="str">
        <f>"אלתא מערכות בע""מ"</f>
        <v>אלתא מערכות בע"מ</v>
      </c>
      <c r="I1493" t="str">
        <f>"רוני דידי"</f>
        <v>רוני דידי</v>
      </c>
      <c r="J1493" t="str">
        <f>"PD0300079"</f>
        <v>PD0300079</v>
      </c>
      <c r="K1493" s="1" t="str">
        <f>"ממסר פיקוד 24VDC OMRON 10A G2R-1-SNI 5P"</f>
        <v>ממסר פיקוד 24VDC OMRON 10A G2R-1-SNI 5P</v>
      </c>
      <c r="L1493">
        <v>1</v>
      </c>
      <c r="M1493" t="str">
        <f>"PR21000541"</f>
        <v>PR21000541</v>
      </c>
      <c r="N1493" t="str">
        <f>"PDB UNIT שדרוג טל שמיים"</f>
        <v>PDB UNIT שדרוג טל שמיים</v>
      </c>
      <c r="O1493">
        <v>0</v>
      </c>
      <c r="P1493" t="str">
        <f>"$"</f>
        <v>$</v>
      </c>
      <c r="Q1493" t="str">
        <f>"118"</f>
        <v>118</v>
      </c>
      <c r="R1493" t="str">
        <f>"מערכות"</f>
        <v>מערכות</v>
      </c>
      <c r="S1493" t="str">
        <f>"007"</f>
        <v>007</v>
      </c>
      <c r="T1493" t="str">
        <f>"עמר ליגל"</f>
        <v>עמר ליגל</v>
      </c>
      <c r="U1493">
        <v>0</v>
      </c>
      <c r="V1493">
        <v>0</v>
      </c>
      <c r="W1493">
        <v>0</v>
      </c>
      <c r="X1493">
        <v>0</v>
      </c>
      <c r="Z1493" t="str">
        <f>"Y"</f>
        <v>Y</v>
      </c>
      <c r="AA1493">
        <v>1</v>
      </c>
      <c r="AC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 t="str">
        <f>"$"</f>
        <v>$</v>
      </c>
    </row>
    <row r="1494" spans="1:38" x14ac:dyDescent="0.3">
      <c r="A1494" t="str">
        <f>"SO22000019"</f>
        <v>SO22000019</v>
      </c>
      <c r="B1494" t="str">
        <f>"E000355733"</f>
        <v>E000355733</v>
      </c>
      <c r="C1494" t="str">
        <f>"בוצעה"</f>
        <v>בוצעה</v>
      </c>
      <c r="E1494" s="3">
        <v>44579</v>
      </c>
      <c r="F1494" s="3">
        <v>44658</v>
      </c>
      <c r="G1494" t="str">
        <f>"700065"</f>
        <v>700065</v>
      </c>
      <c r="H1494" t="str">
        <f>"אלתא מערכות בע""מ"</f>
        <v>אלתא מערכות בע"מ</v>
      </c>
      <c r="I1494" t="str">
        <f>"רוני דידי"</f>
        <v>רוני דידי</v>
      </c>
      <c r="J1494" t="str">
        <f>"PD0201808"</f>
        <v>PD0201808</v>
      </c>
      <c r="K1494" s="1" t="str">
        <f>"ABB S800W-RSU Remote switching unit"</f>
        <v>ABB S800W-RSU Remote switching unit</v>
      </c>
      <c r="L1494">
        <v>1</v>
      </c>
      <c r="M1494" t="str">
        <f>"PR21000541"</f>
        <v>PR21000541</v>
      </c>
      <c r="N1494" t="str">
        <f>"PDB UNIT שדרוג טל שמיים"</f>
        <v>PDB UNIT שדרוג טל שמיים</v>
      </c>
      <c r="O1494">
        <v>0</v>
      </c>
      <c r="P1494" t="str">
        <f>"$"</f>
        <v>$</v>
      </c>
      <c r="Q1494" t="str">
        <f>"118"</f>
        <v>118</v>
      </c>
      <c r="R1494" t="str">
        <f>"מערכות"</f>
        <v>מערכות</v>
      </c>
      <c r="S1494" t="str">
        <f>"007"</f>
        <v>007</v>
      </c>
      <c r="T1494" t="str">
        <f>"עמר ליגל"</f>
        <v>עמר ליגל</v>
      </c>
      <c r="U1494">
        <v>0</v>
      </c>
      <c r="V1494">
        <v>0</v>
      </c>
      <c r="W1494">
        <v>0</v>
      </c>
      <c r="X1494">
        <v>0</v>
      </c>
      <c r="Z1494" t="str">
        <f>"Y"</f>
        <v>Y</v>
      </c>
      <c r="AA1494">
        <v>1</v>
      </c>
      <c r="AC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 t="str">
        <f>"$"</f>
        <v>$</v>
      </c>
    </row>
    <row r="1495" spans="1:38" x14ac:dyDescent="0.3">
      <c r="A1495" t="str">
        <f>"SO22000027"</f>
        <v>SO22000027</v>
      </c>
      <c r="B1495" t="str">
        <f>"E000355846"</f>
        <v>E000355846</v>
      </c>
      <c r="C1495" t="str">
        <f>"בוצעה"</f>
        <v>בוצעה</v>
      </c>
      <c r="E1495" s="3">
        <v>44650</v>
      </c>
      <c r="F1495" s="3">
        <v>44772</v>
      </c>
      <c r="G1495" t="str">
        <f>"700065"</f>
        <v>700065</v>
      </c>
      <c r="H1495" t="str">
        <f>"אלתא מערכות בע""מ"</f>
        <v>אלתא מערכות בע"מ</v>
      </c>
      <c r="I1495" t="str">
        <f>"רוני דידי"</f>
        <v>רוני דידי</v>
      </c>
      <c r="J1495" t="str">
        <f>"000"</f>
        <v>000</v>
      </c>
      <c r="K1495" s="1" t="str">
        <f>"כיסוי, הנפה מפינות עליונות) לאנליזת חוזק שבוצעה בפרויקט MDN"</f>
        <v>כיסוי, הנפה מפינות עליונות) לאנליזת חוזק שבוצעה בפרויקט MDN</v>
      </c>
      <c r="L1495">
        <v>1</v>
      </c>
      <c r="M1495" t="str">
        <f>"PR21000398"</f>
        <v>PR21000398</v>
      </c>
      <c r="N1495" t="str">
        <f>"קרונות MDN"</f>
        <v>קרונות MDN</v>
      </c>
      <c r="O1495" s="2">
        <v>14550</v>
      </c>
      <c r="P1495" t="str">
        <f>"$"</f>
        <v>$</v>
      </c>
      <c r="Q1495" t="str">
        <f>"119"</f>
        <v>119</v>
      </c>
      <c r="R1495" t="str">
        <f>"פלטפורמות"</f>
        <v>פלטפורמות</v>
      </c>
      <c r="S1495" t="str">
        <f>"007"</f>
        <v>007</v>
      </c>
      <c r="T1495" t="str">
        <f>"עמר ליגל"</f>
        <v>עמר ליגל</v>
      </c>
      <c r="U1495">
        <v>0</v>
      </c>
      <c r="V1495">
        <v>0</v>
      </c>
      <c r="W1495" s="2">
        <v>14550</v>
      </c>
      <c r="X1495" s="2">
        <v>14550</v>
      </c>
      <c r="Z1495" t="str">
        <f>"Y"</f>
        <v>Y</v>
      </c>
      <c r="AA1495">
        <v>1</v>
      </c>
      <c r="AC1495">
        <v>0</v>
      </c>
      <c r="AE1495">
        <v>0</v>
      </c>
      <c r="AF1495">
        <v>0</v>
      </c>
      <c r="AG1495" s="2">
        <v>46385.4</v>
      </c>
      <c r="AH1495">
        <v>0</v>
      </c>
      <c r="AI1495" s="2">
        <v>46385.4</v>
      </c>
      <c r="AJ1495" s="2">
        <v>14550</v>
      </c>
      <c r="AK1495" s="2">
        <v>14550</v>
      </c>
      <c r="AL1495" t="str">
        <f>"$"</f>
        <v>$</v>
      </c>
    </row>
    <row r="1496" spans="1:38" x14ac:dyDescent="0.3">
      <c r="A1496" t="str">
        <f>"SO22000033"</f>
        <v>SO22000033</v>
      </c>
      <c r="B1496" t="str">
        <f>"E000355431"</f>
        <v>E000355431</v>
      </c>
      <c r="C1496" t="str">
        <f>"הרכבה חלקית"</f>
        <v>הרכבה חלקית</v>
      </c>
      <c r="E1496" s="3">
        <v>44591</v>
      </c>
      <c r="F1496" s="3">
        <v>44706</v>
      </c>
      <c r="G1496" t="str">
        <f>"700065"</f>
        <v>700065</v>
      </c>
      <c r="H1496" t="str">
        <f>"אלתא מערכות בע""מ"</f>
        <v>אלתא מערכות בע"מ</v>
      </c>
      <c r="I1496" t="str">
        <f>"רחמים זרוק"</f>
        <v>רחמים זרוק</v>
      </c>
      <c r="J1496" t="str">
        <f>"OP-AR02919"</f>
        <v>OP-AR02919</v>
      </c>
      <c r="K1496" s="1" t="str">
        <f>"1031B153-001   HARNESS W0153 - CONTROL BOX TO CU RACK"</f>
        <v>1031B153-001   HARNESS W0153 - CONTROL BOX TO CU RACK</v>
      </c>
      <c r="L1496">
        <v>1</v>
      </c>
      <c r="M1496" t="str">
        <f>"PR22000045"</f>
        <v>PR22000045</v>
      </c>
      <c r="N1496" t="str">
        <f>"HARNESS W0153"</f>
        <v>HARNESS W0153</v>
      </c>
      <c r="O1496" s="2">
        <v>1606.56</v>
      </c>
      <c r="P1496" t="str">
        <f>"$"</f>
        <v>$</v>
      </c>
      <c r="Q1496" t="str">
        <f>"117"</f>
        <v>117</v>
      </c>
      <c r="R1496" t="str">
        <f>"רתמות"</f>
        <v>רתמות</v>
      </c>
      <c r="S1496" t="str">
        <f>"040"</f>
        <v>040</v>
      </c>
      <c r="T1496" t="str">
        <f>"עמר ליגל"</f>
        <v>עמר ליגל</v>
      </c>
      <c r="U1496">
        <v>0</v>
      </c>
      <c r="V1496">
        <v>0</v>
      </c>
      <c r="W1496" s="2">
        <v>1606.56</v>
      </c>
      <c r="X1496" s="2">
        <v>1606.56</v>
      </c>
      <c r="Z1496" t="str">
        <f>"Y"</f>
        <v>Y</v>
      </c>
      <c r="AA1496">
        <v>0</v>
      </c>
      <c r="AC1496">
        <v>0</v>
      </c>
      <c r="AE1496">
        <v>0</v>
      </c>
      <c r="AF1496">
        <v>0</v>
      </c>
      <c r="AG1496" s="2">
        <v>5134.57</v>
      </c>
      <c r="AH1496">
        <v>0</v>
      </c>
      <c r="AI1496" s="2">
        <v>5134.57</v>
      </c>
      <c r="AJ1496" s="2">
        <v>1606.56</v>
      </c>
      <c r="AK1496" s="2">
        <v>1606.56</v>
      </c>
      <c r="AL1496" t="str">
        <f>"$"</f>
        <v>$</v>
      </c>
    </row>
    <row r="1497" spans="1:38" x14ac:dyDescent="0.3">
      <c r="A1497" t="str">
        <f>"SO22000033"</f>
        <v>SO22000033</v>
      </c>
      <c r="B1497" t="str">
        <f>"E000355431"</f>
        <v>E000355431</v>
      </c>
      <c r="C1497" t="str">
        <f>"הרכבה חלקית"</f>
        <v>הרכבה חלקית</v>
      </c>
      <c r="E1497" s="3">
        <v>44591</v>
      </c>
      <c r="F1497" s="3">
        <v>44706</v>
      </c>
      <c r="G1497" t="str">
        <f>"700065"</f>
        <v>700065</v>
      </c>
      <c r="H1497" t="str">
        <f>"אלתא מערכות בע""מ"</f>
        <v>אלתא מערכות בע"מ</v>
      </c>
      <c r="I1497" t="str">
        <f>"רחמים זרוק"</f>
        <v>רחמים זרוק</v>
      </c>
      <c r="J1497" t="str">
        <f>"OP-AR02920"</f>
        <v>OP-AR02920</v>
      </c>
      <c r="K1497" s="1" t="str">
        <f>"1031B155-001   HARNESS W0155 - EMERGENCY STOP BUTTONS"</f>
        <v>1031B155-001   HARNESS W0155 - EMERGENCY STOP BUTTONS</v>
      </c>
      <c r="L1497">
        <v>1</v>
      </c>
      <c r="M1497" t="str">
        <f>"PR22000045"</f>
        <v>PR22000045</v>
      </c>
      <c r="N1497" t="str">
        <f>"HARNESS W0153"</f>
        <v>HARNESS W0153</v>
      </c>
      <c r="O1497" s="2">
        <v>1315.62</v>
      </c>
      <c r="P1497" t="str">
        <f>"$"</f>
        <v>$</v>
      </c>
      <c r="Q1497" t="str">
        <f>"117"</f>
        <v>117</v>
      </c>
      <c r="R1497" t="str">
        <f>"רתמות"</f>
        <v>רתמות</v>
      </c>
      <c r="S1497" t="str">
        <f>"040"</f>
        <v>040</v>
      </c>
      <c r="T1497" t="str">
        <f>"עמר ליגל"</f>
        <v>עמר ליגל</v>
      </c>
      <c r="U1497">
        <v>0</v>
      </c>
      <c r="V1497">
        <v>0</v>
      </c>
      <c r="W1497" s="2">
        <v>1315.62</v>
      </c>
      <c r="X1497" s="2">
        <v>1315.62</v>
      </c>
      <c r="Z1497" t="str">
        <f>"Y"</f>
        <v>Y</v>
      </c>
      <c r="AA1497">
        <v>0</v>
      </c>
      <c r="AC1497">
        <v>0</v>
      </c>
      <c r="AE1497">
        <v>0</v>
      </c>
      <c r="AF1497">
        <v>0</v>
      </c>
      <c r="AG1497" s="2">
        <v>4204.72</v>
      </c>
      <c r="AH1497">
        <v>0</v>
      </c>
      <c r="AI1497" s="2">
        <v>4204.72</v>
      </c>
      <c r="AJ1497" s="2">
        <v>1315.62</v>
      </c>
      <c r="AK1497" s="2">
        <v>1315.62</v>
      </c>
      <c r="AL1497" t="str">
        <f>"$"</f>
        <v>$</v>
      </c>
    </row>
    <row r="1498" spans="1:38" x14ac:dyDescent="0.3">
      <c r="A1498" t="str">
        <f>"SO22000033"</f>
        <v>SO22000033</v>
      </c>
      <c r="B1498" t="str">
        <f>"E000355431"</f>
        <v>E000355431</v>
      </c>
      <c r="C1498" t="str">
        <f>"הרכבה חלקית"</f>
        <v>הרכבה חלקית</v>
      </c>
      <c r="E1498" s="3">
        <v>44591</v>
      </c>
      <c r="F1498" s="3">
        <v>44706</v>
      </c>
      <c r="G1498" t="str">
        <f>"700065"</f>
        <v>700065</v>
      </c>
      <c r="H1498" t="str">
        <f>"אלתא מערכות בע""מ"</f>
        <v>אלתא מערכות בע"מ</v>
      </c>
      <c r="I1498" t="str">
        <f>"רחמים זרוק"</f>
        <v>רחמים זרוק</v>
      </c>
      <c r="J1498" t="str">
        <f>"OP-AR02921"</f>
        <v>OP-AR02921</v>
      </c>
      <c r="K1498" s="1" t="str">
        <f>"1031B159-001   HARNESS W0159 - CU RACK TO ACTUATORS"</f>
        <v>1031B159-001   HARNESS W0159 - CU RACK TO ACTUATORS</v>
      </c>
      <c r="L1498">
        <v>1</v>
      </c>
      <c r="M1498" t="str">
        <f>"PR22000045"</f>
        <v>PR22000045</v>
      </c>
      <c r="N1498" t="str">
        <f>"HARNESS W0153"</f>
        <v>HARNESS W0153</v>
      </c>
      <c r="O1498" s="2">
        <v>2551.71</v>
      </c>
      <c r="P1498" t="str">
        <f>"$"</f>
        <v>$</v>
      </c>
      <c r="Q1498" t="str">
        <f>"117"</f>
        <v>117</v>
      </c>
      <c r="R1498" t="str">
        <f>"רתמות"</f>
        <v>רתמות</v>
      </c>
      <c r="S1498" t="str">
        <f>"040"</f>
        <v>040</v>
      </c>
      <c r="T1498" t="str">
        <f>"עמר ליגל"</f>
        <v>עמר ליגל</v>
      </c>
      <c r="U1498">
        <v>0</v>
      </c>
      <c r="V1498">
        <v>0</v>
      </c>
      <c r="W1498" s="2">
        <v>2551.71</v>
      </c>
      <c r="X1498" s="2">
        <v>2551.71</v>
      </c>
      <c r="Z1498" t="str">
        <f>"Y"</f>
        <v>Y</v>
      </c>
      <c r="AA1498">
        <v>0</v>
      </c>
      <c r="AC1498">
        <v>0</v>
      </c>
      <c r="AE1498">
        <v>0</v>
      </c>
      <c r="AF1498">
        <v>0</v>
      </c>
      <c r="AG1498" s="2">
        <v>8155.27</v>
      </c>
      <c r="AH1498">
        <v>0</v>
      </c>
      <c r="AI1498" s="2">
        <v>8155.27</v>
      </c>
      <c r="AJ1498" s="2">
        <v>2551.71</v>
      </c>
      <c r="AK1498" s="2">
        <v>2551.71</v>
      </c>
      <c r="AL1498" t="str">
        <f>"$"</f>
        <v>$</v>
      </c>
    </row>
    <row r="1499" spans="1:38" x14ac:dyDescent="0.3">
      <c r="A1499" t="str">
        <f>"SO22000033"</f>
        <v>SO22000033</v>
      </c>
      <c r="B1499" t="str">
        <f>"E000355431"</f>
        <v>E000355431</v>
      </c>
      <c r="C1499" t="str">
        <f>"הרכבה חלקית"</f>
        <v>הרכבה חלקית</v>
      </c>
      <c r="E1499" s="3">
        <v>44591</v>
      </c>
      <c r="F1499" s="3">
        <v>44706</v>
      </c>
      <c r="G1499" t="str">
        <f>"700065"</f>
        <v>700065</v>
      </c>
      <c r="H1499" t="str">
        <f>"אלתא מערכות בע""מ"</f>
        <v>אלתא מערכות בע"מ</v>
      </c>
      <c r="I1499" t="str">
        <f>"רחמים זרוק"</f>
        <v>רחמים זרוק</v>
      </c>
      <c r="J1499" t="str">
        <f>"OP-AR02922"</f>
        <v>OP-AR02922</v>
      </c>
      <c r="K1499" s="1" t="str">
        <f>"1031B161-001   HARNESS W0161 - PDB AC TO CLUSTER 2-3"</f>
        <v>1031B161-001   HARNESS W0161 - PDB AC TO CLUSTER 2-3</v>
      </c>
      <c r="L1499">
        <v>1</v>
      </c>
      <c r="M1499" t="str">
        <f>"PR22000045"</f>
        <v>PR22000045</v>
      </c>
      <c r="N1499" t="str">
        <f>"HARNESS W0153"</f>
        <v>HARNESS W0153</v>
      </c>
      <c r="O1499" s="2">
        <v>1083.8699999999999</v>
      </c>
      <c r="P1499" t="str">
        <f>"$"</f>
        <v>$</v>
      </c>
      <c r="Q1499" t="str">
        <f>"117"</f>
        <v>117</v>
      </c>
      <c r="R1499" t="str">
        <f>"רתמות"</f>
        <v>רתמות</v>
      </c>
      <c r="S1499" t="str">
        <f>"040"</f>
        <v>040</v>
      </c>
      <c r="T1499" t="str">
        <f>"עמר ליגל"</f>
        <v>עמר ליגל</v>
      </c>
      <c r="U1499">
        <v>0</v>
      </c>
      <c r="V1499">
        <v>0</v>
      </c>
      <c r="W1499" s="2">
        <v>1083.8699999999999</v>
      </c>
      <c r="X1499" s="2">
        <v>1083.8699999999999</v>
      </c>
      <c r="Z1499" t="str">
        <f>"Y"</f>
        <v>Y</v>
      </c>
      <c r="AA1499">
        <v>0</v>
      </c>
      <c r="AC1499">
        <v>0</v>
      </c>
      <c r="AE1499">
        <v>0</v>
      </c>
      <c r="AF1499">
        <v>0</v>
      </c>
      <c r="AG1499" s="2">
        <v>3464.05</v>
      </c>
      <c r="AH1499">
        <v>0</v>
      </c>
      <c r="AI1499" s="2">
        <v>3464.05</v>
      </c>
      <c r="AJ1499" s="2">
        <v>1083.8699999999999</v>
      </c>
      <c r="AK1499" s="2">
        <v>1083.8699999999999</v>
      </c>
      <c r="AL1499" t="str">
        <f>"$"</f>
        <v>$</v>
      </c>
    </row>
    <row r="1500" spans="1:38" x14ac:dyDescent="0.3">
      <c r="A1500" t="str">
        <f>"SO22000033"</f>
        <v>SO22000033</v>
      </c>
      <c r="B1500" t="str">
        <f>"E000355431"</f>
        <v>E000355431</v>
      </c>
      <c r="C1500" t="str">
        <f>"הרכבה חלקית"</f>
        <v>הרכבה חלקית</v>
      </c>
      <c r="E1500" s="3">
        <v>44591</v>
      </c>
      <c r="F1500" s="3">
        <v>44706</v>
      </c>
      <c r="G1500" t="str">
        <f>"700065"</f>
        <v>700065</v>
      </c>
      <c r="H1500" t="str">
        <f>"אלתא מערכות בע""מ"</f>
        <v>אלתא מערכות בע"מ</v>
      </c>
      <c r="I1500" t="str">
        <f>"רחמים זרוק"</f>
        <v>רחמים זרוק</v>
      </c>
      <c r="J1500" t="str">
        <f>"OP-AR02923"</f>
        <v>OP-AR02923</v>
      </c>
      <c r="K1500" s="1" t="str">
        <f>"1031B163-001   HARNESS W0163 - CU RACK TO TWISTED CAPS"</f>
        <v>1031B163-001   HARNESS W0163 - CU RACK TO TWISTED CAPS</v>
      </c>
      <c r="L1500">
        <v>1</v>
      </c>
      <c r="M1500" t="str">
        <f>"PR22000045"</f>
        <v>PR22000045</v>
      </c>
      <c r="N1500" t="str">
        <f>"HARNESS W0153"</f>
        <v>HARNESS W0153</v>
      </c>
      <c r="O1500">
        <v>299.97000000000003</v>
      </c>
      <c r="P1500" t="str">
        <f>"$"</f>
        <v>$</v>
      </c>
      <c r="Q1500" t="str">
        <f>"117"</f>
        <v>117</v>
      </c>
      <c r="R1500" t="str">
        <f>"רתמות"</f>
        <v>רתמות</v>
      </c>
      <c r="S1500" t="str">
        <f>"040"</f>
        <v>040</v>
      </c>
      <c r="T1500" t="str">
        <f>"עמר ליגל"</f>
        <v>עמר ליגל</v>
      </c>
      <c r="U1500">
        <v>0</v>
      </c>
      <c r="V1500">
        <v>0</v>
      </c>
      <c r="W1500">
        <v>299.97000000000003</v>
      </c>
      <c r="X1500">
        <v>299.97000000000003</v>
      </c>
      <c r="Z1500" t="str">
        <f>"Y"</f>
        <v>Y</v>
      </c>
      <c r="AA1500">
        <v>0</v>
      </c>
      <c r="AC1500">
        <v>0</v>
      </c>
      <c r="AE1500">
        <v>0</v>
      </c>
      <c r="AF1500">
        <v>0</v>
      </c>
      <c r="AG1500">
        <v>958.7</v>
      </c>
      <c r="AH1500">
        <v>0</v>
      </c>
      <c r="AI1500">
        <v>958.7</v>
      </c>
      <c r="AJ1500">
        <v>299.97000000000003</v>
      </c>
      <c r="AK1500">
        <v>299.97000000000003</v>
      </c>
      <c r="AL1500" t="str">
        <f>"$"</f>
        <v>$</v>
      </c>
    </row>
    <row r="1501" spans="1:38" x14ac:dyDescent="0.3">
      <c r="A1501" t="str">
        <f>"SO22000033"</f>
        <v>SO22000033</v>
      </c>
      <c r="B1501" t="str">
        <f>"E000355431"</f>
        <v>E000355431</v>
      </c>
      <c r="C1501" t="str">
        <f>"הרכבה חלקית"</f>
        <v>הרכבה חלקית</v>
      </c>
      <c r="E1501" s="3">
        <v>44591</v>
      </c>
      <c r="F1501" s="3">
        <v>44706</v>
      </c>
      <c r="G1501" t="str">
        <f>"700065"</f>
        <v>700065</v>
      </c>
      <c r="H1501" t="str">
        <f>"אלתא מערכות בע""מ"</f>
        <v>אלתא מערכות בע"מ</v>
      </c>
      <c r="I1501" t="str">
        <f>"רחמים זרוק"</f>
        <v>רחמים זרוק</v>
      </c>
      <c r="J1501" t="str">
        <f>"OP-AR02924"</f>
        <v>OP-AR02924</v>
      </c>
      <c r="K1501" s="1" t="str">
        <f>"1031B166-001   HARNESS W0166 - CU RACK DSC TO EL SWITCH"</f>
        <v>1031B166-001   HARNESS W0166 - CU RACK DSC TO EL SWITCH</v>
      </c>
      <c r="L1501">
        <v>1</v>
      </c>
      <c r="M1501" t="str">
        <f>"PR22000045"</f>
        <v>PR22000045</v>
      </c>
      <c r="N1501" t="str">
        <f>"HARNESS W0153"</f>
        <v>HARNESS W0153</v>
      </c>
      <c r="O1501">
        <v>890.86</v>
      </c>
      <c r="P1501" t="str">
        <f>"$"</f>
        <v>$</v>
      </c>
      <c r="Q1501" t="str">
        <f>"117"</f>
        <v>117</v>
      </c>
      <c r="R1501" t="str">
        <f>"רתמות"</f>
        <v>רתמות</v>
      </c>
      <c r="S1501" t="str">
        <f>"040"</f>
        <v>040</v>
      </c>
      <c r="T1501" t="str">
        <f>"עמר ליגל"</f>
        <v>עמר ליגל</v>
      </c>
      <c r="U1501">
        <v>0</v>
      </c>
      <c r="V1501">
        <v>0</v>
      </c>
      <c r="W1501">
        <v>890.86</v>
      </c>
      <c r="X1501">
        <v>890.86</v>
      </c>
      <c r="Z1501" t="str">
        <f>"Y"</f>
        <v>Y</v>
      </c>
      <c r="AA1501">
        <v>0</v>
      </c>
      <c r="AC1501">
        <v>0</v>
      </c>
      <c r="AE1501">
        <v>0</v>
      </c>
      <c r="AF1501">
        <v>0</v>
      </c>
      <c r="AG1501" s="2">
        <v>2847.19</v>
      </c>
      <c r="AH1501">
        <v>0</v>
      </c>
      <c r="AI1501" s="2">
        <v>2847.19</v>
      </c>
      <c r="AJ1501">
        <v>890.86</v>
      </c>
      <c r="AK1501">
        <v>890.86</v>
      </c>
      <c r="AL1501" t="str">
        <f>"$"</f>
        <v>$</v>
      </c>
    </row>
    <row r="1502" spans="1:38" x14ac:dyDescent="0.3">
      <c r="A1502" t="str">
        <f>"SO22000033"</f>
        <v>SO22000033</v>
      </c>
      <c r="B1502" t="str">
        <f>"E000355431"</f>
        <v>E000355431</v>
      </c>
      <c r="C1502" t="str">
        <f>"הרכבה חלקית"</f>
        <v>הרכבה חלקית</v>
      </c>
      <c r="E1502" s="3">
        <v>44591</v>
      </c>
      <c r="F1502" s="3">
        <v>44684</v>
      </c>
      <c r="G1502" t="str">
        <f>"700065"</f>
        <v>700065</v>
      </c>
      <c r="H1502" t="str">
        <f>"אלתא מערכות בע""מ"</f>
        <v>אלתא מערכות בע"מ</v>
      </c>
      <c r="I1502" t="str">
        <f>"רחמים זרוק"</f>
        <v>רחמים זרוק</v>
      </c>
      <c r="J1502" t="str">
        <f>"OP-AR02925"</f>
        <v>OP-AR02925</v>
      </c>
      <c r="K1502" s="1" t="str">
        <f>"9002H703-001   HARNESS W5703 - POD RP-ANT-LVCS INTERFAC"</f>
        <v>9002H703-001   HARNESS W5703 - POD RP-ANT-LVCS INTERFAC</v>
      </c>
      <c r="L1502">
        <v>3</v>
      </c>
      <c r="M1502" t="str">
        <f>"PR22000045"</f>
        <v>PR22000045</v>
      </c>
      <c r="N1502" t="str">
        <f>"HARNESS W0153"</f>
        <v>HARNESS W0153</v>
      </c>
      <c r="O1502" s="2">
        <v>1306.77</v>
      </c>
      <c r="P1502" t="str">
        <f>"$"</f>
        <v>$</v>
      </c>
      <c r="Q1502" t="str">
        <f>"117"</f>
        <v>117</v>
      </c>
      <c r="R1502" t="str">
        <f>"רתמות"</f>
        <v>רתמות</v>
      </c>
      <c r="S1502" t="str">
        <f>"040"</f>
        <v>040</v>
      </c>
      <c r="T1502" t="str">
        <f>"עמר ליגל"</f>
        <v>עמר ליגל</v>
      </c>
      <c r="U1502">
        <v>0</v>
      </c>
      <c r="V1502">
        <v>0</v>
      </c>
      <c r="W1502" s="2">
        <v>1306.77</v>
      </c>
      <c r="X1502" s="2">
        <v>3920.31</v>
      </c>
      <c r="Z1502" t="str">
        <f>"Y"</f>
        <v>Y</v>
      </c>
      <c r="AA1502">
        <v>0</v>
      </c>
      <c r="AC1502">
        <v>0</v>
      </c>
      <c r="AE1502">
        <v>0</v>
      </c>
      <c r="AF1502">
        <v>0</v>
      </c>
      <c r="AG1502" s="2">
        <v>4176.4399999999996</v>
      </c>
      <c r="AH1502">
        <v>0</v>
      </c>
      <c r="AI1502" s="2">
        <v>12529.31</v>
      </c>
      <c r="AJ1502" s="2">
        <v>3920.31</v>
      </c>
      <c r="AK1502" s="2">
        <v>3920.31</v>
      </c>
      <c r="AL1502" t="str">
        <f>"$"</f>
        <v>$</v>
      </c>
    </row>
    <row r="1503" spans="1:38" x14ac:dyDescent="0.3">
      <c r="A1503" t="str">
        <f>"SO22000033"</f>
        <v>SO22000033</v>
      </c>
      <c r="B1503" t="str">
        <f>"E000355431"</f>
        <v>E000355431</v>
      </c>
      <c r="C1503" t="str">
        <f>"הרכבה חלקית"</f>
        <v>הרכבה חלקית</v>
      </c>
      <c r="E1503" s="3">
        <v>44591</v>
      </c>
      <c r="F1503" s="3">
        <v>44676</v>
      </c>
      <c r="G1503" t="str">
        <f>"700065"</f>
        <v>700065</v>
      </c>
      <c r="H1503" t="str">
        <f>"אלתא מערכות בע""מ"</f>
        <v>אלתא מערכות בע"מ</v>
      </c>
      <c r="I1503" t="str">
        <f>"רחמים זרוק"</f>
        <v>רחמים זרוק</v>
      </c>
      <c r="J1503" t="str">
        <f>"OP-AR02926"</f>
        <v>OP-AR02926</v>
      </c>
      <c r="K1503" s="1" t="str">
        <f>"2013E738-001   CABLE POWER ASSY"</f>
        <v>2013E738-001   CABLE POWER ASSY</v>
      </c>
      <c r="L1503">
        <v>2</v>
      </c>
      <c r="M1503" t="str">
        <f>"PR22000045"</f>
        <v>PR22000045</v>
      </c>
      <c r="N1503" t="str">
        <f>"HARNESS W0153"</f>
        <v>HARNESS W0153</v>
      </c>
      <c r="O1503">
        <v>235.11</v>
      </c>
      <c r="P1503" t="str">
        <f>"$"</f>
        <v>$</v>
      </c>
      <c r="Q1503" t="str">
        <f>"117"</f>
        <v>117</v>
      </c>
      <c r="R1503" t="str">
        <f>"רתמות"</f>
        <v>רתמות</v>
      </c>
      <c r="S1503" t="str">
        <f>"040"</f>
        <v>040</v>
      </c>
      <c r="T1503" t="str">
        <f>"עמר ליגל"</f>
        <v>עמר ליגל</v>
      </c>
      <c r="U1503">
        <v>0</v>
      </c>
      <c r="V1503">
        <v>0</v>
      </c>
      <c r="W1503">
        <v>235.11</v>
      </c>
      <c r="X1503">
        <v>470.22</v>
      </c>
      <c r="Z1503" t="str">
        <f>"Y"</f>
        <v>Y</v>
      </c>
      <c r="AA1503">
        <v>0</v>
      </c>
      <c r="AC1503">
        <v>0</v>
      </c>
      <c r="AE1503">
        <v>0</v>
      </c>
      <c r="AF1503">
        <v>0</v>
      </c>
      <c r="AG1503">
        <v>751.41</v>
      </c>
      <c r="AH1503">
        <v>0</v>
      </c>
      <c r="AI1503" s="2">
        <v>1502.82</v>
      </c>
      <c r="AJ1503">
        <v>470.22</v>
      </c>
      <c r="AK1503">
        <v>470.22</v>
      </c>
      <c r="AL1503" t="str">
        <f>"$"</f>
        <v>$</v>
      </c>
    </row>
    <row r="1504" spans="1:38" x14ac:dyDescent="0.3">
      <c r="A1504" t="str">
        <f>"SO22000033"</f>
        <v>SO22000033</v>
      </c>
      <c r="B1504" t="str">
        <f>"E000355431"</f>
        <v>E000355431</v>
      </c>
      <c r="C1504" t="str">
        <f>"הרכבה חלקית"</f>
        <v>הרכבה חלקית</v>
      </c>
      <c r="E1504" s="3">
        <v>44591</v>
      </c>
      <c r="F1504" s="3">
        <v>44676</v>
      </c>
      <c r="G1504" t="str">
        <f>"700065"</f>
        <v>700065</v>
      </c>
      <c r="H1504" t="str">
        <f>"אלתא מערכות בע""מ"</f>
        <v>אלתא מערכות בע"מ</v>
      </c>
      <c r="I1504" t="str">
        <f>"רחמים זרוק"</f>
        <v>רחמים זרוק</v>
      </c>
      <c r="J1504" t="str">
        <f>"OP-AR02927"</f>
        <v>OP-AR02927</v>
      </c>
      <c r="K1504" s="1" t="str">
        <f>"2018E040-001   INS JTAG CABLE"</f>
        <v>2018E040-001   INS JTAG CABLE</v>
      </c>
      <c r="L1504">
        <v>1</v>
      </c>
      <c r="M1504" t="str">
        <f>"PR22000045"</f>
        <v>PR22000045</v>
      </c>
      <c r="N1504" t="str">
        <f>"HARNESS W0153"</f>
        <v>HARNESS W0153</v>
      </c>
      <c r="O1504">
        <v>145.25</v>
      </c>
      <c r="P1504" t="str">
        <f>"$"</f>
        <v>$</v>
      </c>
      <c r="Q1504" t="str">
        <f>"117"</f>
        <v>117</v>
      </c>
      <c r="R1504" t="str">
        <f>"רתמות"</f>
        <v>רתמות</v>
      </c>
      <c r="S1504" t="str">
        <f>"040"</f>
        <v>040</v>
      </c>
      <c r="T1504" t="str">
        <f>"עמר ליגל"</f>
        <v>עמר ליגל</v>
      </c>
      <c r="U1504">
        <v>0</v>
      </c>
      <c r="V1504">
        <v>0</v>
      </c>
      <c r="W1504">
        <v>145.25</v>
      </c>
      <c r="X1504">
        <v>145.25</v>
      </c>
      <c r="Z1504" t="str">
        <f>"Y"</f>
        <v>Y</v>
      </c>
      <c r="AA1504">
        <v>0</v>
      </c>
      <c r="AC1504">
        <v>0</v>
      </c>
      <c r="AE1504">
        <v>0</v>
      </c>
      <c r="AF1504">
        <v>0</v>
      </c>
      <c r="AG1504">
        <v>464.22</v>
      </c>
      <c r="AH1504">
        <v>0</v>
      </c>
      <c r="AI1504">
        <v>464.22</v>
      </c>
      <c r="AJ1504">
        <v>145.25</v>
      </c>
      <c r="AK1504">
        <v>145.25</v>
      </c>
      <c r="AL1504" t="str">
        <f>"$"</f>
        <v>$</v>
      </c>
    </row>
    <row r="1505" spans="1:38" x14ac:dyDescent="0.3">
      <c r="A1505" t="str">
        <f>"SO22000033"</f>
        <v>SO22000033</v>
      </c>
      <c r="B1505" t="str">
        <f>"E000355431"</f>
        <v>E000355431</v>
      </c>
      <c r="C1505" t="str">
        <f>"הרכבה חלקית"</f>
        <v>הרכבה חלקית</v>
      </c>
      <c r="E1505" s="3">
        <v>44591</v>
      </c>
      <c r="F1505" s="3">
        <v>44612</v>
      </c>
      <c r="G1505" t="str">
        <f>"700065"</f>
        <v>700065</v>
      </c>
      <c r="H1505" t="str">
        <f>"אלתא מערכות בע""מ"</f>
        <v>אלתא מערכות בע"מ</v>
      </c>
      <c r="I1505" t="str">
        <f>"רחמים זרוק"</f>
        <v>רחמים זרוק</v>
      </c>
      <c r="J1505" t="str">
        <f>"OP-AR02928"</f>
        <v>OP-AR02928</v>
      </c>
      <c r="K1505" s="1" t="str">
        <f>"1023B388-001   WCG028 CUG F D00R GND STRAP ASSY"</f>
        <v>1023B388-001   WCG028 CUG F D00R GND STRAP ASSY</v>
      </c>
      <c r="L1505">
        <v>4</v>
      </c>
      <c r="M1505" t="str">
        <f>"PR22000045"</f>
        <v>PR22000045</v>
      </c>
      <c r="N1505" t="str">
        <f>"HARNESS W0153"</f>
        <v>HARNESS W0153</v>
      </c>
      <c r="O1505">
        <v>35.299999999999997</v>
      </c>
      <c r="P1505" t="str">
        <f>"$"</f>
        <v>$</v>
      </c>
      <c r="Q1505" t="str">
        <f>"117"</f>
        <v>117</v>
      </c>
      <c r="R1505" t="str">
        <f>"רתמות"</f>
        <v>רתמות</v>
      </c>
      <c r="S1505" t="str">
        <f>"040"</f>
        <v>040</v>
      </c>
      <c r="T1505" t="str">
        <f>"עמר ליגל"</f>
        <v>עמר ליגל</v>
      </c>
      <c r="U1505">
        <v>0</v>
      </c>
      <c r="V1505">
        <v>0</v>
      </c>
      <c r="W1505">
        <v>35.299999999999997</v>
      </c>
      <c r="X1505">
        <v>141.19999999999999</v>
      </c>
      <c r="Z1505" t="str">
        <f>"Y"</f>
        <v>Y</v>
      </c>
      <c r="AA1505">
        <v>0</v>
      </c>
      <c r="AC1505">
        <v>0</v>
      </c>
      <c r="AE1505">
        <v>0</v>
      </c>
      <c r="AF1505">
        <v>0</v>
      </c>
      <c r="AG1505">
        <v>112.82</v>
      </c>
      <c r="AH1505">
        <v>0</v>
      </c>
      <c r="AI1505">
        <v>451.28</v>
      </c>
      <c r="AJ1505">
        <v>141.19999999999999</v>
      </c>
      <c r="AK1505">
        <v>141.19999999999999</v>
      </c>
      <c r="AL1505" t="str">
        <f>"$"</f>
        <v>$</v>
      </c>
    </row>
    <row r="1506" spans="1:38" x14ac:dyDescent="0.3">
      <c r="A1506" t="str">
        <f>"SO22000033"</f>
        <v>SO22000033</v>
      </c>
      <c r="B1506" t="str">
        <f>"E000355431"</f>
        <v>E000355431</v>
      </c>
      <c r="C1506" t="str">
        <f>"הרכבה חלקית"</f>
        <v>הרכבה חלקית</v>
      </c>
      <c r="E1506" s="3">
        <v>44591</v>
      </c>
      <c r="F1506" s="3">
        <v>44650</v>
      </c>
      <c r="G1506" t="str">
        <f>"700065"</f>
        <v>700065</v>
      </c>
      <c r="H1506" t="str">
        <f>"אלתא מערכות בע""מ"</f>
        <v>אלתא מערכות בע"מ</v>
      </c>
      <c r="I1506" t="str">
        <f>"רחמים זרוק"</f>
        <v>רחמים זרוק</v>
      </c>
      <c r="J1506" t="str">
        <f>"OP-AR02928"</f>
        <v>OP-AR02928</v>
      </c>
      <c r="K1506" s="1" t="str">
        <f>"1023B388-001   WCG028 CUG F D00R GND STRAP ASSY"</f>
        <v>1023B388-001   WCG028 CUG F D00R GND STRAP ASSY</v>
      </c>
      <c r="L1506">
        <v>12</v>
      </c>
      <c r="M1506" t="str">
        <f>"PR22000045"</f>
        <v>PR22000045</v>
      </c>
      <c r="N1506" t="str">
        <f>"HARNESS W0153"</f>
        <v>HARNESS W0153</v>
      </c>
      <c r="O1506">
        <v>35.299999999999997</v>
      </c>
      <c r="P1506" t="str">
        <f>"$"</f>
        <v>$</v>
      </c>
      <c r="Q1506" t="str">
        <f>"117"</f>
        <v>117</v>
      </c>
      <c r="R1506" t="str">
        <f>"רתמות"</f>
        <v>רתמות</v>
      </c>
      <c r="S1506" t="str">
        <f>"040"</f>
        <v>040</v>
      </c>
      <c r="T1506" t="str">
        <f>"עמר ליגל"</f>
        <v>עמר ליגל</v>
      </c>
      <c r="U1506">
        <v>0</v>
      </c>
      <c r="V1506">
        <v>0</v>
      </c>
      <c r="W1506">
        <v>35.299999999999997</v>
      </c>
      <c r="X1506">
        <v>423.6</v>
      </c>
      <c r="Z1506" t="str">
        <f>"Y"</f>
        <v>Y</v>
      </c>
      <c r="AA1506">
        <v>0</v>
      </c>
      <c r="AC1506">
        <v>0</v>
      </c>
      <c r="AE1506">
        <v>0</v>
      </c>
      <c r="AF1506">
        <v>0</v>
      </c>
      <c r="AG1506">
        <v>112.82</v>
      </c>
      <c r="AH1506">
        <v>0</v>
      </c>
      <c r="AI1506" s="2">
        <v>1353.83</v>
      </c>
      <c r="AJ1506">
        <v>423.6</v>
      </c>
      <c r="AK1506">
        <v>423.6</v>
      </c>
      <c r="AL1506" t="str">
        <f>"$"</f>
        <v>$</v>
      </c>
    </row>
    <row r="1507" spans="1:38" x14ac:dyDescent="0.3">
      <c r="A1507" t="str">
        <f>"SO22000033"</f>
        <v>SO22000033</v>
      </c>
      <c r="B1507" t="str">
        <f>"E000355431"</f>
        <v>E000355431</v>
      </c>
      <c r="C1507" t="str">
        <f>"הרכבה חלקית"</f>
        <v>הרכבה חלקית</v>
      </c>
      <c r="E1507" s="3">
        <v>44591</v>
      </c>
      <c r="F1507" s="3">
        <v>44650</v>
      </c>
      <c r="G1507" t="str">
        <f>"700065"</f>
        <v>700065</v>
      </c>
      <c r="H1507" t="str">
        <f>"אלתא מערכות בע""מ"</f>
        <v>אלתא מערכות בע"מ</v>
      </c>
      <c r="I1507" t="str">
        <f>"רחמים זרוק"</f>
        <v>רחמים זרוק</v>
      </c>
      <c r="J1507" t="str">
        <f>"OP-AR02928"</f>
        <v>OP-AR02928</v>
      </c>
      <c r="K1507" s="1" t="str">
        <f>"1023B388-001   WCG028 CUG F D00R GND STRAP ASSY"</f>
        <v>1023B388-001   WCG028 CUG F D00R GND STRAP ASSY</v>
      </c>
      <c r="L1507">
        <v>6</v>
      </c>
      <c r="M1507" t="str">
        <f>"PR22000045"</f>
        <v>PR22000045</v>
      </c>
      <c r="N1507" t="str">
        <f>"HARNESS W0153"</f>
        <v>HARNESS W0153</v>
      </c>
      <c r="O1507">
        <v>35.299999999999997</v>
      </c>
      <c r="P1507" t="str">
        <f>"$"</f>
        <v>$</v>
      </c>
      <c r="Q1507" t="str">
        <f>"117"</f>
        <v>117</v>
      </c>
      <c r="R1507" t="str">
        <f>"רתמות"</f>
        <v>רתמות</v>
      </c>
      <c r="S1507" t="str">
        <f>"040"</f>
        <v>040</v>
      </c>
      <c r="T1507" t="str">
        <f>"עמר ליגל"</f>
        <v>עמר ליגל</v>
      </c>
      <c r="U1507">
        <v>0</v>
      </c>
      <c r="V1507">
        <v>0</v>
      </c>
      <c r="W1507">
        <v>35.299999999999997</v>
      </c>
      <c r="X1507">
        <v>211.8</v>
      </c>
      <c r="Z1507" t="str">
        <f>"Y"</f>
        <v>Y</v>
      </c>
      <c r="AA1507">
        <v>0</v>
      </c>
      <c r="AC1507">
        <v>0</v>
      </c>
      <c r="AE1507">
        <v>0</v>
      </c>
      <c r="AF1507">
        <v>0</v>
      </c>
      <c r="AG1507">
        <v>112.82</v>
      </c>
      <c r="AH1507">
        <v>0</v>
      </c>
      <c r="AI1507">
        <v>676.91</v>
      </c>
      <c r="AJ1507">
        <v>211.8</v>
      </c>
      <c r="AK1507">
        <v>211.8</v>
      </c>
      <c r="AL1507" t="str">
        <f>"$"</f>
        <v>$</v>
      </c>
    </row>
    <row r="1508" spans="1:38" x14ac:dyDescent="0.3">
      <c r="A1508" t="str">
        <f>"SO22000033"</f>
        <v>SO22000033</v>
      </c>
      <c r="B1508" t="str">
        <f>"E000355431"</f>
        <v>E000355431</v>
      </c>
      <c r="C1508" t="str">
        <f>"הרכבה חלקית"</f>
        <v>הרכבה חלקית</v>
      </c>
      <c r="E1508" s="3">
        <v>44591</v>
      </c>
      <c r="F1508" s="3">
        <v>44650</v>
      </c>
      <c r="G1508" t="str">
        <f>"700065"</f>
        <v>700065</v>
      </c>
      <c r="H1508" t="str">
        <f>"אלתא מערכות בע""מ"</f>
        <v>אלתא מערכות בע"מ</v>
      </c>
      <c r="I1508" t="str">
        <f>"רחמים זרוק"</f>
        <v>רחמים זרוק</v>
      </c>
      <c r="J1508" t="str">
        <f>"OP-AR02928"</f>
        <v>OP-AR02928</v>
      </c>
      <c r="K1508" s="1" t="str">
        <f>"1023B388-001   WCG028 CUG F D00R GND STRAP ASSY"</f>
        <v>1023B388-001   WCG028 CUG F D00R GND STRAP ASSY</v>
      </c>
      <c r="L1508">
        <v>2</v>
      </c>
      <c r="M1508" t="str">
        <f>"PR22000045"</f>
        <v>PR22000045</v>
      </c>
      <c r="N1508" t="str">
        <f>"HARNESS W0153"</f>
        <v>HARNESS W0153</v>
      </c>
      <c r="O1508">
        <v>35.299999999999997</v>
      </c>
      <c r="P1508" t="str">
        <f>"$"</f>
        <v>$</v>
      </c>
      <c r="Q1508" t="str">
        <f>"117"</f>
        <v>117</v>
      </c>
      <c r="R1508" t="str">
        <f>"רתמות"</f>
        <v>רתמות</v>
      </c>
      <c r="S1508" t="str">
        <f>"040"</f>
        <v>040</v>
      </c>
      <c r="T1508" t="str">
        <f>"עמר ליגל"</f>
        <v>עמר ליגל</v>
      </c>
      <c r="U1508">
        <v>0</v>
      </c>
      <c r="V1508">
        <v>0</v>
      </c>
      <c r="W1508">
        <v>35.299999999999997</v>
      </c>
      <c r="X1508">
        <v>70.599999999999994</v>
      </c>
      <c r="Z1508" t="str">
        <f>"Y"</f>
        <v>Y</v>
      </c>
      <c r="AA1508">
        <v>0</v>
      </c>
      <c r="AC1508">
        <v>0</v>
      </c>
      <c r="AE1508">
        <v>0</v>
      </c>
      <c r="AF1508">
        <v>0</v>
      </c>
      <c r="AG1508">
        <v>112.82</v>
      </c>
      <c r="AH1508">
        <v>0</v>
      </c>
      <c r="AI1508">
        <v>225.64</v>
      </c>
      <c r="AJ1508">
        <v>70.599999999999994</v>
      </c>
      <c r="AK1508">
        <v>70.599999999999994</v>
      </c>
      <c r="AL1508" t="str">
        <f>"$"</f>
        <v>$</v>
      </c>
    </row>
    <row r="1509" spans="1:38" x14ac:dyDescent="0.3">
      <c r="A1509" t="str">
        <f>"SO22000038"</f>
        <v>SO22000038</v>
      </c>
      <c r="B1509" t="str">
        <f>"E000354389"</f>
        <v>E000354389</v>
      </c>
      <c r="C1509" t="str">
        <f>"בוצעה"</f>
        <v>בוצעה</v>
      </c>
      <c r="E1509" s="3">
        <v>44598</v>
      </c>
      <c r="F1509" s="3">
        <v>44711</v>
      </c>
      <c r="G1509" t="str">
        <f>"700065"</f>
        <v>700065</v>
      </c>
      <c r="H1509" t="str">
        <f>"אלתא מערכות בע""מ"</f>
        <v>אלתא מערכות בע"מ</v>
      </c>
      <c r="I1509" t="str">
        <f>"רוני דידי"</f>
        <v>רוני דידי</v>
      </c>
      <c r="J1509" t="str">
        <f>"OP-AR01297"</f>
        <v>OP-AR01297</v>
      </c>
      <c r="K1509" s="1" t="str">
        <f>"שדרוג יחידה LB PDB"</f>
        <v>שדרוג יחידה LB PDB</v>
      </c>
      <c r="L1509">
        <v>1</v>
      </c>
      <c r="M1509" t="str">
        <f>"PR19000454"</f>
        <v>PR19000454</v>
      </c>
      <c r="N1509" t="str">
        <f>"שדרוג יחידות LB PDB"</f>
        <v>שדרוג יחידות LB PDB</v>
      </c>
      <c r="O1509" s="2">
        <v>5121</v>
      </c>
      <c r="P1509" t="str">
        <f>"$"</f>
        <v>$</v>
      </c>
      <c r="Q1509" t="str">
        <f>"118"</f>
        <v>118</v>
      </c>
      <c r="R1509" t="str">
        <f>"מערכות"</f>
        <v>מערכות</v>
      </c>
      <c r="S1509" t="str">
        <f>"007"</f>
        <v>007</v>
      </c>
      <c r="T1509" t="str">
        <f>"עמר ליגל"</f>
        <v>עמר ליגל</v>
      </c>
      <c r="U1509">
        <v>0</v>
      </c>
      <c r="V1509">
        <v>0</v>
      </c>
      <c r="W1509" s="2">
        <v>5121</v>
      </c>
      <c r="X1509" s="2">
        <v>5121</v>
      </c>
      <c r="Z1509" t="str">
        <f>"Y"</f>
        <v>Y</v>
      </c>
      <c r="AA1509">
        <v>0</v>
      </c>
      <c r="AC1509">
        <v>0</v>
      </c>
      <c r="AE1509">
        <v>0</v>
      </c>
      <c r="AF1509">
        <v>0</v>
      </c>
      <c r="AG1509" s="2">
        <v>16382.08</v>
      </c>
      <c r="AH1509">
        <v>0</v>
      </c>
      <c r="AI1509" s="2">
        <v>16382.08</v>
      </c>
      <c r="AJ1509" s="2">
        <v>5121</v>
      </c>
      <c r="AK1509" s="2">
        <v>5121</v>
      </c>
      <c r="AL1509" t="str">
        <f>"$"</f>
        <v>$</v>
      </c>
    </row>
    <row r="1510" spans="1:38" x14ac:dyDescent="0.3">
      <c r="A1510" t="str">
        <f>"SO22000039"</f>
        <v>SO22000039</v>
      </c>
      <c r="B1510" t="str">
        <f>"E000357011"</f>
        <v>E000357011</v>
      </c>
      <c r="C1510" t="str">
        <f>"בוצעה"</f>
        <v>בוצעה</v>
      </c>
      <c r="E1510" s="3">
        <v>44598</v>
      </c>
      <c r="F1510" s="3">
        <v>44671</v>
      </c>
      <c r="G1510" t="str">
        <f>"700065"</f>
        <v>700065</v>
      </c>
      <c r="H1510" t="str">
        <f>"אלתא מערכות בע""מ"</f>
        <v>אלתא מערכות בע"מ</v>
      </c>
      <c r="I1510" t="str">
        <f>"רוני דידי"</f>
        <v>רוני דידי</v>
      </c>
      <c r="J1510" t="str">
        <f>"OP-AR01297"</f>
        <v>OP-AR01297</v>
      </c>
      <c r="K1510" s="1" t="str">
        <f>"שדרוג יחידה LB PDB"</f>
        <v>שדרוג יחידה LB PDB</v>
      </c>
      <c r="L1510">
        <v>1</v>
      </c>
      <c r="M1510" t="str">
        <f>"PR19000454"</f>
        <v>PR19000454</v>
      </c>
      <c r="N1510" t="str">
        <f>"שדרוג יחידות LB PDB"</f>
        <v>שדרוג יחידות LB PDB</v>
      </c>
      <c r="O1510" s="2">
        <v>2549</v>
      </c>
      <c r="P1510" t="str">
        <f>"$"</f>
        <v>$</v>
      </c>
      <c r="Q1510" t="str">
        <f>"118"</f>
        <v>118</v>
      </c>
      <c r="R1510" t="str">
        <f>"מערכות"</f>
        <v>מערכות</v>
      </c>
      <c r="S1510" t="str">
        <f>"007"</f>
        <v>007</v>
      </c>
      <c r="T1510" t="str">
        <f>"עמר ליגל"</f>
        <v>עמר ליגל</v>
      </c>
      <c r="U1510">
        <v>0</v>
      </c>
      <c r="V1510">
        <v>0</v>
      </c>
      <c r="W1510" s="2">
        <v>2549</v>
      </c>
      <c r="X1510" s="2">
        <v>2549</v>
      </c>
      <c r="Z1510" t="str">
        <f>"Y"</f>
        <v>Y</v>
      </c>
      <c r="AA1510">
        <v>0</v>
      </c>
      <c r="AC1510">
        <v>0</v>
      </c>
      <c r="AE1510">
        <v>0</v>
      </c>
      <c r="AF1510">
        <v>0</v>
      </c>
      <c r="AG1510" s="2">
        <v>8154.25</v>
      </c>
      <c r="AH1510">
        <v>0</v>
      </c>
      <c r="AI1510" s="2">
        <v>8154.25</v>
      </c>
      <c r="AJ1510" s="2">
        <v>2549</v>
      </c>
      <c r="AK1510" s="2">
        <v>2549</v>
      </c>
      <c r="AL1510" t="str">
        <f>"$"</f>
        <v>$</v>
      </c>
    </row>
    <row r="1511" spans="1:38" x14ac:dyDescent="0.3">
      <c r="A1511" t="str">
        <f>"SO22000039"</f>
        <v>SO22000039</v>
      </c>
      <c r="B1511" t="str">
        <f>"E000357011"</f>
        <v>E000357011</v>
      </c>
      <c r="C1511" t="str">
        <f>"בוצעה"</f>
        <v>בוצעה</v>
      </c>
      <c r="E1511" s="3">
        <v>44598</v>
      </c>
      <c r="F1511" s="3">
        <v>44649</v>
      </c>
      <c r="G1511" t="str">
        <f>"700065"</f>
        <v>700065</v>
      </c>
      <c r="H1511" t="str">
        <f>"אלתא מערכות בע""מ"</f>
        <v>אלתא מערכות בע"מ</v>
      </c>
      <c r="I1511" t="str">
        <f>"רוני דידי"</f>
        <v>רוני דידי</v>
      </c>
      <c r="J1511" t="str">
        <f>"PA11TA1763"</f>
        <v>PA11TA1763</v>
      </c>
      <c r="K1511" s="1" t="str">
        <f>"אריזה ל PDB לפי שרטוט"</f>
        <v>אריזה ל PDB לפי שרטוט</v>
      </c>
      <c r="L1511">
        <v>1</v>
      </c>
      <c r="O1511">
        <v>700</v>
      </c>
      <c r="P1511" t="str">
        <f>"$"</f>
        <v>$</v>
      </c>
      <c r="Q1511" t="str">
        <f>"118"</f>
        <v>118</v>
      </c>
      <c r="R1511" t="str">
        <f>"מערכות"</f>
        <v>מערכות</v>
      </c>
      <c r="S1511" t="str">
        <f>"007"</f>
        <v>007</v>
      </c>
      <c r="T1511" t="str">
        <f>"עמר ליגל"</f>
        <v>עמר ליגל</v>
      </c>
      <c r="U1511">
        <v>0</v>
      </c>
      <c r="V1511">
        <v>0</v>
      </c>
      <c r="W1511">
        <v>700</v>
      </c>
      <c r="X1511">
        <v>700</v>
      </c>
      <c r="Z1511" t="str">
        <f>"Y"</f>
        <v>Y</v>
      </c>
      <c r="AA1511">
        <v>0</v>
      </c>
      <c r="AC1511">
        <v>0</v>
      </c>
      <c r="AE1511">
        <v>0</v>
      </c>
      <c r="AF1511">
        <v>0</v>
      </c>
      <c r="AG1511" s="2">
        <v>2239.3000000000002</v>
      </c>
      <c r="AH1511">
        <v>0</v>
      </c>
      <c r="AI1511" s="2">
        <v>2239.3000000000002</v>
      </c>
      <c r="AJ1511">
        <v>700</v>
      </c>
      <c r="AK1511">
        <v>700</v>
      </c>
      <c r="AL1511" t="str">
        <f>"$"</f>
        <v>$</v>
      </c>
    </row>
    <row r="1512" spans="1:38" x14ac:dyDescent="0.3">
      <c r="A1512" t="str">
        <f>"SO22000040"</f>
        <v>SO22000040</v>
      </c>
      <c r="B1512" t="str">
        <f>"E000357049"</f>
        <v>E000357049</v>
      </c>
      <c r="C1512" t="str">
        <f>"בוצעה"</f>
        <v>בוצעה</v>
      </c>
      <c r="E1512" s="3">
        <v>44598</v>
      </c>
      <c r="F1512" s="3">
        <v>44650</v>
      </c>
      <c r="G1512" t="str">
        <f>"700065"</f>
        <v>700065</v>
      </c>
      <c r="H1512" t="str">
        <f>"אלתא מערכות בע""מ"</f>
        <v>אלתא מערכות בע"מ</v>
      </c>
      <c r="I1512" t="str">
        <f>"ערן שלו"</f>
        <v>ערן שלו</v>
      </c>
      <c r="J1512" t="str">
        <f>"cust00891"</f>
        <v>cust00891</v>
      </c>
      <c r="K1512" s="1" t="str">
        <f>"1038H185-001 אלתא"</f>
        <v>1038H185-001 אלתא</v>
      </c>
      <c r="L1512">
        <v>1</v>
      </c>
      <c r="M1512" t="str">
        <f>"PR22000224"</f>
        <v>PR22000224</v>
      </c>
      <c r="N1512" t="str">
        <f>"1088H185-001"</f>
        <v>1088H185-001</v>
      </c>
      <c r="O1512" s="2">
        <v>1500</v>
      </c>
      <c r="P1512" t="str">
        <f>"$"</f>
        <v>$</v>
      </c>
      <c r="Q1512" t="str">
        <f>"118"</f>
        <v>118</v>
      </c>
      <c r="R1512" t="str">
        <f>"מערכות"</f>
        <v>מערכות</v>
      </c>
      <c r="S1512" t="str">
        <f>"034"</f>
        <v>034</v>
      </c>
      <c r="T1512" t="str">
        <f>"עמר ליגל"</f>
        <v>עמר ליגל</v>
      </c>
      <c r="U1512">
        <v>0</v>
      </c>
      <c r="V1512">
        <v>0</v>
      </c>
      <c r="W1512" s="2">
        <v>1500</v>
      </c>
      <c r="X1512" s="2">
        <v>1500</v>
      </c>
      <c r="Z1512" t="str">
        <f>"Y"</f>
        <v>Y</v>
      </c>
      <c r="AA1512">
        <v>0</v>
      </c>
      <c r="AC1512">
        <v>0</v>
      </c>
      <c r="AE1512">
        <v>0</v>
      </c>
      <c r="AF1512">
        <v>0</v>
      </c>
      <c r="AG1512" s="2">
        <v>4798.5</v>
      </c>
      <c r="AH1512">
        <v>0</v>
      </c>
      <c r="AI1512" s="2">
        <v>4798.5</v>
      </c>
      <c r="AJ1512" s="2">
        <v>1500</v>
      </c>
      <c r="AK1512" s="2">
        <v>1500</v>
      </c>
      <c r="AL1512" t="str">
        <f>"$"</f>
        <v>$</v>
      </c>
    </row>
    <row r="1513" spans="1:38" x14ac:dyDescent="0.3">
      <c r="A1513" t="str">
        <f>"SO22000041"</f>
        <v>SO22000041</v>
      </c>
      <c r="B1513" t="str">
        <f>"E000357093"</f>
        <v>E000357093</v>
      </c>
      <c r="C1513" t="str">
        <f>"בוצעה"</f>
        <v>בוצעה</v>
      </c>
      <c r="E1513" s="3">
        <v>44598</v>
      </c>
      <c r="F1513" s="3">
        <v>44620</v>
      </c>
      <c r="G1513" t="str">
        <f>"700065"</f>
        <v>700065</v>
      </c>
      <c r="H1513" t="str">
        <f>"אלתא מערכות בע""מ"</f>
        <v>אלתא מערכות בע"מ</v>
      </c>
      <c r="I1513" t="str">
        <f>"ערן שלו"</f>
        <v>ערן שלו</v>
      </c>
      <c r="J1513" t="str">
        <f>"000"</f>
        <v>000</v>
      </c>
      <c r="K1513" s="1" t="str">
        <f>"תיקון תקלה בפלוגות RPU MADR"</f>
        <v>תיקון תקלה בפלוגות RPU MADR</v>
      </c>
      <c r="L1513">
        <v>1</v>
      </c>
      <c r="M1513" t="str">
        <f>"PR20000358"</f>
        <v>PR20000358</v>
      </c>
      <c r="N1513" t="str">
        <f>"הזמנת קרונות RPU לצ'כיה"</f>
        <v>הזמנת קרונות RPU לצ'כיה</v>
      </c>
      <c r="O1513" s="2">
        <v>3765</v>
      </c>
      <c r="P1513" t="str">
        <f>"$"</f>
        <v>$</v>
      </c>
      <c r="Q1513" t="str">
        <f>"119"</f>
        <v>119</v>
      </c>
      <c r="R1513" t="str">
        <f>"פלטפורמות"</f>
        <v>פלטפורמות</v>
      </c>
      <c r="S1513" t="str">
        <f>"034"</f>
        <v>034</v>
      </c>
      <c r="T1513" t="str">
        <f>"עמר ליגל"</f>
        <v>עמר ליגל</v>
      </c>
      <c r="U1513">
        <v>0</v>
      </c>
      <c r="V1513">
        <v>0</v>
      </c>
      <c r="W1513" s="2">
        <v>3765</v>
      </c>
      <c r="X1513" s="2">
        <v>3765</v>
      </c>
      <c r="Z1513" t="str">
        <f>"Y"</f>
        <v>Y</v>
      </c>
      <c r="AA1513">
        <v>1</v>
      </c>
      <c r="AC1513">
        <v>0</v>
      </c>
      <c r="AE1513">
        <v>0</v>
      </c>
      <c r="AF1513">
        <v>0</v>
      </c>
      <c r="AG1513" s="2">
        <v>12044.24</v>
      </c>
      <c r="AH1513">
        <v>0</v>
      </c>
      <c r="AI1513" s="2">
        <v>12044.24</v>
      </c>
      <c r="AJ1513" s="2">
        <v>3765</v>
      </c>
      <c r="AK1513" s="2">
        <v>3765</v>
      </c>
      <c r="AL1513" t="str">
        <f>"$"</f>
        <v>$</v>
      </c>
    </row>
    <row r="1514" spans="1:38" x14ac:dyDescent="0.3">
      <c r="A1514" t="str">
        <f>"SO22000042"</f>
        <v>SO22000042</v>
      </c>
      <c r="B1514" t="str">
        <f>"E000357138"</f>
        <v>E000357138</v>
      </c>
      <c r="C1514" t="str">
        <f>"הרכבה חלקית"</f>
        <v>הרכבה חלקית</v>
      </c>
      <c r="E1514" s="3">
        <v>44599</v>
      </c>
      <c r="F1514" s="3">
        <v>44635</v>
      </c>
      <c r="G1514" t="str">
        <f>"700065"</f>
        <v>700065</v>
      </c>
      <c r="H1514" t="str">
        <f>"אלתא מערכות בע""מ"</f>
        <v>אלתא מערכות בע"מ</v>
      </c>
      <c r="I1514" t="str">
        <f>"רחמים זרוק"</f>
        <v>רחמים זרוק</v>
      </c>
      <c r="J1514" t="str">
        <f>"OP-AR02945"</f>
        <v>OP-AR02945</v>
      </c>
      <c r="K1514" s="1" t="str">
        <f>"1033A201-001   HARNESS W0001 - POWER - MAIN - CUST"</f>
        <v>1033A201-001   HARNESS W0001 - POWER - MAIN - CUST</v>
      </c>
      <c r="L1514">
        <v>1</v>
      </c>
      <c r="M1514" t="str">
        <f>"PR22000121"</f>
        <v>PR22000121</v>
      </c>
      <c r="N1514" t="str">
        <f>"HARNESS 1W117"</f>
        <v>HARNESS 1W117</v>
      </c>
      <c r="O1514">
        <v>222.36</v>
      </c>
      <c r="P1514" t="str">
        <f>"$"</f>
        <v>$</v>
      </c>
      <c r="Q1514" t="str">
        <f>"117"</f>
        <v>117</v>
      </c>
      <c r="R1514" t="str">
        <f>"רתמות"</f>
        <v>רתמות</v>
      </c>
      <c r="S1514" t="str">
        <f>"040"</f>
        <v>040</v>
      </c>
      <c r="T1514" t="str">
        <f>"עמר ליגל"</f>
        <v>עמר ליגל</v>
      </c>
      <c r="U1514">
        <v>0</v>
      </c>
      <c r="V1514">
        <v>0</v>
      </c>
      <c r="W1514">
        <v>222.36</v>
      </c>
      <c r="X1514">
        <v>222.36</v>
      </c>
      <c r="Z1514" t="str">
        <f>"Y"</f>
        <v>Y</v>
      </c>
      <c r="AA1514">
        <v>0</v>
      </c>
      <c r="AC1514">
        <v>0</v>
      </c>
      <c r="AE1514">
        <v>0</v>
      </c>
      <c r="AF1514">
        <v>0</v>
      </c>
      <c r="AG1514">
        <v>710.44</v>
      </c>
      <c r="AH1514">
        <v>0</v>
      </c>
      <c r="AI1514">
        <v>710.44</v>
      </c>
      <c r="AJ1514">
        <v>222.36</v>
      </c>
      <c r="AK1514">
        <v>222.36</v>
      </c>
      <c r="AL1514" t="str">
        <f>"$"</f>
        <v>$</v>
      </c>
    </row>
    <row r="1515" spans="1:38" x14ac:dyDescent="0.3">
      <c r="A1515" t="str">
        <f>"SO22000042"</f>
        <v>SO22000042</v>
      </c>
      <c r="B1515" t="str">
        <f>"E000357138"</f>
        <v>E000357138</v>
      </c>
      <c r="C1515" t="str">
        <f>"הרכבה חלקית"</f>
        <v>הרכבה חלקית</v>
      </c>
      <c r="E1515" s="3">
        <v>44599</v>
      </c>
      <c r="F1515" s="3">
        <v>44767</v>
      </c>
      <c r="G1515" t="str">
        <f>"700065"</f>
        <v>700065</v>
      </c>
      <c r="H1515" t="str">
        <f>"אלתא מערכות בע""מ"</f>
        <v>אלתא מערכות בע"מ</v>
      </c>
      <c r="I1515" t="str">
        <f>"רחמים זרוק"</f>
        <v>רחמים זרוק</v>
      </c>
      <c r="J1515" t="str">
        <f>"OP-AR02235"</f>
        <v>OP-AR02235</v>
      </c>
      <c r="K1515" s="1" t="str">
        <f>"1036C426-001   HARNESS W426 - EPU - PDU1 CONTROL"</f>
        <v>1036C426-001   HARNESS W426 - EPU - PDU1 CONTROL</v>
      </c>
      <c r="L1515">
        <v>2</v>
      </c>
      <c r="M1515" t="str">
        <f>"PR22000121"</f>
        <v>PR22000121</v>
      </c>
      <c r="N1515" t="str">
        <f>"HARNESS 1W117"</f>
        <v>HARNESS 1W117</v>
      </c>
      <c r="O1515" s="2">
        <v>3307.94</v>
      </c>
      <c r="P1515" t="str">
        <f>"$"</f>
        <v>$</v>
      </c>
      <c r="Q1515" t="str">
        <f>"117"</f>
        <v>117</v>
      </c>
      <c r="R1515" t="str">
        <f>"רתמות"</f>
        <v>רתמות</v>
      </c>
      <c r="S1515" t="str">
        <f>"040"</f>
        <v>040</v>
      </c>
      <c r="T1515" t="str">
        <f>"עמר ליגל"</f>
        <v>עמר ליגל</v>
      </c>
      <c r="U1515">
        <v>0</v>
      </c>
      <c r="V1515">
        <v>0</v>
      </c>
      <c r="W1515" s="2">
        <v>3307.94</v>
      </c>
      <c r="X1515" s="2">
        <v>6615.88</v>
      </c>
      <c r="Z1515" t="str">
        <f>"Y"</f>
        <v>Y</v>
      </c>
      <c r="AA1515">
        <v>0</v>
      </c>
      <c r="AC1515">
        <v>0</v>
      </c>
      <c r="AE1515">
        <v>0</v>
      </c>
      <c r="AF1515">
        <v>0</v>
      </c>
      <c r="AG1515" s="2">
        <v>10568.87</v>
      </c>
      <c r="AH1515">
        <v>0</v>
      </c>
      <c r="AI1515" s="2">
        <v>21137.74</v>
      </c>
      <c r="AJ1515" s="2">
        <v>6615.88</v>
      </c>
      <c r="AK1515" s="2">
        <v>6615.88</v>
      </c>
      <c r="AL1515" t="str">
        <f>"$"</f>
        <v>$</v>
      </c>
    </row>
    <row r="1516" spans="1:38" x14ac:dyDescent="0.3">
      <c r="A1516" t="str">
        <f>"SO22000042"</f>
        <v>SO22000042</v>
      </c>
      <c r="B1516" t="str">
        <f>"E000357138"</f>
        <v>E000357138</v>
      </c>
      <c r="C1516" t="str">
        <f>"הרכבה חלקית"</f>
        <v>הרכבה חלקית</v>
      </c>
      <c r="E1516" s="3">
        <v>44599</v>
      </c>
      <c r="F1516" s="3">
        <v>44661</v>
      </c>
      <c r="G1516" t="str">
        <f>"700065"</f>
        <v>700065</v>
      </c>
      <c r="H1516" t="str">
        <f>"אלתא מערכות בע""מ"</f>
        <v>אלתא מערכות בע"מ</v>
      </c>
      <c r="I1516" t="str">
        <f>"רחמים זרוק"</f>
        <v>רחמים זרוק</v>
      </c>
      <c r="J1516" t="str">
        <f>"OP-AR02946"</f>
        <v>OP-AR02946</v>
      </c>
      <c r="K1516" s="1" t="str">
        <f>"1032M789-001    HARNESS 1W117 - TCG"</f>
        <v>1032M789-001    HARNESS 1W117 - TCG</v>
      </c>
      <c r="L1516">
        <v>11</v>
      </c>
      <c r="M1516" t="str">
        <f>"PR22000121"</f>
        <v>PR22000121</v>
      </c>
      <c r="N1516" t="str">
        <f>"HARNESS 1W117"</f>
        <v>HARNESS 1W117</v>
      </c>
      <c r="O1516">
        <v>188.47</v>
      </c>
      <c r="P1516" t="str">
        <f>"$"</f>
        <v>$</v>
      </c>
      <c r="Q1516" t="str">
        <f>"117"</f>
        <v>117</v>
      </c>
      <c r="R1516" t="str">
        <f>"רתמות"</f>
        <v>רתמות</v>
      </c>
      <c r="S1516" t="str">
        <f>"040"</f>
        <v>040</v>
      </c>
      <c r="T1516" t="str">
        <f>"עמר ליגל"</f>
        <v>עמר ליגל</v>
      </c>
      <c r="U1516">
        <v>0</v>
      </c>
      <c r="V1516">
        <v>0</v>
      </c>
      <c r="W1516">
        <v>188.47</v>
      </c>
      <c r="X1516" s="2">
        <v>2073.17</v>
      </c>
      <c r="Z1516" t="str">
        <f>"Y"</f>
        <v>Y</v>
      </c>
      <c r="AA1516">
        <v>0</v>
      </c>
      <c r="AC1516">
        <v>0</v>
      </c>
      <c r="AE1516">
        <v>0</v>
      </c>
      <c r="AF1516">
        <v>0</v>
      </c>
      <c r="AG1516">
        <v>602.16</v>
      </c>
      <c r="AH1516">
        <v>0</v>
      </c>
      <c r="AI1516" s="2">
        <v>6623.78</v>
      </c>
      <c r="AJ1516" s="2">
        <v>2073.17</v>
      </c>
      <c r="AK1516" s="2">
        <v>2073.17</v>
      </c>
      <c r="AL1516" t="str">
        <f>"$"</f>
        <v>$</v>
      </c>
    </row>
    <row r="1517" spans="1:38" x14ac:dyDescent="0.3">
      <c r="A1517" t="str">
        <f>"SO22000044"</f>
        <v>SO22000044</v>
      </c>
      <c r="B1517" t="str">
        <f>"E000357831"</f>
        <v>E000357831</v>
      </c>
      <c r="C1517" t="str">
        <f>"בסיום הרכבה"</f>
        <v>בסיום הרכבה</v>
      </c>
      <c r="E1517" s="3">
        <v>44602</v>
      </c>
      <c r="F1517" s="3">
        <v>44711</v>
      </c>
      <c r="G1517" t="str">
        <f>"700065"</f>
        <v>700065</v>
      </c>
      <c r="H1517" t="str">
        <f>"אלתא מערכות בע""מ"</f>
        <v>אלתא מערכות בע"מ</v>
      </c>
      <c r="I1517" t="str">
        <f>"רחמים זרוק"</f>
        <v>רחמים זרוק</v>
      </c>
      <c r="J1517" t="str">
        <f>"OP-AR02947"</f>
        <v>OP-AR02947</v>
      </c>
      <c r="K1517" s="1" t="str">
        <f>"1039H852-001   HARNESS WY052 - PDU REMOTE TO U FULL TK"</f>
        <v>1039H852-001   HARNESS WY052 - PDU REMOTE TO U FULL TK</v>
      </c>
      <c r="L1517">
        <v>1</v>
      </c>
      <c r="M1517" t="str">
        <f>"PR22000134"</f>
        <v>PR22000134</v>
      </c>
      <c r="N1517" t="str">
        <f>"1039H852-001"</f>
        <v>1039H852-001</v>
      </c>
      <c r="O1517" s="2">
        <v>1332.96</v>
      </c>
      <c r="P1517" t="str">
        <f>"$"</f>
        <v>$</v>
      </c>
      <c r="Q1517" t="str">
        <f>"117"</f>
        <v>117</v>
      </c>
      <c r="R1517" t="str">
        <f>"רתמות"</f>
        <v>רתמות</v>
      </c>
      <c r="S1517" t="str">
        <f>"040"</f>
        <v>040</v>
      </c>
      <c r="T1517" t="str">
        <f>"עמר ליגל"</f>
        <v>עמר ליגל</v>
      </c>
      <c r="U1517">
        <v>0</v>
      </c>
      <c r="V1517">
        <v>0</v>
      </c>
      <c r="W1517" s="2">
        <v>1332.96</v>
      </c>
      <c r="X1517" s="2">
        <v>1332.96</v>
      </c>
      <c r="Z1517" t="str">
        <f>"Y"</f>
        <v>Y</v>
      </c>
      <c r="AA1517">
        <v>0</v>
      </c>
      <c r="AC1517">
        <v>0</v>
      </c>
      <c r="AE1517">
        <v>0</v>
      </c>
      <c r="AF1517">
        <v>0</v>
      </c>
      <c r="AG1517" s="2">
        <v>4293.46</v>
      </c>
      <c r="AH1517">
        <v>0</v>
      </c>
      <c r="AI1517" s="2">
        <v>4293.46</v>
      </c>
      <c r="AJ1517" s="2">
        <v>1332.96</v>
      </c>
      <c r="AK1517" s="2">
        <v>1332.96</v>
      </c>
      <c r="AL1517" t="str">
        <f>"$"</f>
        <v>$</v>
      </c>
    </row>
    <row r="1518" spans="1:38" x14ac:dyDescent="0.3">
      <c r="A1518" t="str">
        <f>"SO22000048"</f>
        <v>SO22000048</v>
      </c>
      <c r="B1518" t="str">
        <f>"E000357303"</f>
        <v>E000357303</v>
      </c>
      <c r="C1518" t="str">
        <f>"בוצעה"</f>
        <v>בוצעה</v>
      </c>
      <c r="E1518" s="3">
        <v>44605</v>
      </c>
      <c r="F1518" s="3">
        <v>44682</v>
      </c>
      <c r="G1518" t="str">
        <f>"700065"</f>
        <v>700065</v>
      </c>
      <c r="H1518" t="str">
        <f>"אלתא מערכות בע""מ"</f>
        <v>אלתא מערכות בע"מ</v>
      </c>
      <c r="I1518" t="str">
        <f>"ערן שלו"</f>
        <v>ערן שלו</v>
      </c>
      <c r="J1518" t="str">
        <f>"000"</f>
        <v>000</v>
      </c>
      <c r="K1518" s="1" t="str">
        <f>"החלפת מצברים למערכת MADR"</f>
        <v>החלפת מצברים למערכת MADR</v>
      </c>
      <c r="L1518">
        <v>1</v>
      </c>
      <c r="M1518" t="str">
        <f>"PR22000163"</f>
        <v>PR22000163</v>
      </c>
      <c r="N1518" t="str">
        <f>"החלפת מצברים למערכת MADR"</f>
        <v>החלפת מצברים למערכת MADR</v>
      </c>
      <c r="O1518">
        <v>0</v>
      </c>
      <c r="P1518" t="str">
        <f>"$"</f>
        <v>$</v>
      </c>
      <c r="Q1518" t="str">
        <f>"118"</f>
        <v>118</v>
      </c>
      <c r="R1518" t="str">
        <f>"מערכות"</f>
        <v>מערכות</v>
      </c>
      <c r="S1518" t="str">
        <f>"034"</f>
        <v>034</v>
      </c>
      <c r="T1518" t="str">
        <f>"עמר ליגל"</f>
        <v>עמר ליגל</v>
      </c>
      <c r="U1518">
        <v>0</v>
      </c>
      <c r="V1518">
        <v>0</v>
      </c>
      <c r="W1518">
        <v>0</v>
      </c>
      <c r="X1518">
        <v>0</v>
      </c>
      <c r="Z1518" t="str">
        <f>"Y"</f>
        <v>Y</v>
      </c>
      <c r="AA1518">
        <v>1</v>
      </c>
      <c r="AC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 t="str">
        <f>"$"</f>
        <v>$</v>
      </c>
    </row>
    <row r="1519" spans="1:38" x14ac:dyDescent="0.3">
      <c r="A1519" t="str">
        <f>"SO22000048"</f>
        <v>SO22000048</v>
      </c>
      <c r="B1519" t="str">
        <f>"E000357303"</f>
        <v>E000357303</v>
      </c>
      <c r="C1519" t="str">
        <f>"בוצעה"</f>
        <v>בוצעה</v>
      </c>
      <c r="E1519" s="3">
        <v>44605</v>
      </c>
      <c r="F1519" s="3">
        <v>44682</v>
      </c>
      <c r="G1519" t="str">
        <f>"700065"</f>
        <v>700065</v>
      </c>
      <c r="H1519" t="str">
        <f>"אלתא מערכות בע""מ"</f>
        <v>אלתא מערכות בע"מ</v>
      </c>
      <c r="I1519" t="str">
        <f>"ערן שלו"</f>
        <v>ערן שלו</v>
      </c>
      <c r="J1519" t="str">
        <f>"OP-KT00127"</f>
        <v>OP-KT00127</v>
      </c>
      <c r="K1519" s="1" t="str">
        <f>"מצברים ח""ח למערכת MADR"</f>
        <v>מצברים ח"ח למערכת MADR</v>
      </c>
      <c r="L1519">
        <v>1</v>
      </c>
      <c r="M1519" t="str">
        <f>"PR22000163"</f>
        <v>PR22000163</v>
      </c>
      <c r="N1519" t="str">
        <f>"החלפת מצברים למערכת MADR"</f>
        <v>החלפת מצברים למערכת MADR</v>
      </c>
      <c r="O1519" s="2">
        <v>2355</v>
      </c>
      <c r="P1519" t="str">
        <f>"$"</f>
        <v>$</v>
      </c>
      <c r="Q1519" t="str">
        <f>"118"</f>
        <v>118</v>
      </c>
      <c r="R1519" t="str">
        <f>"מערכות"</f>
        <v>מערכות</v>
      </c>
      <c r="S1519" t="str">
        <f>"034"</f>
        <v>034</v>
      </c>
      <c r="T1519" t="str">
        <f>"עמר ליגל"</f>
        <v>עמר ליגל</v>
      </c>
      <c r="U1519">
        <v>0</v>
      </c>
      <c r="V1519">
        <v>0</v>
      </c>
      <c r="W1519" s="2">
        <v>2355</v>
      </c>
      <c r="X1519" s="2">
        <v>2355</v>
      </c>
      <c r="Z1519" t="str">
        <f>"Y"</f>
        <v>Y</v>
      </c>
      <c r="AA1519">
        <v>0</v>
      </c>
      <c r="AC1519">
        <v>0</v>
      </c>
      <c r="AE1519">
        <v>0</v>
      </c>
      <c r="AF1519">
        <v>0</v>
      </c>
      <c r="AG1519" s="2">
        <v>7618.43</v>
      </c>
      <c r="AH1519">
        <v>0</v>
      </c>
      <c r="AI1519" s="2">
        <v>7618.43</v>
      </c>
      <c r="AJ1519" s="2">
        <v>2355</v>
      </c>
      <c r="AK1519" s="2">
        <v>2355</v>
      </c>
      <c r="AL1519" t="str">
        <f>"$"</f>
        <v>$</v>
      </c>
    </row>
    <row r="1520" spans="1:38" x14ac:dyDescent="0.3">
      <c r="A1520" t="str">
        <f>"SO22000049"</f>
        <v>SO22000049</v>
      </c>
      <c r="B1520" t="str">
        <f>"E000357496"</f>
        <v>E000357496</v>
      </c>
      <c r="C1520" t="str">
        <f>"בוצעה"</f>
        <v>בוצעה</v>
      </c>
      <c r="E1520" s="3">
        <v>44605</v>
      </c>
      <c r="F1520" s="3">
        <v>44650</v>
      </c>
      <c r="G1520" t="str">
        <f>"700065"</f>
        <v>700065</v>
      </c>
      <c r="H1520" t="str">
        <f>"אלתא מערכות בע""מ"</f>
        <v>אלתא מערכות בע"מ</v>
      </c>
      <c r="I1520" t="str">
        <f>"רוני דידי"</f>
        <v>רוני דידי</v>
      </c>
      <c r="J1520" t="str">
        <f>"cust001198"</f>
        <v>cust001198</v>
      </c>
      <c r="K1520" s="1" t="str">
        <f>"ELTA RMY-01 POWER SYSTEM"</f>
        <v>ELTA RMY-01 POWER SYSTEM</v>
      </c>
      <c r="L1520">
        <v>4</v>
      </c>
      <c r="M1520" t="str">
        <f>"PR21000284"</f>
        <v>PR21000284</v>
      </c>
      <c r="N1520" t="str">
        <f>"RMY-01 POWER SYSTEM"</f>
        <v>RMY-01 POWER SYSTEM</v>
      </c>
      <c r="O1520">
        <v>0</v>
      </c>
      <c r="P1520" t="str">
        <f>"$"</f>
        <v>$</v>
      </c>
      <c r="Q1520" t="str">
        <f>"118"</f>
        <v>118</v>
      </c>
      <c r="R1520" t="str">
        <f>"מערכות"</f>
        <v>מערכות</v>
      </c>
      <c r="S1520" t="str">
        <f>"007"</f>
        <v>007</v>
      </c>
      <c r="T1520" t="str">
        <f>"עמר ליגל"</f>
        <v>עמר ליגל</v>
      </c>
      <c r="U1520">
        <v>0</v>
      </c>
      <c r="V1520">
        <v>0</v>
      </c>
      <c r="W1520">
        <v>0</v>
      </c>
      <c r="X1520">
        <v>0</v>
      </c>
      <c r="Z1520" t="str">
        <f>"Y"</f>
        <v>Y</v>
      </c>
      <c r="AA1520">
        <v>4</v>
      </c>
      <c r="AC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 t="str">
        <f>"$"</f>
        <v>$</v>
      </c>
    </row>
    <row r="1521" spans="1:38" x14ac:dyDescent="0.3">
      <c r="A1521" t="str">
        <f>"SO22000049"</f>
        <v>SO22000049</v>
      </c>
      <c r="B1521" t="str">
        <f>"E000357496"</f>
        <v>E000357496</v>
      </c>
      <c r="C1521" t="str">
        <f>"בוצעה"</f>
        <v>בוצעה</v>
      </c>
      <c r="E1521" s="3">
        <v>44605</v>
      </c>
      <c r="F1521" s="3">
        <v>44650</v>
      </c>
      <c r="G1521" t="str">
        <f>"700065"</f>
        <v>700065</v>
      </c>
      <c r="H1521" t="str">
        <f>"אלתא מערכות בע""מ"</f>
        <v>אלתא מערכות בע"מ</v>
      </c>
      <c r="I1521" t="str">
        <f>"רוני דידי"</f>
        <v>רוני דידי</v>
      </c>
      <c r="J1521" t="str">
        <f>"cust001198"</f>
        <v>cust001198</v>
      </c>
      <c r="K1521" s="1" t="str">
        <f>"ELTA RMY-01 POWER SYSTEM"</f>
        <v>ELTA RMY-01 POWER SYSTEM</v>
      </c>
      <c r="L1521">
        <v>4</v>
      </c>
      <c r="M1521" t="str">
        <f>"PR21000284"</f>
        <v>PR21000284</v>
      </c>
      <c r="N1521" t="str">
        <f>"RMY-01 POWER SYSTEM"</f>
        <v>RMY-01 POWER SYSTEM</v>
      </c>
      <c r="O1521">
        <v>0.01</v>
      </c>
      <c r="P1521" t="str">
        <f>"$"</f>
        <v>$</v>
      </c>
      <c r="Q1521" t="str">
        <f>"118"</f>
        <v>118</v>
      </c>
      <c r="R1521" t="str">
        <f>"מערכות"</f>
        <v>מערכות</v>
      </c>
      <c r="S1521" t="str">
        <f>"007"</f>
        <v>007</v>
      </c>
      <c r="T1521" t="str">
        <f>"עמר ליגל"</f>
        <v>עמר ליגל</v>
      </c>
      <c r="U1521">
        <v>0</v>
      </c>
      <c r="V1521">
        <v>0</v>
      </c>
      <c r="W1521">
        <v>0.01</v>
      </c>
      <c r="X1521">
        <v>0.04</v>
      </c>
      <c r="Z1521" t="str">
        <f>"Y"</f>
        <v>Y</v>
      </c>
      <c r="AA1521">
        <v>0</v>
      </c>
      <c r="AC1521">
        <v>0</v>
      </c>
      <c r="AE1521">
        <v>0</v>
      </c>
      <c r="AF1521">
        <v>0</v>
      </c>
      <c r="AG1521">
        <v>0.03</v>
      </c>
      <c r="AH1521">
        <v>0</v>
      </c>
      <c r="AI1521">
        <v>0.13</v>
      </c>
      <c r="AJ1521">
        <v>0.04</v>
      </c>
      <c r="AK1521">
        <v>0.04</v>
      </c>
      <c r="AL1521" t="str">
        <f>"$"</f>
        <v>$</v>
      </c>
    </row>
    <row r="1522" spans="1:38" x14ac:dyDescent="0.3">
      <c r="A1522" t="str">
        <f>"SO22000050"</f>
        <v>SO22000050</v>
      </c>
      <c r="B1522" t="str">
        <f>"E000357869"</f>
        <v>E000357869</v>
      </c>
      <c r="C1522" t="str">
        <f>"בוצעה"</f>
        <v>בוצעה</v>
      </c>
      <c r="E1522" s="3">
        <v>44605</v>
      </c>
      <c r="F1522" s="3">
        <v>44650</v>
      </c>
      <c r="G1522" t="str">
        <f>"700065"</f>
        <v>700065</v>
      </c>
      <c r="H1522" t="str">
        <f>"אלתא מערכות בע""מ"</f>
        <v>אלתא מערכות בע"מ</v>
      </c>
      <c r="I1522" t="str">
        <f>"ערן שלו"</f>
        <v>ערן שלו</v>
      </c>
      <c r="J1522" t="str">
        <f>"PD0300506"</f>
        <v>PD0300506</v>
      </c>
      <c r="K1522" s="1" t="str">
        <f>"מתמר זרם MCR-SL-CUC-100-I - 2308027 AC/DC 100A"</f>
        <v>מתמר זרם MCR-SL-CUC-100-I - 2308027 AC/DC 100A</v>
      </c>
      <c r="L1522">
        <v>1</v>
      </c>
      <c r="M1522" t="str">
        <f>"PR22000164"</f>
        <v>PR22000164</v>
      </c>
      <c r="N1522" t="str">
        <f>"אספקת מד זרם ללקוח"</f>
        <v>אספקת מד זרם ללקוח</v>
      </c>
      <c r="O1522">
        <v>660</v>
      </c>
      <c r="P1522" t="str">
        <f>"$"</f>
        <v>$</v>
      </c>
      <c r="Q1522" t="str">
        <f>"118"</f>
        <v>118</v>
      </c>
      <c r="R1522" t="str">
        <f>"מערכות"</f>
        <v>מערכות</v>
      </c>
      <c r="S1522" t="str">
        <f>"034"</f>
        <v>034</v>
      </c>
      <c r="T1522" t="str">
        <f>"עמר ליגל"</f>
        <v>עמר ליגל</v>
      </c>
      <c r="U1522">
        <v>0</v>
      </c>
      <c r="V1522">
        <v>0</v>
      </c>
      <c r="W1522">
        <v>660</v>
      </c>
      <c r="X1522">
        <v>660</v>
      </c>
      <c r="Z1522" t="str">
        <f>"Y"</f>
        <v>Y</v>
      </c>
      <c r="AA1522">
        <v>0</v>
      </c>
      <c r="AC1522">
        <v>0</v>
      </c>
      <c r="AE1522">
        <v>0</v>
      </c>
      <c r="AF1522">
        <v>0</v>
      </c>
      <c r="AG1522" s="2">
        <v>2135.1</v>
      </c>
      <c r="AH1522">
        <v>0</v>
      </c>
      <c r="AI1522" s="2">
        <v>2135.1</v>
      </c>
      <c r="AJ1522">
        <v>660</v>
      </c>
      <c r="AK1522">
        <v>660</v>
      </c>
      <c r="AL1522" t="str">
        <f>"$"</f>
        <v>$</v>
      </c>
    </row>
    <row r="1523" spans="1:38" x14ac:dyDescent="0.3">
      <c r="A1523" t="str">
        <f>"SO22000050"</f>
        <v>SO22000050</v>
      </c>
      <c r="B1523" t="str">
        <f>"E000357869"</f>
        <v>E000357869</v>
      </c>
      <c r="C1523" t="str">
        <f>"בוצעה"</f>
        <v>בוצעה</v>
      </c>
      <c r="E1523" s="3">
        <v>44605</v>
      </c>
      <c r="F1523" s="3">
        <v>44649</v>
      </c>
      <c r="G1523" t="str">
        <f>"700065"</f>
        <v>700065</v>
      </c>
      <c r="H1523" t="str">
        <f>"אלתא מערכות בע""מ"</f>
        <v>אלתא מערכות בע"מ</v>
      </c>
      <c r="I1523" t="str">
        <f>"ערן שלו"</f>
        <v>ערן שלו</v>
      </c>
      <c r="J1523" t="str">
        <f>"PD0300506"</f>
        <v>PD0300506</v>
      </c>
      <c r="K1523" s="1" t="str">
        <f>"מתמר זרם MCR-SL-CUC-100-I - 2308027 AC/DC 100A"</f>
        <v>מתמר זרם MCR-SL-CUC-100-I - 2308027 AC/DC 100A</v>
      </c>
      <c r="L1523">
        <v>1</v>
      </c>
      <c r="M1523" t="str">
        <f>"PR22000164"</f>
        <v>PR22000164</v>
      </c>
      <c r="N1523" t="str">
        <f>"אספקת מד זרם ללקוח"</f>
        <v>אספקת מד זרם ללקוח</v>
      </c>
      <c r="O1523">
        <v>0</v>
      </c>
      <c r="P1523" t="str">
        <f>"$"</f>
        <v>$</v>
      </c>
      <c r="Q1523" t="str">
        <f>"118"</f>
        <v>118</v>
      </c>
      <c r="R1523" t="str">
        <f>"מערכות"</f>
        <v>מערכות</v>
      </c>
      <c r="S1523" t="str">
        <f>"034"</f>
        <v>034</v>
      </c>
      <c r="T1523" t="str">
        <f>"עמר ליגל"</f>
        <v>עמר ליגל</v>
      </c>
      <c r="U1523">
        <v>0</v>
      </c>
      <c r="V1523">
        <v>0</v>
      </c>
      <c r="W1523">
        <v>0</v>
      </c>
      <c r="X1523">
        <v>0</v>
      </c>
      <c r="Z1523" t="str">
        <f>"Y"</f>
        <v>Y</v>
      </c>
      <c r="AA1523">
        <v>0</v>
      </c>
      <c r="AC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 t="str">
        <f>"$"</f>
        <v>$</v>
      </c>
    </row>
    <row r="1524" spans="1:38" x14ac:dyDescent="0.3">
      <c r="A1524" t="str">
        <f>"SO22000056"</f>
        <v>SO22000056</v>
      </c>
      <c r="B1524" t="str">
        <f>"E000357452"</f>
        <v>E000357452</v>
      </c>
      <c r="C1524" t="str">
        <f>"בוצעה"</f>
        <v>בוצעה</v>
      </c>
      <c r="E1524" s="3">
        <v>44608</v>
      </c>
      <c r="F1524" s="3">
        <v>44733</v>
      </c>
      <c r="G1524" t="str">
        <f>"700065"</f>
        <v>700065</v>
      </c>
      <c r="H1524" t="str">
        <f>"אלתא מערכות בע""מ"</f>
        <v>אלתא מערכות בע"מ</v>
      </c>
      <c r="I1524" t="str">
        <f>"רחמים זרוק"</f>
        <v>רחמים זרוק</v>
      </c>
      <c r="J1524" t="str">
        <f>"OP-AR02925"</f>
        <v>OP-AR02925</v>
      </c>
      <c r="K1524" s="1" t="str">
        <f>"9002H703-001   HARNESS W5703 - POD RP-ANT-LVCS INTERFAC"</f>
        <v>9002H703-001   HARNESS W5703 - POD RP-ANT-LVCS INTERFAC</v>
      </c>
      <c r="L1524">
        <v>1</v>
      </c>
      <c r="M1524" t="str">
        <f>"PR22000167"</f>
        <v>PR22000167</v>
      </c>
      <c r="N1524" t="str">
        <f>"HARNESS W5703 - POD RP-ANT-LVC"</f>
        <v>HARNESS W5703 - POD RP-ANT-LVC</v>
      </c>
      <c r="O1524" s="2">
        <v>1067.6500000000001</v>
      </c>
      <c r="P1524" t="str">
        <f>"$"</f>
        <v>$</v>
      </c>
      <c r="Q1524" t="str">
        <f>"117"</f>
        <v>117</v>
      </c>
      <c r="R1524" t="str">
        <f>"רתמות"</f>
        <v>רתמות</v>
      </c>
      <c r="S1524" t="str">
        <f>"040"</f>
        <v>040</v>
      </c>
      <c r="T1524" t="str">
        <f>"עמר ליגל"</f>
        <v>עמר ליגל</v>
      </c>
      <c r="U1524">
        <v>0</v>
      </c>
      <c r="V1524">
        <v>0</v>
      </c>
      <c r="W1524" s="2">
        <v>1067.6500000000001</v>
      </c>
      <c r="X1524" s="2">
        <v>1067.6500000000001</v>
      </c>
      <c r="Z1524" t="str">
        <f>"Y"</f>
        <v>Y</v>
      </c>
      <c r="AA1524">
        <v>0</v>
      </c>
      <c r="AC1524">
        <v>0</v>
      </c>
      <c r="AE1524">
        <v>0</v>
      </c>
      <c r="AF1524">
        <v>0</v>
      </c>
      <c r="AG1524" s="2">
        <v>3398.33</v>
      </c>
      <c r="AH1524">
        <v>0</v>
      </c>
      <c r="AI1524" s="2">
        <v>3398.33</v>
      </c>
      <c r="AJ1524" s="2">
        <v>1067.6500000000001</v>
      </c>
      <c r="AK1524" s="2">
        <v>1067.6500000000001</v>
      </c>
      <c r="AL1524" t="str">
        <f>"$"</f>
        <v>$</v>
      </c>
    </row>
    <row r="1525" spans="1:38" x14ac:dyDescent="0.3">
      <c r="A1525" t="str">
        <f>"SO22000056"</f>
        <v>SO22000056</v>
      </c>
      <c r="B1525" t="str">
        <f>"E000357452"</f>
        <v>E000357452</v>
      </c>
      <c r="C1525" t="str">
        <f>"בוצעה"</f>
        <v>בוצעה</v>
      </c>
      <c r="E1525" s="3">
        <v>44608</v>
      </c>
      <c r="F1525" s="3">
        <v>44733</v>
      </c>
      <c r="G1525" t="str">
        <f>"700065"</f>
        <v>700065</v>
      </c>
      <c r="H1525" t="str">
        <f>"אלתא מערכות בע""מ"</f>
        <v>אלתא מערכות בע"מ</v>
      </c>
      <c r="I1525" t="str">
        <f>"רחמים זרוק"</f>
        <v>רחמים זרוק</v>
      </c>
      <c r="J1525" t="str">
        <f>"OP-AR02954"</f>
        <v>OP-AR02954</v>
      </c>
      <c r="K1525" s="1" t="str">
        <f>"9011L911-001   HARNESS W077 - LVCS DC POWER"</f>
        <v>9011L911-001   HARNESS W077 - LVCS DC POWER</v>
      </c>
      <c r="L1525">
        <v>2</v>
      </c>
      <c r="M1525" t="str">
        <f>"PR22000167"</f>
        <v>PR22000167</v>
      </c>
      <c r="N1525" t="str">
        <f>"HARNESS W5703 - POD RP-ANT-LVC"</f>
        <v>HARNESS W5703 - POD RP-ANT-LVC</v>
      </c>
      <c r="O1525">
        <v>873.53</v>
      </c>
      <c r="P1525" t="str">
        <f>"$"</f>
        <v>$</v>
      </c>
      <c r="Q1525" t="str">
        <f>"117"</f>
        <v>117</v>
      </c>
      <c r="R1525" t="str">
        <f>"רתמות"</f>
        <v>רתמות</v>
      </c>
      <c r="S1525" t="str">
        <f>"040"</f>
        <v>040</v>
      </c>
      <c r="T1525" t="str">
        <f>"עמר ליגל"</f>
        <v>עמר ליגל</v>
      </c>
      <c r="U1525">
        <v>0</v>
      </c>
      <c r="V1525">
        <v>0</v>
      </c>
      <c r="W1525">
        <v>873.53</v>
      </c>
      <c r="X1525" s="2">
        <v>1747.06</v>
      </c>
      <c r="Z1525" t="str">
        <f>"Y"</f>
        <v>Y</v>
      </c>
      <c r="AA1525">
        <v>0</v>
      </c>
      <c r="AC1525">
        <v>0</v>
      </c>
      <c r="AE1525">
        <v>0</v>
      </c>
      <c r="AF1525">
        <v>0</v>
      </c>
      <c r="AG1525" s="2">
        <v>2780.45</v>
      </c>
      <c r="AH1525">
        <v>0</v>
      </c>
      <c r="AI1525" s="2">
        <v>5560.89</v>
      </c>
      <c r="AJ1525" s="2">
        <v>1747.06</v>
      </c>
      <c r="AK1525" s="2">
        <v>1747.06</v>
      </c>
      <c r="AL1525" t="str">
        <f>"$"</f>
        <v>$</v>
      </c>
    </row>
    <row r="1526" spans="1:38" x14ac:dyDescent="0.3">
      <c r="A1526" t="str">
        <f>"SO22000061"</f>
        <v>SO22000061</v>
      </c>
      <c r="B1526" t="str">
        <f>"E000356936"</f>
        <v>E000356936</v>
      </c>
      <c r="C1526" t="str">
        <f>"בוצעה"</f>
        <v>בוצעה</v>
      </c>
      <c r="E1526" s="3">
        <v>44612</v>
      </c>
      <c r="F1526" s="3">
        <v>44620</v>
      </c>
      <c r="G1526" t="str">
        <f>"700065"</f>
        <v>700065</v>
      </c>
      <c r="H1526" t="str">
        <f>"אלתא מערכות בע""מ"</f>
        <v>אלתא מערכות בע"מ</v>
      </c>
      <c r="I1526" t="str">
        <f>"ערן שלו"</f>
        <v>ערן שלו</v>
      </c>
      <c r="J1526" t="str">
        <f>"000"</f>
        <v>000</v>
      </c>
      <c r="K1526" s="1" t="str">
        <f>"תוספת עלות לייצור לאחר שינויים ב-RPS1"</f>
        <v>תוספת עלות לייצור לאחר שינויים ב-RPS1</v>
      </c>
      <c r="L1526">
        <v>1</v>
      </c>
      <c r="M1526" t="str">
        <f>"PR20000698"</f>
        <v>PR20000698</v>
      </c>
      <c r="N1526" t="str">
        <f>"1038C906-001 RPU1"</f>
        <v>1038C906-001 RPU1</v>
      </c>
      <c r="O1526" s="2">
        <v>25000</v>
      </c>
      <c r="P1526" t="str">
        <f>"$"</f>
        <v>$</v>
      </c>
      <c r="Q1526" t="str">
        <f>"119"</f>
        <v>119</v>
      </c>
      <c r="R1526" t="str">
        <f>"פלטפורמות"</f>
        <v>פלטפורמות</v>
      </c>
      <c r="S1526" t="str">
        <f>"034"</f>
        <v>034</v>
      </c>
      <c r="T1526" t="str">
        <f>"עמר ליגל"</f>
        <v>עמר ליגל</v>
      </c>
      <c r="U1526">
        <v>0</v>
      </c>
      <c r="V1526">
        <v>0</v>
      </c>
      <c r="W1526" s="2">
        <v>25000</v>
      </c>
      <c r="X1526" s="2">
        <v>25000</v>
      </c>
      <c r="Z1526" t="str">
        <f>"Y"</f>
        <v>Y</v>
      </c>
      <c r="AA1526">
        <v>1</v>
      </c>
      <c r="AC1526">
        <v>0</v>
      </c>
      <c r="AE1526">
        <v>0</v>
      </c>
      <c r="AF1526">
        <v>0</v>
      </c>
      <c r="AG1526" s="2">
        <v>79825</v>
      </c>
      <c r="AH1526">
        <v>0</v>
      </c>
      <c r="AI1526" s="2">
        <v>79825</v>
      </c>
      <c r="AJ1526" s="2">
        <v>25000</v>
      </c>
      <c r="AK1526" s="2">
        <v>25000</v>
      </c>
      <c r="AL1526" t="str">
        <f>"$"</f>
        <v>$</v>
      </c>
    </row>
    <row r="1527" spans="1:38" x14ac:dyDescent="0.3">
      <c r="A1527" t="str">
        <f>"SO22000061"</f>
        <v>SO22000061</v>
      </c>
      <c r="B1527" t="str">
        <f>"E000356936"</f>
        <v>E000356936</v>
      </c>
      <c r="C1527" t="str">
        <f>"בוצעה"</f>
        <v>בוצעה</v>
      </c>
      <c r="E1527" s="3">
        <v>44612</v>
      </c>
      <c r="F1527" s="3">
        <v>44620</v>
      </c>
      <c r="G1527" t="str">
        <f>"700065"</f>
        <v>700065</v>
      </c>
      <c r="H1527" t="str">
        <f>"אלתא מערכות בע""מ"</f>
        <v>אלתא מערכות בע"מ</v>
      </c>
      <c r="I1527" t="str">
        <f>"ערן שלו"</f>
        <v>ערן שלו</v>
      </c>
      <c r="J1527" t="str">
        <f>"000"</f>
        <v>000</v>
      </c>
      <c r="K1527" s="1" t="str">
        <f>"תוספת עלות לייצור לאחר שינויים ב-RPS2"</f>
        <v>תוספת עלות לייצור לאחר שינויים ב-RPS2</v>
      </c>
      <c r="L1527">
        <v>1</v>
      </c>
      <c r="M1527" t="str">
        <f>"PR20000699"</f>
        <v>PR20000699</v>
      </c>
      <c r="N1527" t="str">
        <f>"1038C906-001 RPU2"</f>
        <v>1038C906-001 RPU2</v>
      </c>
      <c r="O1527" s="2">
        <v>25000</v>
      </c>
      <c r="P1527" t="str">
        <f>"$"</f>
        <v>$</v>
      </c>
      <c r="Q1527" t="str">
        <f>"119"</f>
        <v>119</v>
      </c>
      <c r="R1527" t="str">
        <f>"פלטפורמות"</f>
        <v>פלטפורמות</v>
      </c>
      <c r="S1527" t="str">
        <f>"034"</f>
        <v>034</v>
      </c>
      <c r="T1527" t="str">
        <f>"עמר ליגל"</f>
        <v>עמר ליגל</v>
      </c>
      <c r="U1527">
        <v>0</v>
      </c>
      <c r="V1527">
        <v>0</v>
      </c>
      <c r="W1527" s="2">
        <v>25000</v>
      </c>
      <c r="X1527" s="2">
        <v>25000</v>
      </c>
      <c r="Z1527" t="str">
        <f>"Y"</f>
        <v>Y</v>
      </c>
      <c r="AA1527">
        <v>0</v>
      </c>
      <c r="AC1527">
        <v>0</v>
      </c>
      <c r="AE1527">
        <v>0</v>
      </c>
      <c r="AF1527">
        <v>0</v>
      </c>
      <c r="AG1527" s="2">
        <v>79825</v>
      </c>
      <c r="AH1527">
        <v>0</v>
      </c>
      <c r="AI1527" s="2">
        <v>79825</v>
      </c>
      <c r="AJ1527" s="2">
        <v>25000</v>
      </c>
      <c r="AK1527" s="2">
        <v>25000</v>
      </c>
      <c r="AL1527" t="str">
        <f>"$"</f>
        <v>$</v>
      </c>
    </row>
    <row r="1528" spans="1:38" x14ac:dyDescent="0.3">
      <c r="A1528" t="str">
        <f>"SO22000061"</f>
        <v>SO22000061</v>
      </c>
      <c r="B1528" t="str">
        <f>"E000356936"</f>
        <v>E000356936</v>
      </c>
      <c r="C1528" t="str">
        <f>"בוצעה"</f>
        <v>בוצעה</v>
      </c>
      <c r="E1528" s="3">
        <v>44612</v>
      </c>
      <c r="F1528" s="3">
        <v>44742</v>
      </c>
      <c r="G1528" t="str">
        <f>"700065"</f>
        <v>700065</v>
      </c>
      <c r="H1528" t="str">
        <f>"אלתא מערכות בע""מ"</f>
        <v>אלתא מערכות בע"מ</v>
      </c>
      <c r="I1528" t="str">
        <f>"ערן שלו"</f>
        <v>ערן שלו</v>
      </c>
      <c r="J1528" t="str">
        <f>"000"</f>
        <v>000</v>
      </c>
      <c r="K1528" s="1" t="str">
        <f>"תוספת עלות לייצור לאחר שינויים ב-RPS3"</f>
        <v>תוספת עלות לייצור לאחר שינויים ב-RPS3</v>
      </c>
      <c r="L1528">
        <v>1</v>
      </c>
      <c r="M1528" t="str">
        <f>"PR20000700"</f>
        <v>PR20000700</v>
      </c>
      <c r="N1528" t="str">
        <f>"1038C906-001 RPU3"</f>
        <v>1038C906-001 RPU3</v>
      </c>
      <c r="O1528" s="2">
        <v>25000</v>
      </c>
      <c r="P1528" t="str">
        <f>"$"</f>
        <v>$</v>
      </c>
      <c r="Q1528" t="str">
        <f>"119"</f>
        <v>119</v>
      </c>
      <c r="R1528" t="str">
        <f>"פלטפורמות"</f>
        <v>פלטפורמות</v>
      </c>
      <c r="S1528" t="str">
        <f>"034"</f>
        <v>034</v>
      </c>
      <c r="T1528" t="str">
        <f>"עמר ליגל"</f>
        <v>עמר ליגל</v>
      </c>
      <c r="U1528">
        <v>0</v>
      </c>
      <c r="V1528">
        <v>0</v>
      </c>
      <c r="W1528" s="2">
        <v>25000</v>
      </c>
      <c r="X1528" s="2">
        <v>25000</v>
      </c>
      <c r="Z1528" t="str">
        <f>"Y"</f>
        <v>Y</v>
      </c>
      <c r="AA1528">
        <v>1</v>
      </c>
      <c r="AC1528">
        <v>0</v>
      </c>
      <c r="AE1528">
        <v>0</v>
      </c>
      <c r="AF1528">
        <v>0</v>
      </c>
      <c r="AG1528" s="2">
        <v>79825</v>
      </c>
      <c r="AH1528">
        <v>0</v>
      </c>
      <c r="AI1528" s="2">
        <v>79825</v>
      </c>
      <c r="AJ1528" s="2">
        <v>25000</v>
      </c>
      <c r="AK1528" s="2">
        <v>25000</v>
      </c>
      <c r="AL1528" t="str">
        <f>"$"</f>
        <v>$</v>
      </c>
    </row>
    <row r="1529" spans="1:38" x14ac:dyDescent="0.3">
      <c r="A1529" t="str">
        <f>"SO22000061"</f>
        <v>SO22000061</v>
      </c>
      <c r="B1529" t="str">
        <f>"E000356936"</f>
        <v>E000356936</v>
      </c>
      <c r="C1529" t="str">
        <f>"בוצעה"</f>
        <v>בוצעה</v>
      </c>
      <c r="E1529" s="3">
        <v>44612</v>
      </c>
      <c r="F1529" s="3">
        <v>44772</v>
      </c>
      <c r="G1529" t="str">
        <f>"700065"</f>
        <v>700065</v>
      </c>
      <c r="H1529" t="str">
        <f>"אלתא מערכות בע""מ"</f>
        <v>אלתא מערכות בע"מ</v>
      </c>
      <c r="I1529" t="str">
        <f>"ערן שלו"</f>
        <v>ערן שלו</v>
      </c>
      <c r="J1529" t="str">
        <f>"000"</f>
        <v>000</v>
      </c>
      <c r="K1529" s="1" t="str">
        <f>"תוספת עלות לייצור לאחר שינויים ב-RPS4"</f>
        <v>תוספת עלות לייצור לאחר שינויים ב-RPS4</v>
      </c>
      <c r="L1529">
        <v>1</v>
      </c>
      <c r="M1529" t="str">
        <f>"PR20000701"</f>
        <v>PR20000701</v>
      </c>
      <c r="N1529" t="str">
        <f>"108C906-001 RPU4"</f>
        <v>108C906-001 RPU4</v>
      </c>
      <c r="O1529" s="2">
        <v>25000</v>
      </c>
      <c r="P1529" t="str">
        <f>"$"</f>
        <v>$</v>
      </c>
      <c r="Q1529" t="str">
        <f>"119"</f>
        <v>119</v>
      </c>
      <c r="R1529" t="str">
        <f>"פלטפורמות"</f>
        <v>פלטפורמות</v>
      </c>
      <c r="S1529" t="str">
        <f>"034"</f>
        <v>034</v>
      </c>
      <c r="T1529" t="str">
        <f>"עמר ליגל"</f>
        <v>עמר ליגל</v>
      </c>
      <c r="U1529">
        <v>0</v>
      </c>
      <c r="V1529">
        <v>0</v>
      </c>
      <c r="W1529" s="2">
        <v>25000</v>
      </c>
      <c r="X1529" s="2">
        <v>25000</v>
      </c>
      <c r="Z1529" t="str">
        <f>"Y"</f>
        <v>Y</v>
      </c>
      <c r="AA1529">
        <v>1</v>
      </c>
      <c r="AC1529">
        <v>0</v>
      </c>
      <c r="AE1529">
        <v>0</v>
      </c>
      <c r="AF1529">
        <v>0</v>
      </c>
      <c r="AG1529" s="2">
        <v>79825</v>
      </c>
      <c r="AH1529">
        <v>0</v>
      </c>
      <c r="AI1529" s="2">
        <v>79825</v>
      </c>
      <c r="AJ1529" s="2">
        <v>25000</v>
      </c>
      <c r="AK1529" s="2">
        <v>25000</v>
      </c>
      <c r="AL1529" t="str">
        <f>"$"</f>
        <v>$</v>
      </c>
    </row>
    <row r="1530" spans="1:38" x14ac:dyDescent="0.3">
      <c r="A1530" t="str">
        <f>"SO22000061"</f>
        <v>SO22000061</v>
      </c>
      <c r="B1530" t="str">
        <f>"E000356936"</f>
        <v>E000356936</v>
      </c>
      <c r="C1530" t="str">
        <f>"בוצעה"</f>
        <v>בוצעה</v>
      </c>
      <c r="E1530" s="3">
        <v>44612</v>
      </c>
      <c r="F1530" s="3">
        <v>44803</v>
      </c>
      <c r="G1530" t="str">
        <f>"700065"</f>
        <v>700065</v>
      </c>
      <c r="H1530" t="str">
        <f>"אלתא מערכות בע""מ"</f>
        <v>אלתא מערכות בע"מ</v>
      </c>
      <c r="I1530" t="str">
        <f>"ערן שלו"</f>
        <v>ערן שלו</v>
      </c>
      <c r="J1530" t="str">
        <f>"000"</f>
        <v>000</v>
      </c>
      <c r="K1530" s="1" t="str">
        <f>"תוספת עלות לייצור לאחר שינויים ב-RPS5"</f>
        <v>תוספת עלות לייצור לאחר שינויים ב-RPS5</v>
      </c>
      <c r="L1530">
        <v>1</v>
      </c>
      <c r="M1530" t="str">
        <f>"PR20000702"</f>
        <v>PR20000702</v>
      </c>
      <c r="N1530" t="str">
        <f>"108C906-001 RPU5"</f>
        <v>108C906-001 RPU5</v>
      </c>
      <c r="O1530" s="2">
        <v>25000</v>
      </c>
      <c r="P1530" t="str">
        <f>"$"</f>
        <v>$</v>
      </c>
      <c r="Q1530" t="str">
        <f>"119"</f>
        <v>119</v>
      </c>
      <c r="R1530" t="str">
        <f>"פלטפורמות"</f>
        <v>פלטפורמות</v>
      </c>
      <c r="S1530" t="str">
        <f>"034"</f>
        <v>034</v>
      </c>
      <c r="T1530" t="str">
        <f>"עמר ליגל"</f>
        <v>עמר ליגל</v>
      </c>
      <c r="U1530">
        <v>0</v>
      </c>
      <c r="V1530">
        <v>0</v>
      </c>
      <c r="W1530" s="2">
        <v>25000</v>
      </c>
      <c r="X1530" s="2">
        <v>25000</v>
      </c>
      <c r="Z1530" t="str">
        <f>"Y"</f>
        <v>Y</v>
      </c>
      <c r="AA1530">
        <v>1</v>
      </c>
      <c r="AC1530">
        <v>0</v>
      </c>
      <c r="AE1530">
        <v>0</v>
      </c>
      <c r="AF1530">
        <v>0</v>
      </c>
      <c r="AG1530" s="2">
        <v>79825</v>
      </c>
      <c r="AH1530">
        <v>0</v>
      </c>
      <c r="AI1530" s="2">
        <v>79825</v>
      </c>
      <c r="AJ1530" s="2">
        <v>25000</v>
      </c>
      <c r="AK1530" s="2">
        <v>25000</v>
      </c>
      <c r="AL1530" t="str">
        <f>"$"</f>
        <v>$</v>
      </c>
    </row>
    <row r="1531" spans="1:38" x14ac:dyDescent="0.3">
      <c r="A1531" t="str">
        <f>"SO22000061"</f>
        <v>SO22000061</v>
      </c>
      <c r="B1531" t="str">
        <f>"E000356936"</f>
        <v>E000356936</v>
      </c>
      <c r="C1531" t="str">
        <f>"בוצעה"</f>
        <v>בוצעה</v>
      </c>
      <c r="E1531" s="3">
        <v>44612</v>
      </c>
      <c r="F1531" s="3">
        <v>44834</v>
      </c>
      <c r="G1531" t="str">
        <f>"700065"</f>
        <v>700065</v>
      </c>
      <c r="H1531" t="str">
        <f>"אלתא מערכות בע""מ"</f>
        <v>אלתא מערכות בע"מ</v>
      </c>
      <c r="I1531" t="str">
        <f>"ערן שלו"</f>
        <v>ערן שלו</v>
      </c>
      <c r="J1531" t="str">
        <f>"000"</f>
        <v>000</v>
      </c>
      <c r="K1531" s="1" t="str">
        <f>"תוספת עלות לייצור לאחר שינויים ב-RPS5"</f>
        <v>תוספת עלות לייצור לאחר שינויים ב-RPS5</v>
      </c>
      <c r="L1531">
        <v>1</v>
      </c>
      <c r="M1531" t="str">
        <f>"PR20000704"</f>
        <v>PR20000704</v>
      </c>
      <c r="N1531" t="str">
        <f>"108C906-001 RPU7"</f>
        <v>108C906-001 RPU7</v>
      </c>
      <c r="O1531" s="2">
        <v>25000</v>
      </c>
      <c r="P1531" t="str">
        <f>"$"</f>
        <v>$</v>
      </c>
      <c r="Q1531" t="str">
        <f>"119"</f>
        <v>119</v>
      </c>
      <c r="R1531" t="str">
        <f>"פלטפורמות"</f>
        <v>פלטפורמות</v>
      </c>
      <c r="S1531" t="str">
        <f>"034"</f>
        <v>034</v>
      </c>
      <c r="T1531" t="str">
        <f>"עמר ליגל"</f>
        <v>עמר ליגל</v>
      </c>
      <c r="U1531">
        <v>0</v>
      </c>
      <c r="V1531">
        <v>0</v>
      </c>
      <c r="W1531" s="2">
        <v>25000</v>
      </c>
      <c r="X1531" s="2">
        <v>25000</v>
      </c>
      <c r="Z1531" t="str">
        <f>"Y"</f>
        <v>Y</v>
      </c>
      <c r="AA1531">
        <v>1</v>
      </c>
      <c r="AC1531">
        <v>0</v>
      </c>
      <c r="AE1531">
        <v>0</v>
      </c>
      <c r="AF1531">
        <v>0</v>
      </c>
      <c r="AG1531" s="2">
        <v>79825</v>
      </c>
      <c r="AH1531">
        <v>0</v>
      </c>
      <c r="AI1531" s="2">
        <v>79825</v>
      </c>
      <c r="AJ1531" s="2">
        <v>25000</v>
      </c>
      <c r="AK1531" s="2">
        <v>25000</v>
      </c>
      <c r="AL1531" t="str">
        <f>"$"</f>
        <v>$</v>
      </c>
    </row>
    <row r="1532" spans="1:38" x14ac:dyDescent="0.3">
      <c r="A1532" t="str">
        <f>"SO22000061"</f>
        <v>SO22000061</v>
      </c>
      <c r="B1532" t="str">
        <f>"E000356936"</f>
        <v>E000356936</v>
      </c>
      <c r="C1532" t="str">
        <f>"בוצעה"</f>
        <v>בוצעה</v>
      </c>
      <c r="E1532" s="3">
        <v>44612</v>
      </c>
      <c r="F1532" s="3">
        <v>44864</v>
      </c>
      <c r="G1532" t="str">
        <f>"700065"</f>
        <v>700065</v>
      </c>
      <c r="H1532" t="str">
        <f>"אלתא מערכות בע""מ"</f>
        <v>אלתא מערכות בע"מ</v>
      </c>
      <c r="I1532" t="str">
        <f>"ערן שלו"</f>
        <v>ערן שלו</v>
      </c>
      <c r="J1532" t="str">
        <f>"000"</f>
        <v>000</v>
      </c>
      <c r="K1532" s="1" t="str">
        <f>"תוספת עלות לייצור לאחר שינויים ב-RPS7"</f>
        <v>תוספת עלות לייצור לאחר שינויים ב-RPS7</v>
      </c>
      <c r="L1532">
        <v>1</v>
      </c>
      <c r="M1532" t="str">
        <f>"PR20000705"</f>
        <v>PR20000705</v>
      </c>
      <c r="N1532" t="str">
        <f>"108C906-001 RPU8"</f>
        <v>108C906-001 RPU8</v>
      </c>
      <c r="O1532" s="2">
        <v>25000</v>
      </c>
      <c r="P1532" t="str">
        <f>"$"</f>
        <v>$</v>
      </c>
      <c r="Q1532" t="str">
        <f>"119"</f>
        <v>119</v>
      </c>
      <c r="R1532" t="str">
        <f>"פלטפורמות"</f>
        <v>פלטפורמות</v>
      </c>
      <c r="S1532" t="str">
        <f>"034"</f>
        <v>034</v>
      </c>
      <c r="T1532" t="str">
        <f>"עמר ליגל"</f>
        <v>עמר ליגל</v>
      </c>
      <c r="U1532">
        <v>0</v>
      </c>
      <c r="V1532">
        <v>0</v>
      </c>
      <c r="W1532" s="2">
        <v>25000</v>
      </c>
      <c r="X1532" s="2">
        <v>25000</v>
      </c>
      <c r="Z1532" t="str">
        <f>"Y"</f>
        <v>Y</v>
      </c>
      <c r="AA1532">
        <v>1</v>
      </c>
      <c r="AC1532">
        <v>0</v>
      </c>
      <c r="AE1532">
        <v>0</v>
      </c>
      <c r="AF1532">
        <v>0</v>
      </c>
      <c r="AG1532" s="2">
        <v>79825</v>
      </c>
      <c r="AH1532">
        <v>0</v>
      </c>
      <c r="AI1532" s="2">
        <v>79825</v>
      </c>
      <c r="AJ1532" s="2">
        <v>25000</v>
      </c>
      <c r="AK1532" s="2">
        <v>25000</v>
      </c>
      <c r="AL1532" t="str">
        <f>"$"</f>
        <v>$</v>
      </c>
    </row>
    <row r="1533" spans="1:38" x14ac:dyDescent="0.3">
      <c r="A1533" t="str">
        <f>"SO22000061"</f>
        <v>SO22000061</v>
      </c>
      <c r="B1533" t="str">
        <f>"E000356936"</f>
        <v>E000356936</v>
      </c>
      <c r="C1533" t="str">
        <f>"בוצעה"</f>
        <v>בוצעה</v>
      </c>
      <c r="E1533" s="3">
        <v>44612</v>
      </c>
      <c r="F1533" s="3">
        <v>44895</v>
      </c>
      <c r="G1533" t="str">
        <f>"700065"</f>
        <v>700065</v>
      </c>
      <c r="H1533" t="str">
        <f>"אלתא מערכות בע""מ"</f>
        <v>אלתא מערכות בע"מ</v>
      </c>
      <c r="I1533" t="str">
        <f>"ערן שלו"</f>
        <v>ערן שלו</v>
      </c>
      <c r="J1533" t="str">
        <f>"000"</f>
        <v>000</v>
      </c>
      <c r="K1533" s="1" t="str">
        <f>"תוספת עלות לייצור לאחר שינויים ב-RPS8"</f>
        <v>תוספת עלות לייצור לאחר שינויים ב-RPS8</v>
      </c>
      <c r="L1533">
        <v>1</v>
      </c>
      <c r="M1533" t="str">
        <f>"PR20000703"</f>
        <v>PR20000703</v>
      </c>
      <c r="N1533" t="str">
        <f>"108C906-001 RPU6"</f>
        <v>108C906-001 RPU6</v>
      </c>
      <c r="O1533" s="2">
        <v>25000</v>
      </c>
      <c r="P1533" t="str">
        <f>"$"</f>
        <v>$</v>
      </c>
      <c r="Q1533" t="str">
        <f>"119"</f>
        <v>119</v>
      </c>
      <c r="R1533" t="str">
        <f>"פלטפורמות"</f>
        <v>פלטפורמות</v>
      </c>
      <c r="S1533" t="str">
        <f>"034"</f>
        <v>034</v>
      </c>
      <c r="T1533" t="str">
        <f>"עמר ליגל"</f>
        <v>עמר ליגל</v>
      </c>
      <c r="U1533">
        <v>0</v>
      </c>
      <c r="V1533">
        <v>0</v>
      </c>
      <c r="W1533" s="2">
        <v>25000</v>
      </c>
      <c r="X1533" s="2">
        <v>25000</v>
      </c>
      <c r="Z1533" t="str">
        <f>"Y"</f>
        <v>Y</v>
      </c>
      <c r="AA1533">
        <v>1</v>
      </c>
      <c r="AC1533">
        <v>0</v>
      </c>
      <c r="AE1533">
        <v>0</v>
      </c>
      <c r="AF1533">
        <v>0</v>
      </c>
      <c r="AG1533" s="2">
        <v>79825</v>
      </c>
      <c r="AH1533">
        <v>0</v>
      </c>
      <c r="AI1533" s="2">
        <v>79825</v>
      </c>
      <c r="AJ1533" s="2">
        <v>25000</v>
      </c>
      <c r="AK1533" s="2">
        <v>25000</v>
      </c>
      <c r="AL1533" t="str">
        <f>"$"</f>
        <v>$</v>
      </c>
    </row>
    <row r="1534" spans="1:38" x14ac:dyDescent="0.3">
      <c r="A1534" t="str">
        <f>"SO22000064"</f>
        <v>SO22000064</v>
      </c>
      <c r="B1534" t="str">
        <f>"E000358714"</f>
        <v>E000358714</v>
      </c>
      <c r="C1534" t="str">
        <f>"בוצעה"</f>
        <v>בוצעה</v>
      </c>
      <c r="E1534" s="3">
        <v>44614</v>
      </c>
      <c r="F1534" s="3">
        <v>44749</v>
      </c>
      <c r="G1534" t="str">
        <f>"700065"</f>
        <v>700065</v>
      </c>
      <c r="H1534" t="str">
        <f>"אלתא מערכות בע""מ"</f>
        <v>אלתא מערכות בע"מ</v>
      </c>
      <c r="I1534" t="str">
        <f>"ערן שלו"</f>
        <v>ערן שלו</v>
      </c>
      <c r="J1534" t="str">
        <f>"OP-KT00117"</f>
        <v>OP-KT00117</v>
      </c>
      <c r="K1534" s="1" t="str">
        <f>"1038C865-001 - SPARE PARTS KIT FOR PDB1 MADR"</f>
        <v>1038C865-001 - SPARE PARTS KIT FOR PDB1 MADR</v>
      </c>
      <c r="L1534">
        <v>1</v>
      </c>
      <c r="M1534" t="str">
        <f>"PR22000193"</f>
        <v>PR22000193</v>
      </c>
      <c r="N1534" t="str">
        <f>"ח""ח RPU"</f>
        <v>ח"ח RPU</v>
      </c>
      <c r="O1534" s="2">
        <v>4277</v>
      </c>
      <c r="P1534" t="str">
        <f>"$"</f>
        <v>$</v>
      </c>
      <c r="Q1534" t="str">
        <f>"118"</f>
        <v>118</v>
      </c>
      <c r="R1534" t="str">
        <f>"מערכות"</f>
        <v>מערכות</v>
      </c>
      <c r="S1534" t="str">
        <f>"034"</f>
        <v>034</v>
      </c>
      <c r="T1534" t="str">
        <f>"עמר ליגל"</f>
        <v>עמר ליגל</v>
      </c>
      <c r="U1534">
        <v>0</v>
      </c>
      <c r="V1534">
        <v>0</v>
      </c>
      <c r="W1534" s="2">
        <v>4277</v>
      </c>
      <c r="X1534" s="2">
        <v>4277</v>
      </c>
      <c r="Z1534" t="str">
        <f>"Y"</f>
        <v>Y</v>
      </c>
      <c r="AA1534">
        <v>0</v>
      </c>
      <c r="AC1534">
        <v>0</v>
      </c>
      <c r="AE1534">
        <v>0</v>
      </c>
      <c r="AF1534">
        <v>0</v>
      </c>
      <c r="AG1534" s="2">
        <v>13767.66</v>
      </c>
      <c r="AH1534">
        <v>0</v>
      </c>
      <c r="AI1534" s="2">
        <v>13767.66</v>
      </c>
      <c r="AJ1534" s="2">
        <v>4277</v>
      </c>
      <c r="AK1534" s="2">
        <v>4277</v>
      </c>
      <c r="AL1534" t="str">
        <f>"$"</f>
        <v>$</v>
      </c>
    </row>
    <row r="1535" spans="1:38" x14ac:dyDescent="0.3">
      <c r="A1535" t="str">
        <f>"SO22000064"</f>
        <v>SO22000064</v>
      </c>
      <c r="B1535" t="str">
        <f>"E000358714"</f>
        <v>E000358714</v>
      </c>
      <c r="C1535" t="str">
        <f>"בוצעה"</f>
        <v>בוצעה</v>
      </c>
      <c r="E1535" s="3">
        <v>44614</v>
      </c>
      <c r="F1535" s="3">
        <v>44749</v>
      </c>
      <c r="G1535" t="str">
        <f>"700065"</f>
        <v>700065</v>
      </c>
      <c r="H1535" t="str">
        <f>"אלתא מערכות בע""מ"</f>
        <v>אלתא מערכות בע"מ</v>
      </c>
      <c r="I1535" t="str">
        <f>"ערן שלו"</f>
        <v>ערן שלו</v>
      </c>
      <c r="J1535" t="str">
        <f>"OP-KR00002"</f>
        <v>OP-KR00002</v>
      </c>
      <c r="K1535" s="1" t="str">
        <f>"1038C875-001 - SPARE PARTS KIT FOR PDB2 MADR"</f>
        <v>1038C875-001 - SPARE PARTS KIT FOR PDB2 MADR</v>
      </c>
      <c r="L1535">
        <v>1</v>
      </c>
      <c r="M1535" t="str">
        <f>"PR22000193"</f>
        <v>PR22000193</v>
      </c>
      <c r="N1535" t="str">
        <f>"ח""ח RPU"</f>
        <v>ח"ח RPU</v>
      </c>
      <c r="O1535">
        <v>867.13</v>
      </c>
      <c r="P1535" t="str">
        <f>"$"</f>
        <v>$</v>
      </c>
      <c r="Q1535" t="str">
        <f>"118"</f>
        <v>118</v>
      </c>
      <c r="R1535" t="str">
        <f>"מערכות"</f>
        <v>מערכות</v>
      </c>
      <c r="S1535" t="str">
        <f>"034"</f>
        <v>034</v>
      </c>
      <c r="T1535" t="str">
        <f>"עמר ליגל"</f>
        <v>עמר ליגל</v>
      </c>
      <c r="U1535">
        <v>0</v>
      </c>
      <c r="V1535">
        <v>0</v>
      </c>
      <c r="W1535">
        <v>867.13</v>
      </c>
      <c r="X1535">
        <v>867.13</v>
      </c>
      <c r="Z1535" t="str">
        <f>"Y"</f>
        <v>Y</v>
      </c>
      <c r="AA1535">
        <v>0</v>
      </c>
      <c r="AC1535">
        <v>0</v>
      </c>
      <c r="AE1535">
        <v>0</v>
      </c>
      <c r="AF1535">
        <v>0</v>
      </c>
      <c r="AG1535" s="2">
        <v>2791.29</v>
      </c>
      <c r="AH1535">
        <v>0</v>
      </c>
      <c r="AI1535" s="2">
        <v>2791.29</v>
      </c>
      <c r="AJ1535">
        <v>867.13</v>
      </c>
      <c r="AK1535">
        <v>867.13</v>
      </c>
      <c r="AL1535" t="str">
        <f>"$"</f>
        <v>$</v>
      </c>
    </row>
    <row r="1536" spans="1:38" x14ac:dyDescent="0.3">
      <c r="A1536" t="str">
        <f>"SO22000064"</f>
        <v>SO22000064</v>
      </c>
      <c r="B1536" t="str">
        <f>"E000358714"</f>
        <v>E000358714</v>
      </c>
      <c r="C1536" t="str">
        <f>"בוצעה"</f>
        <v>בוצעה</v>
      </c>
      <c r="E1536" s="3">
        <v>44614</v>
      </c>
      <c r="F1536" s="3">
        <v>44749</v>
      </c>
      <c r="G1536" t="str">
        <f>"700065"</f>
        <v>700065</v>
      </c>
      <c r="H1536" t="str">
        <f>"אלתא מערכות בע""מ"</f>
        <v>אלתא מערכות בע"מ</v>
      </c>
      <c r="I1536" t="str">
        <f>"ערן שלו"</f>
        <v>ערן שלו</v>
      </c>
      <c r="J1536" t="str">
        <f>"OP-KT00119"</f>
        <v>OP-KT00119</v>
      </c>
      <c r="K1536" s="1" t="str">
        <f>"1038C878-001 - SPARE PARTS KIT FOR RECTIFIER RACK"</f>
        <v>1038C878-001 - SPARE PARTS KIT FOR RECTIFIER RACK</v>
      </c>
      <c r="L1536">
        <v>1</v>
      </c>
      <c r="M1536" t="str">
        <f>"PR22000193"</f>
        <v>PR22000193</v>
      </c>
      <c r="N1536" t="str">
        <f>"ח""ח RPU"</f>
        <v>ח"ח RPU</v>
      </c>
      <c r="O1536" s="2">
        <v>7541.71</v>
      </c>
      <c r="P1536" t="str">
        <f>"$"</f>
        <v>$</v>
      </c>
      <c r="Q1536" t="str">
        <f>"118"</f>
        <v>118</v>
      </c>
      <c r="R1536" t="str">
        <f>"מערכות"</f>
        <v>מערכות</v>
      </c>
      <c r="S1536" t="str">
        <f>"034"</f>
        <v>034</v>
      </c>
      <c r="T1536" t="str">
        <f>"עמר ליגל"</f>
        <v>עמר ליגל</v>
      </c>
      <c r="U1536">
        <v>0</v>
      </c>
      <c r="V1536">
        <v>0</v>
      </c>
      <c r="W1536" s="2">
        <v>7541.71</v>
      </c>
      <c r="X1536" s="2">
        <v>7541.71</v>
      </c>
      <c r="Z1536" t="str">
        <f>"Y"</f>
        <v>Y</v>
      </c>
      <c r="AA1536">
        <v>0</v>
      </c>
      <c r="AC1536">
        <v>0</v>
      </c>
      <c r="AE1536">
        <v>0</v>
      </c>
      <c r="AF1536">
        <v>0</v>
      </c>
      <c r="AG1536" s="2">
        <v>24276.76</v>
      </c>
      <c r="AH1536">
        <v>0</v>
      </c>
      <c r="AI1536" s="2">
        <v>24276.76</v>
      </c>
      <c r="AJ1536" s="2">
        <v>7541.71</v>
      </c>
      <c r="AK1536" s="2">
        <v>7541.71</v>
      </c>
      <c r="AL1536" t="str">
        <f>"$"</f>
        <v>$</v>
      </c>
    </row>
    <row r="1537" spans="1:38" x14ac:dyDescent="0.3">
      <c r="A1537" t="str">
        <f>"SO22000064"</f>
        <v>SO22000064</v>
      </c>
      <c r="B1537" t="str">
        <f>"E000358714"</f>
        <v>E000358714</v>
      </c>
      <c r="C1537" t="str">
        <f>"בוצעה"</f>
        <v>בוצעה</v>
      </c>
      <c r="E1537" s="3">
        <v>44614</v>
      </c>
      <c r="F1537" s="3">
        <v>44749</v>
      </c>
      <c r="G1537" t="str">
        <f>"700065"</f>
        <v>700065</v>
      </c>
      <c r="H1537" t="str">
        <f>"אלתא מערכות בע""מ"</f>
        <v>אלתא מערכות בע"מ</v>
      </c>
      <c r="I1537" t="str">
        <f>"ערן שלו"</f>
        <v>ערן שלו</v>
      </c>
      <c r="J1537" t="str">
        <f>"OP-KT00122"</f>
        <v>OP-KT00122</v>
      </c>
      <c r="K1537" s="1" t="str">
        <f>"1041M385-001 - FILTERING VENTILATION SYS for RECTIFIER"</f>
        <v>1041M385-001 - FILTERING VENTILATION SYS for RECTIFIER</v>
      </c>
      <c r="L1537">
        <v>1</v>
      </c>
      <c r="M1537" t="str">
        <f>"PR22000193"</f>
        <v>PR22000193</v>
      </c>
      <c r="N1537" t="str">
        <f>"ח""ח RPU"</f>
        <v>ח"ח RPU</v>
      </c>
      <c r="O1537">
        <v>56.64</v>
      </c>
      <c r="P1537" t="str">
        <f>"$"</f>
        <v>$</v>
      </c>
      <c r="Q1537" t="str">
        <f>"118"</f>
        <v>118</v>
      </c>
      <c r="R1537" t="str">
        <f>"מערכות"</f>
        <v>מערכות</v>
      </c>
      <c r="S1537" t="str">
        <f>"034"</f>
        <v>034</v>
      </c>
      <c r="T1537" t="str">
        <f>"עמר ליגל"</f>
        <v>עמר ליגל</v>
      </c>
      <c r="U1537">
        <v>0</v>
      </c>
      <c r="V1537">
        <v>0</v>
      </c>
      <c r="W1537">
        <v>56.64</v>
      </c>
      <c r="X1537">
        <v>56.64</v>
      </c>
      <c r="Z1537" t="str">
        <f>"Y"</f>
        <v>Y</v>
      </c>
      <c r="AA1537">
        <v>0</v>
      </c>
      <c r="AC1537">
        <v>0</v>
      </c>
      <c r="AE1537">
        <v>0</v>
      </c>
      <c r="AF1537">
        <v>0</v>
      </c>
      <c r="AG1537">
        <v>182.32</v>
      </c>
      <c r="AH1537">
        <v>0</v>
      </c>
      <c r="AI1537">
        <v>182.32</v>
      </c>
      <c r="AJ1537">
        <v>56.64</v>
      </c>
      <c r="AK1537">
        <v>56.64</v>
      </c>
      <c r="AL1537" t="str">
        <f>"$"</f>
        <v>$</v>
      </c>
    </row>
    <row r="1538" spans="1:38" x14ac:dyDescent="0.3">
      <c r="A1538" t="str">
        <f>"SO22000065"</f>
        <v>SO22000065</v>
      </c>
      <c r="B1538" t="str">
        <f>"מחברים באחריות"</f>
        <v>מחברים באחריות</v>
      </c>
      <c r="C1538" t="str">
        <f>"בוצעה"</f>
        <v>בוצעה</v>
      </c>
      <c r="E1538" s="3">
        <v>44615</v>
      </c>
      <c r="F1538" s="3">
        <v>44615</v>
      </c>
      <c r="G1538" t="str">
        <f>"700065"</f>
        <v>700065</v>
      </c>
      <c r="H1538" t="str">
        <f>"אלתא מערכות בע""מ"</f>
        <v>אלתא מערכות בע"מ</v>
      </c>
      <c r="I1538" t="str">
        <f>"ערן שלו"</f>
        <v>ערן שלו</v>
      </c>
      <c r="J1538" t="str">
        <f>"PA11T40022"</f>
        <v>PA11T40022</v>
      </c>
      <c r="K1538" s="1" t="str">
        <f>"פלג צבאי RJFTV6MG"</f>
        <v>פלג צבאי RJFTV6MG</v>
      </c>
      <c r="L1538">
        <v>3</v>
      </c>
      <c r="M1538" t="str">
        <f>"PR19000371"</f>
        <v>PR19000371</v>
      </c>
      <c r="N1538" t="str">
        <f>"ייצור רתמות עבור מערכת ספינות"</f>
        <v>ייצור רתמות עבור מערכת ספינות</v>
      </c>
      <c r="O1538">
        <v>0</v>
      </c>
      <c r="P1538" t="str">
        <f>"$"</f>
        <v>$</v>
      </c>
      <c r="Q1538" t="str">
        <f>"118"</f>
        <v>118</v>
      </c>
      <c r="R1538" t="str">
        <f>"מערכות"</f>
        <v>מערכות</v>
      </c>
      <c r="S1538" t="str">
        <f>"034"</f>
        <v>034</v>
      </c>
      <c r="T1538" t="str">
        <f>"עמר ליגל"</f>
        <v>עמר ליגל</v>
      </c>
      <c r="U1538">
        <v>0</v>
      </c>
      <c r="V1538">
        <v>0</v>
      </c>
      <c r="W1538">
        <v>0</v>
      </c>
      <c r="X1538">
        <v>0</v>
      </c>
      <c r="Z1538" t="str">
        <f>"Y"</f>
        <v>Y</v>
      </c>
      <c r="AA1538">
        <v>0</v>
      </c>
      <c r="AC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 t="str">
        <f>"$"</f>
        <v>$</v>
      </c>
    </row>
    <row r="1539" spans="1:38" x14ac:dyDescent="0.3">
      <c r="A1539" t="str">
        <f>"SO22000065"</f>
        <v>SO22000065</v>
      </c>
      <c r="B1539" t="str">
        <f>"מחברים באחריות"</f>
        <v>מחברים באחריות</v>
      </c>
      <c r="C1539" t="str">
        <f>"בוצעה"</f>
        <v>בוצעה</v>
      </c>
      <c r="E1539" s="3">
        <v>44615</v>
      </c>
      <c r="F1539" s="3">
        <v>44615</v>
      </c>
      <c r="G1539" t="str">
        <f>"700065"</f>
        <v>700065</v>
      </c>
      <c r="H1539" t="str">
        <f>"אלתא מערכות בע""מ"</f>
        <v>אלתא מערכות בע"מ</v>
      </c>
      <c r="I1539" t="str">
        <f>"ערן שלו"</f>
        <v>ערן שלו</v>
      </c>
      <c r="J1539" t="str">
        <f>"PA11T40018"</f>
        <v>PA11T40018</v>
      </c>
      <c r="K1539" s="1" t="str">
        <f>"טבעת הידוק -בנד מתכתי לפלג -214LF005"</f>
        <v>טבעת הידוק -בנד מתכתי לפלג -214LF005</v>
      </c>
      <c r="L1539">
        <v>4</v>
      </c>
      <c r="M1539" t="str">
        <f>"PR19000371"</f>
        <v>PR19000371</v>
      </c>
      <c r="N1539" t="str">
        <f>"ייצור רתמות עבור מערכת ספינות"</f>
        <v>ייצור רתמות עבור מערכת ספינות</v>
      </c>
      <c r="O1539">
        <v>0</v>
      </c>
      <c r="P1539" t="str">
        <f>"$"</f>
        <v>$</v>
      </c>
      <c r="Q1539" t="str">
        <f>"118"</f>
        <v>118</v>
      </c>
      <c r="R1539" t="str">
        <f>"מערכות"</f>
        <v>מערכות</v>
      </c>
      <c r="S1539" t="str">
        <f>"034"</f>
        <v>034</v>
      </c>
      <c r="T1539" t="str">
        <f>"עמר ליגל"</f>
        <v>עמר ליגל</v>
      </c>
      <c r="U1539">
        <v>0</v>
      </c>
      <c r="V1539">
        <v>0</v>
      </c>
      <c r="W1539">
        <v>0</v>
      </c>
      <c r="X1539">
        <v>0</v>
      </c>
      <c r="Z1539" t="str">
        <f>"Y"</f>
        <v>Y</v>
      </c>
      <c r="AA1539">
        <v>0</v>
      </c>
      <c r="AC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 t="str">
        <f>"$"</f>
        <v>$</v>
      </c>
    </row>
    <row r="1540" spans="1:38" x14ac:dyDescent="0.3">
      <c r="A1540" t="str">
        <f>"SO22000065"</f>
        <v>SO22000065</v>
      </c>
      <c r="B1540" t="str">
        <f>"מחברים באחריות"</f>
        <v>מחברים באחריות</v>
      </c>
      <c r="C1540" t="str">
        <f>"בוצעה"</f>
        <v>בוצעה</v>
      </c>
      <c r="E1540" s="3">
        <v>44615</v>
      </c>
      <c r="F1540" s="3">
        <v>44648</v>
      </c>
      <c r="G1540" t="str">
        <f>"700065"</f>
        <v>700065</v>
      </c>
      <c r="H1540" t="str">
        <f>"אלתא מערכות בע""מ"</f>
        <v>אלתא מערכות בע"מ</v>
      </c>
      <c r="I1540" t="str">
        <f>"ערן שלו"</f>
        <v>ערן שלו</v>
      </c>
      <c r="J1540" t="str">
        <f>"PA11T40018"</f>
        <v>PA11T40018</v>
      </c>
      <c r="K1540" s="1" t="str">
        <f>"טבעת הידוק -בנד מתכתי לפלג -214LF005"</f>
        <v>טבעת הידוק -בנד מתכתי לפלג -214LF005</v>
      </c>
      <c r="L1540">
        <v>2</v>
      </c>
      <c r="M1540" t="str">
        <f>"PR19000371"</f>
        <v>PR19000371</v>
      </c>
      <c r="N1540" t="str">
        <f>"ייצור רתמות עבור מערכת ספינות"</f>
        <v>ייצור רתמות עבור מערכת ספינות</v>
      </c>
      <c r="O1540">
        <v>0</v>
      </c>
      <c r="P1540" t="str">
        <f>"$"</f>
        <v>$</v>
      </c>
      <c r="Q1540" t="str">
        <f>"118"</f>
        <v>118</v>
      </c>
      <c r="R1540" t="str">
        <f>"מערכות"</f>
        <v>מערכות</v>
      </c>
      <c r="S1540" t="str">
        <f>"034"</f>
        <v>034</v>
      </c>
      <c r="T1540" t="str">
        <f>"עמר ליגל"</f>
        <v>עמר ליגל</v>
      </c>
      <c r="U1540">
        <v>0</v>
      </c>
      <c r="V1540">
        <v>0</v>
      </c>
      <c r="W1540">
        <v>0</v>
      </c>
      <c r="X1540">
        <v>0</v>
      </c>
      <c r="Z1540" t="str">
        <f>"Y"</f>
        <v>Y</v>
      </c>
      <c r="AA1540">
        <v>0</v>
      </c>
      <c r="AC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 t="str">
        <f>"$"</f>
        <v>$</v>
      </c>
    </row>
    <row r="1541" spans="1:38" x14ac:dyDescent="0.3">
      <c r="A1541" t="str">
        <f>"SO22000065"</f>
        <v>SO22000065</v>
      </c>
      <c r="B1541" t="str">
        <f>"מחברים באחריות"</f>
        <v>מחברים באחריות</v>
      </c>
      <c r="C1541" t="str">
        <f>"בוצעה"</f>
        <v>בוצעה</v>
      </c>
      <c r="E1541" s="3">
        <v>44615</v>
      </c>
      <c r="F1541" s="3">
        <v>44676</v>
      </c>
      <c r="G1541" t="str">
        <f>"700065"</f>
        <v>700065</v>
      </c>
      <c r="H1541" t="str">
        <f>"אלתא מערכות בע""מ"</f>
        <v>אלתא מערכות בע"מ</v>
      </c>
      <c r="I1541" t="str">
        <f>"ערן שלו"</f>
        <v>ערן שלו</v>
      </c>
      <c r="J1541" t="str">
        <f>"PA1100428"</f>
        <v>PA1100428</v>
      </c>
      <c r="K1541" s="1" t="str">
        <f>"פלאגD38999/26WB2PN"</f>
        <v>פלאגD38999/26WB2PN</v>
      </c>
      <c r="L1541">
        <v>1</v>
      </c>
      <c r="M1541" t="str">
        <f>"PR19000371"</f>
        <v>PR19000371</v>
      </c>
      <c r="N1541" t="str">
        <f>"ייצור רתמות עבור מערכת ספינות"</f>
        <v>ייצור רתמות עבור מערכת ספינות</v>
      </c>
      <c r="O1541">
        <v>0</v>
      </c>
      <c r="P1541" t="str">
        <f>"$"</f>
        <v>$</v>
      </c>
      <c r="Q1541" t="str">
        <f>"118"</f>
        <v>118</v>
      </c>
      <c r="R1541" t="str">
        <f>"מערכות"</f>
        <v>מערכות</v>
      </c>
      <c r="S1541" t="str">
        <f>"034"</f>
        <v>034</v>
      </c>
      <c r="T1541" t="str">
        <f>"עמר ליגל"</f>
        <v>עמר ליגל</v>
      </c>
      <c r="U1541">
        <v>0</v>
      </c>
      <c r="V1541">
        <v>0</v>
      </c>
      <c r="W1541">
        <v>0</v>
      </c>
      <c r="X1541">
        <v>0</v>
      </c>
      <c r="Z1541" t="str">
        <f>"Y"</f>
        <v>Y</v>
      </c>
      <c r="AA1541">
        <v>0</v>
      </c>
      <c r="AC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 t="str">
        <f>"$"</f>
        <v>$</v>
      </c>
    </row>
    <row r="1542" spans="1:38" x14ac:dyDescent="0.3">
      <c r="A1542" t="str">
        <f>"SO22000074"</f>
        <v>SO22000074</v>
      </c>
      <c r="B1542" t="str">
        <f>"E000358934"</f>
        <v>E000358934</v>
      </c>
      <c r="C1542" t="str">
        <f>"בוצעה"</f>
        <v>בוצעה</v>
      </c>
      <c r="E1542" s="3">
        <v>44620</v>
      </c>
      <c r="F1542" s="3">
        <v>44742</v>
      </c>
      <c r="G1542" t="str">
        <f>"700065"</f>
        <v>700065</v>
      </c>
      <c r="H1542" t="str">
        <f>"אלתא מערכות בע""מ"</f>
        <v>אלתא מערכות בע"מ</v>
      </c>
      <c r="I1542" t="str">
        <f>"רוני דידי"</f>
        <v>רוני דידי</v>
      </c>
      <c r="J1542" t="str">
        <f>"cust001248"</f>
        <v>cust001248</v>
      </c>
      <c r="K1542" s="1" t="str">
        <f>"ELTA PDU2 1030G480-001"</f>
        <v>ELTA PDU2 1030G480-001</v>
      </c>
      <c r="L1542">
        <v>1</v>
      </c>
      <c r="M1542" t="str">
        <f>"PR22000150"</f>
        <v>PR22000150</v>
      </c>
      <c r="N1542" t="str">
        <f>"ELTA PDU2 1030G480-001"</f>
        <v>ELTA PDU2 1030G480-001</v>
      </c>
      <c r="O1542" s="2">
        <v>3465</v>
      </c>
      <c r="P1542" t="str">
        <f>"$"</f>
        <v>$</v>
      </c>
      <c r="Q1542" t="str">
        <f>"118"</f>
        <v>118</v>
      </c>
      <c r="R1542" t="str">
        <f>"מערכות"</f>
        <v>מערכות</v>
      </c>
      <c r="S1542" t="str">
        <f>"007"</f>
        <v>007</v>
      </c>
      <c r="T1542" t="str">
        <f>"עמר ליגל"</f>
        <v>עמר ליגל</v>
      </c>
      <c r="U1542">
        <v>0</v>
      </c>
      <c r="V1542">
        <v>0</v>
      </c>
      <c r="W1542" s="2">
        <v>3465</v>
      </c>
      <c r="X1542" s="2">
        <v>3465</v>
      </c>
      <c r="Z1542" t="str">
        <f>"Y"</f>
        <v>Y</v>
      </c>
      <c r="AA1542">
        <v>0</v>
      </c>
      <c r="AC1542">
        <v>0</v>
      </c>
      <c r="AE1542">
        <v>0</v>
      </c>
      <c r="AF1542">
        <v>0</v>
      </c>
      <c r="AG1542" s="2">
        <v>11219.67</v>
      </c>
      <c r="AH1542">
        <v>0</v>
      </c>
      <c r="AI1542" s="2">
        <v>11219.67</v>
      </c>
      <c r="AJ1542" s="2">
        <v>3465</v>
      </c>
      <c r="AK1542" s="2">
        <v>3465</v>
      </c>
      <c r="AL1542" t="str">
        <f>"$"</f>
        <v>$</v>
      </c>
    </row>
    <row r="1543" spans="1:38" x14ac:dyDescent="0.3">
      <c r="A1543" t="str">
        <f>"SO22000074"</f>
        <v>SO22000074</v>
      </c>
      <c r="B1543" t="str">
        <f>"E000358934"</f>
        <v>E000358934</v>
      </c>
      <c r="C1543" t="str">
        <f>"בוצעה"</f>
        <v>בוצעה</v>
      </c>
      <c r="E1543" s="3">
        <v>44620</v>
      </c>
      <c r="F1543" s="3">
        <v>44710</v>
      </c>
      <c r="G1543" t="str">
        <f>"700065"</f>
        <v>700065</v>
      </c>
      <c r="H1543" t="str">
        <f>"אלתא מערכות בע""מ"</f>
        <v>אלתא מערכות בע"מ</v>
      </c>
      <c r="I1543" t="str">
        <f>"רוני דידי"</f>
        <v>רוני דידי</v>
      </c>
      <c r="J1543" t="str">
        <f>"PD9900009"</f>
        <v>PD9900009</v>
      </c>
      <c r="K1543" s="1" t="str">
        <f>"משגוח בידוד. AC/DC ABB CM-IWS 1P"</f>
        <v>משגוח בידוד. AC/DC ABB CM-IWS 1P</v>
      </c>
      <c r="L1543">
        <v>1</v>
      </c>
      <c r="M1543" t="str">
        <f>"PR22000150"</f>
        <v>PR22000150</v>
      </c>
      <c r="N1543" t="str">
        <f>"ELTA PDU2 1030G480-001"</f>
        <v>ELTA PDU2 1030G480-001</v>
      </c>
      <c r="O1543">
        <v>0</v>
      </c>
      <c r="P1543" t="str">
        <f>"$"</f>
        <v>$</v>
      </c>
      <c r="Q1543" t="str">
        <f>"118"</f>
        <v>118</v>
      </c>
      <c r="R1543" t="str">
        <f>"מערכות"</f>
        <v>מערכות</v>
      </c>
      <c r="S1543" t="str">
        <f>"007"</f>
        <v>007</v>
      </c>
      <c r="T1543" t="str">
        <f>"עמר ליגל"</f>
        <v>עמר ליגל</v>
      </c>
      <c r="U1543">
        <v>0</v>
      </c>
      <c r="V1543">
        <v>0</v>
      </c>
      <c r="W1543">
        <v>0</v>
      </c>
      <c r="X1543">
        <v>0</v>
      </c>
      <c r="Z1543" t="str">
        <f>"Y"</f>
        <v>Y</v>
      </c>
      <c r="AA1543">
        <v>0</v>
      </c>
      <c r="AC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 t="str">
        <f>"$"</f>
        <v>$</v>
      </c>
    </row>
    <row r="1544" spans="1:38" x14ac:dyDescent="0.3">
      <c r="A1544" t="str">
        <f>"SO22000082"</f>
        <v>SO22000082</v>
      </c>
      <c r="B1544" t="str">
        <f>"E000358717"</f>
        <v>E000358717</v>
      </c>
      <c r="C1544" t="str">
        <f>"הרכבה חלקית"</f>
        <v>הרכבה חלקית</v>
      </c>
      <c r="E1544" s="3">
        <v>44622</v>
      </c>
      <c r="F1544" s="3">
        <v>44927</v>
      </c>
      <c r="G1544" t="str">
        <f>"700065"</f>
        <v>700065</v>
      </c>
      <c r="H1544" t="str">
        <f>"אלתא מערכות בע""מ"</f>
        <v>אלתא מערכות בע"מ</v>
      </c>
      <c r="I1544" t="str">
        <f>"ערן שלו"</f>
        <v>ערן שלו</v>
      </c>
      <c r="J1544" t="str">
        <f>"OP-AR03243"</f>
        <v>OP-AR03243</v>
      </c>
      <c r="K1544" s="1" t="str">
        <f>"320VDC 96KW SYSTEM"</f>
        <v>320VDC 96KW SYSTEM</v>
      </c>
      <c r="L1544">
        <v>1</v>
      </c>
      <c r="M1544" t="str">
        <f>"PR22000199"</f>
        <v>PR22000199</v>
      </c>
      <c r="N1544" t="str">
        <f>"ייצור 6 מע' כח 96KVA"</f>
        <v>ייצור 6 מע' כח 96KVA</v>
      </c>
      <c r="O1544" s="2">
        <v>37528</v>
      </c>
      <c r="P1544" t="str">
        <f>"$"</f>
        <v>$</v>
      </c>
      <c r="Q1544" t="str">
        <f>"118"</f>
        <v>118</v>
      </c>
      <c r="R1544" t="str">
        <f>"מערכות"</f>
        <v>מערכות</v>
      </c>
      <c r="S1544" t="str">
        <f>"034"</f>
        <v>034</v>
      </c>
      <c r="T1544" t="str">
        <f>"עמר ליגל"</f>
        <v>עמר ליגל</v>
      </c>
      <c r="U1544">
        <v>0</v>
      </c>
      <c r="V1544">
        <v>0</v>
      </c>
      <c r="W1544" s="2">
        <v>37528</v>
      </c>
      <c r="X1544" s="2">
        <v>37528</v>
      </c>
      <c r="Z1544" t="str">
        <f>"Y"</f>
        <v>Y</v>
      </c>
      <c r="AA1544">
        <v>0</v>
      </c>
      <c r="AC1544">
        <v>0</v>
      </c>
      <c r="AE1544">
        <v>0</v>
      </c>
      <c r="AF1544">
        <v>0</v>
      </c>
      <c r="AG1544" s="2">
        <v>121328.02</v>
      </c>
      <c r="AH1544">
        <v>0</v>
      </c>
      <c r="AI1544" s="2">
        <v>121328.02</v>
      </c>
      <c r="AJ1544" s="2">
        <v>37528</v>
      </c>
      <c r="AK1544" s="2">
        <v>37528</v>
      </c>
      <c r="AL1544" t="str">
        <f>"$"</f>
        <v>$</v>
      </c>
    </row>
    <row r="1545" spans="1:38" x14ac:dyDescent="0.3">
      <c r="A1545" t="str">
        <f>"SO22000082"</f>
        <v>SO22000082</v>
      </c>
      <c r="B1545" t="str">
        <f>"E000358717"</f>
        <v>E000358717</v>
      </c>
      <c r="C1545" t="str">
        <f>"הרכבה חלקית"</f>
        <v>הרכבה חלקית</v>
      </c>
      <c r="E1545" s="3">
        <v>44622</v>
      </c>
      <c r="F1545" s="3">
        <v>45281</v>
      </c>
      <c r="G1545" t="str">
        <f>"700065"</f>
        <v>700065</v>
      </c>
      <c r="H1545" t="str">
        <f>"אלתא מערכות בע""מ"</f>
        <v>אלתא מערכות בע"מ</v>
      </c>
      <c r="I1545" t="str">
        <f>"ערן שלו"</f>
        <v>ערן שלו</v>
      </c>
      <c r="J1545" t="str">
        <f>"OP-AR03243"</f>
        <v>OP-AR03243</v>
      </c>
      <c r="K1545" s="1" t="str">
        <f>"320VDC 96KW SYSTEM"</f>
        <v>320VDC 96KW SYSTEM</v>
      </c>
      <c r="L1545">
        <v>1</v>
      </c>
      <c r="M1545" t="str">
        <f>"PR22000199"</f>
        <v>PR22000199</v>
      </c>
      <c r="N1545" t="str">
        <f>"ייצור 6 מע' כח 96KVA"</f>
        <v>ייצור 6 מע' כח 96KVA</v>
      </c>
      <c r="O1545" s="2">
        <v>37528</v>
      </c>
      <c r="P1545" t="str">
        <f>"$"</f>
        <v>$</v>
      </c>
      <c r="Q1545" t="str">
        <f>"118"</f>
        <v>118</v>
      </c>
      <c r="R1545" t="str">
        <f>"מערכות"</f>
        <v>מערכות</v>
      </c>
      <c r="S1545" t="str">
        <f>"034"</f>
        <v>034</v>
      </c>
      <c r="T1545" t="str">
        <f>"עמר ליגל"</f>
        <v>עמר ליגל</v>
      </c>
      <c r="U1545">
        <v>0</v>
      </c>
      <c r="V1545">
        <v>0</v>
      </c>
      <c r="W1545" s="2">
        <v>37528</v>
      </c>
      <c r="X1545" s="2">
        <v>37528</v>
      </c>
      <c r="Z1545" t="str">
        <f>"Y"</f>
        <v>Y</v>
      </c>
      <c r="AA1545">
        <v>0</v>
      </c>
      <c r="AC1545">
        <v>0</v>
      </c>
      <c r="AE1545">
        <v>0</v>
      </c>
      <c r="AF1545">
        <v>0</v>
      </c>
      <c r="AG1545" s="2">
        <v>121328.02</v>
      </c>
      <c r="AH1545">
        <v>0</v>
      </c>
      <c r="AI1545" s="2">
        <v>121328.02</v>
      </c>
      <c r="AJ1545" s="2">
        <v>37528</v>
      </c>
      <c r="AK1545" s="2">
        <v>37528</v>
      </c>
      <c r="AL1545" t="str">
        <f>"$"</f>
        <v>$</v>
      </c>
    </row>
    <row r="1546" spans="1:38" x14ac:dyDescent="0.3">
      <c r="A1546" t="str">
        <f>"SO22000082"</f>
        <v>SO22000082</v>
      </c>
      <c r="B1546" t="str">
        <f>"E000358717"</f>
        <v>E000358717</v>
      </c>
      <c r="C1546" t="str">
        <f>"הרכבה חלקית"</f>
        <v>הרכבה חלקית</v>
      </c>
      <c r="E1546" s="3">
        <v>44622</v>
      </c>
      <c r="F1546" s="3">
        <v>45281</v>
      </c>
      <c r="G1546" t="str">
        <f>"700065"</f>
        <v>700065</v>
      </c>
      <c r="H1546" t="str">
        <f>"אלתא מערכות בע""מ"</f>
        <v>אלתא מערכות בע"מ</v>
      </c>
      <c r="I1546" t="str">
        <f>"ערן שלו"</f>
        <v>ערן שלו</v>
      </c>
      <c r="J1546" t="str">
        <f>"OP-AR03243"</f>
        <v>OP-AR03243</v>
      </c>
      <c r="K1546" s="1" t="str">
        <f>"320VDC 96KW SYSTEM"</f>
        <v>320VDC 96KW SYSTEM</v>
      </c>
      <c r="L1546">
        <v>2</v>
      </c>
      <c r="M1546" t="str">
        <f>"PR22000199"</f>
        <v>PR22000199</v>
      </c>
      <c r="N1546" t="str">
        <f>"ייצור 6 מע' כח 96KVA"</f>
        <v>ייצור 6 מע' כח 96KVA</v>
      </c>
      <c r="O1546" s="2">
        <v>37528</v>
      </c>
      <c r="P1546" t="str">
        <f>"$"</f>
        <v>$</v>
      </c>
      <c r="Q1546" t="str">
        <f>"118"</f>
        <v>118</v>
      </c>
      <c r="R1546" t="str">
        <f>"מערכות"</f>
        <v>מערכות</v>
      </c>
      <c r="S1546" t="str">
        <f>"034"</f>
        <v>034</v>
      </c>
      <c r="T1546" t="str">
        <f>"עמר ליגל"</f>
        <v>עמר ליגל</v>
      </c>
      <c r="U1546">
        <v>0</v>
      </c>
      <c r="V1546">
        <v>0</v>
      </c>
      <c r="W1546" s="2">
        <v>37528</v>
      </c>
      <c r="X1546" s="2">
        <v>75056</v>
      </c>
      <c r="Z1546" t="str">
        <f>"Y"</f>
        <v>Y</v>
      </c>
      <c r="AA1546">
        <v>0</v>
      </c>
      <c r="AC1546">
        <v>0</v>
      </c>
      <c r="AE1546">
        <v>0</v>
      </c>
      <c r="AF1546">
        <v>0</v>
      </c>
      <c r="AG1546" s="2">
        <v>121328.02</v>
      </c>
      <c r="AH1546">
        <v>0</v>
      </c>
      <c r="AI1546" s="2">
        <v>242656.05</v>
      </c>
      <c r="AJ1546" s="2">
        <v>75056</v>
      </c>
      <c r="AK1546" s="2">
        <v>75056</v>
      </c>
      <c r="AL1546" t="str">
        <f>"$"</f>
        <v>$</v>
      </c>
    </row>
    <row r="1547" spans="1:38" x14ac:dyDescent="0.3">
      <c r="A1547" t="str">
        <f>"SO22000082"</f>
        <v>SO22000082</v>
      </c>
      <c r="B1547" t="str">
        <f>"E000358717"</f>
        <v>E000358717</v>
      </c>
      <c r="C1547" t="str">
        <f>"הרכבה חלקית"</f>
        <v>הרכבה חלקית</v>
      </c>
      <c r="E1547" s="3">
        <v>44622</v>
      </c>
      <c r="F1547" s="3">
        <v>44956</v>
      </c>
      <c r="G1547" t="str">
        <f>"700065"</f>
        <v>700065</v>
      </c>
      <c r="H1547" t="str">
        <f>"אלתא מערכות בע""מ"</f>
        <v>אלתא מערכות בע"מ</v>
      </c>
      <c r="I1547" t="str">
        <f>"ערן שלו"</f>
        <v>ערן שלו</v>
      </c>
      <c r="J1547" t="str">
        <f>"OP-AR03243"</f>
        <v>OP-AR03243</v>
      </c>
      <c r="K1547" s="1" t="str">
        <f>"320VDC 96KW SYSTEM"</f>
        <v>320VDC 96KW SYSTEM</v>
      </c>
      <c r="L1547">
        <v>2</v>
      </c>
      <c r="M1547" t="str">
        <f>"PR22000199"</f>
        <v>PR22000199</v>
      </c>
      <c r="N1547" t="str">
        <f>"ייצור 6 מע' כח 96KVA"</f>
        <v>ייצור 6 מע' כח 96KVA</v>
      </c>
      <c r="O1547" s="2">
        <v>37528</v>
      </c>
      <c r="P1547" t="str">
        <f>"$"</f>
        <v>$</v>
      </c>
      <c r="Q1547" t="str">
        <f>"118"</f>
        <v>118</v>
      </c>
      <c r="R1547" t="str">
        <f>"מערכות"</f>
        <v>מערכות</v>
      </c>
      <c r="S1547" t="str">
        <f>"034"</f>
        <v>034</v>
      </c>
      <c r="T1547" t="str">
        <f>"עמר ליגל"</f>
        <v>עמר ליגל</v>
      </c>
      <c r="U1547">
        <v>0</v>
      </c>
      <c r="V1547">
        <v>0</v>
      </c>
      <c r="W1547" s="2">
        <v>37528</v>
      </c>
      <c r="X1547" s="2">
        <v>75056</v>
      </c>
      <c r="Z1547" t="str">
        <f>"Y"</f>
        <v>Y</v>
      </c>
      <c r="AA1547">
        <v>0</v>
      </c>
      <c r="AC1547">
        <v>0</v>
      </c>
      <c r="AE1547">
        <v>0</v>
      </c>
      <c r="AF1547">
        <v>0</v>
      </c>
      <c r="AG1547" s="2">
        <v>121328.02</v>
      </c>
      <c r="AH1547">
        <v>0</v>
      </c>
      <c r="AI1547" s="2">
        <v>242656.05</v>
      </c>
      <c r="AJ1547" s="2">
        <v>75056</v>
      </c>
      <c r="AK1547" s="2">
        <v>75056</v>
      </c>
      <c r="AL1547" t="str">
        <f>"$"</f>
        <v>$</v>
      </c>
    </row>
    <row r="1548" spans="1:38" x14ac:dyDescent="0.3">
      <c r="A1548" t="str">
        <f>"SO22000083"</f>
        <v>SO22000083</v>
      </c>
      <c r="B1548" t="str">
        <f>"E000358730"</f>
        <v>E000358730</v>
      </c>
      <c r="C1548" t="str">
        <f>"בוצעה"</f>
        <v>בוצעה</v>
      </c>
      <c r="E1548" s="3">
        <v>44622</v>
      </c>
      <c r="F1548" s="3">
        <v>44718</v>
      </c>
      <c r="G1548" t="str">
        <f>"700065"</f>
        <v>700065</v>
      </c>
      <c r="H1548" t="str">
        <f>"אלתא מערכות בע""מ"</f>
        <v>אלתא מערכות בע"מ</v>
      </c>
      <c r="I1548" t="str">
        <f>"רחמים זרוק"</f>
        <v>רחמים זרוק</v>
      </c>
      <c r="J1548" t="str">
        <f>"OP-AR03173"</f>
        <v>OP-AR03173</v>
      </c>
      <c r="K1548" s="1" t="str">
        <f>"כבל הזנה 20 H07RNF 5X35מ', 5X125A IP67 , נעל כבל"</f>
        <v>כבל הזנה 20 H07RNF 5X35מ', 5X125A IP67 , נעל כבל</v>
      </c>
      <c r="L1548">
        <v>3</v>
      </c>
      <c r="M1548" t="str">
        <f>"PR22000191"</f>
        <v>PR22000191</v>
      </c>
      <c r="N1548" t="str">
        <f>"כבלי הזנה 06-07-CB1100205"</f>
        <v>כבלי הזנה 06-07-CB1100205</v>
      </c>
      <c r="O1548" s="2">
        <v>1433.17</v>
      </c>
      <c r="P1548" t="str">
        <f>"$"</f>
        <v>$</v>
      </c>
      <c r="Q1548" t="str">
        <f>"117"</f>
        <v>117</v>
      </c>
      <c r="R1548" t="str">
        <f>"רתמות"</f>
        <v>רתמות</v>
      </c>
      <c r="S1548" t="str">
        <f>"040"</f>
        <v>040</v>
      </c>
      <c r="T1548" t="str">
        <f>"עמר ליגל"</f>
        <v>עמר ליגל</v>
      </c>
      <c r="U1548">
        <v>0</v>
      </c>
      <c r="V1548">
        <v>0</v>
      </c>
      <c r="W1548" s="2">
        <v>1433.17</v>
      </c>
      <c r="X1548" s="2">
        <v>4299.51</v>
      </c>
      <c r="Z1548" t="str">
        <f>"Y"</f>
        <v>Y</v>
      </c>
      <c r="AA1548">
        <v>0</v>
      </c>
      <c r="AC1548">
        <v>0</v>
      </c>
      <c r="AE1548">
        <v>0</v>
      </c>
      <c r="AF1548">
        <v>0</v>
      </c>
      <c r="AG1548" s="2">
        <v>4633.4399999999996</v>
      </c>
      <c r="AH1548">
        <v>0</v>
      </c>
      <c r="AI1548" s="2">
        <v>13900.32</v>
      </c>
      <c r="AJ1548" s="2">
        <v>4299.51</v>
      </c>
      <c r="AK1548" s="2">
        <v>4299.51</v>
      </c>
      <c r="AL1548" t="str">
        <f>"$"</f>
        <v>$</v>
      </c>
    </row>
    <row r="1549" spans="1:38" x14ac:dyDescent="0.3">
      <c r="A1549" t="str">
        <f>"SO22000083"</f>
        <v>SO22000083</v>
      </c>
      <c r="B1549" t="str">
        <f>"E000358730"</f>
        <v>E000358730</v>
      </c>
      <c r="C1549" t="str">
        <f>"בוצעה"</f>
        <v>בוצעה</v>
      </c>
      <c r="E1549" s="3">
        <v>44622</v>
      </c>
      <c r="F1549" s="3">
        <v>44732</v>
      </c>
      <c r="G1549" t="str">
        <f>"700065"</f>
        <v>700065</v>
      </c>
      <c r="H1549" t="str">
        <f>"אלתא מערכות בע""מ"</f>
        <v>אלתא מערכות בע"מ</v>
      </c>
      <c r="I1549" t="str">
        <f>"רחמים זרוק"</f>
        <v>רחמים זרוק</v>
      </c>
      <c r="J1549" t="str">
        <f>"OP-AR22723"</f>
        <v>OP-AR22723</v>
      </c>
      <c r="K1549" s="1" t="str">
        <f>"CB1100206"</f>
        <v>CB1100206</v>
      </c>
      <c r="L1549">
        <v>3</v>
      </c>
      <c r="M1549" t="str">
        <f>"PR22000191"</f>
        <v>PR22000191</v>
      </c>
      <c r="N1549" t="str">
        <f>"כבלי הזנה 06-07-CB1100205"</f>
        <v>כבלי הזנה 06-07-CB1100205</v>
      </c>
      <c r="O1549" s="2">
        <v>6180.87</v>
      </c>
      <c r="P1549" t="str">
        <f>"$"</f>
        <v>$</v>
      </c>
      <c r="Q1549" t="str">
        <f>"117"</f>
        <v>117</v>
      </c>
      <c r="R1549" t="str">
        <f>"רתמות"</f>
        <v>רתמות</v>
      </c>
      <c r="S1549" t="str">
        <f>"040"</f>
        <v>040</v>
      </c>
      <c r="T1549" t="str">
        <f>"עמר ליגל"</f>
        <v>עמר ליגל</v>
      </c>
      <c r="U1549">
        <v>0</v>
      </c>
      <c r="V1549">
        <v>0</v>
      </c>
      <c r="W1549" s="2">
        <v>6180.87</v>
      </c>
      <c r="X1549" s="2">
        <v>18542.61</v>
      </c>
      <c r="Z1549" t="str">
        <f>"Y"</f>
        <v>Y</v>
      </c>
      <c r="AA1549">
        <v>0</v>
      </c>
      <c r="AC1549">
        <v>0</v>
      </c>
      <c r="AE1549">
        <v>0</v>
      </c>
      <c r="AF1549">
        <v>0</v>
      </c>
      <c r="AG1549" s="2">
        <v>19982.75</v>
      </c>
      <c r="AH1549">
        <v>0</v>
      </c>
      <c r="AI1549" s="2">
        <v>59948.26</v>
      </c>
      <c r="AJ1549" s="2">
        <v>18542.61</v>
      </c>
      <c r="AK1549" s="2">
        <v>18542.61</v>
      </c>
      <c r="AL1549" t="str">
        <f>"$"</f>
        <v>$</v>
      </c>
    </row>
    <row r="1550" spans="1:38" x14ac:dyDescent="0.3">
      <c r="A1550" t="str">
        <f>"SO22000083"</f>
        <v>SO22000083</v>
      </c>
      <c r="B1550" t="str">
        <f>"E000358730"</f>
        <v>E000358730</v>
      </c>
      <c r="C1550" t="str">
        <f>"בוצעה"</f>
        <v>בוצעה</v>
      </c>
      <c r="E1550" s="3">
        <v>44622</v>
      </c>
      <c r="F1550" s="3">
        <v>44732</v>
      </c>
      <c r="G1550" t="str">
        <f>"700065"</f>
        <v>700065</v>
      </c>
      <c r="H1550" t="str">
        <f>"אלתא מערכות בע""מ"</f>
        <v>אלתא מערכות בע"מ</v>
      </c>
      <c r="I1550" t="str">
        <f>"רחמים זרוק"</f>
        <v>רחמים זרוק</v>
      </c>
      <c r="J1550" t="str">
        <f>"OP-AR03174"</f>
        <v>OP-AR03174</v>
      </c>
      <c r="K1550" s="1" t="str">
        <f>"CB1100207"</f>
        <v>CB1100207</v>
      </c>
      <c r="L1550">
        <v>3</v>
      </c>
      <c r="M1550" t="str">
        <f>"PR22000191"</f>
        <v>PR22000191</v>
      </c>
      <c r="N1550" t="str">
        <f>"כבלי הזנה 06-07-CB1100205"</f>
        <v>כבלי הזנה 06-07-CB1100205</v>
      </c>
      <c r="O1550" s="2">
        <v>6496.07</v>
      </c>
      <c r="P1550" t="str">
        <f>"$"</f>
        <v>$</v>
      </c>
      <c r="Q1550" t="str">
        <f>"117"</f>
        <v>117</v>
      </c>
      <c r="R1550" t="str">
        <f>"רתמות"</f>
        <v>רתמות</v>
      </c>
      <c r="S1550" t="str">
        <f>"040"</f>
        <v>040</v>
      </c>
      <c r="T1550" t="str">
        <f>"עמר ליגל"</f>
        <v>עמר ליגל</v>
      </c>
      <c r="U1550">
        <v>0</v>
      </c>
      <c r="V1550">
        <v>0</v>
      </c>
      <c r="W1550" s="2">
        <v>6496.07</v>
      </c>
      <c r="X1550" s="2">
        <v>19488.21</v>
      </c>
      <c r="Z1550" t="str">
        <f>"Y"</f>
        <v>Y</v>
      </c>
      <c r="AA1550">
        <v>0</v>
      </c>
      <c r="AC1550">
        <v>0</v>
      </c>
      <c r="AE1550">
        <v>0</v>
      </c>
      <c r="AF1550">
        <v>0</v>
      </c>
      <c r="AG1550" s="2">
        <v>21001.79</v>
      </c>
      <c r="AH1550">
        <v>0</v>
      </c>
      <c r="AI1550" s="2">
        <v>63005.38</v>
      </c>
      <c r="AJ1550" s="2">
        <v>19488.21</v>
      </c>
      <c r="AK1550" s="2">
        <v>19488.21</v>
      </c>
      <c r="AL1550" t="str">
        <f>"$"</f>
        <v>$</v>
      </c>
    </row>
    <row r="1551" spans="1:38" x14ac:dyDescent="0.3">
      <c r="A1551" t="str">
        <f>"SO22000083"</f>
        <v>SO22000083</v>
      </c>
      <c r="B1551" t="str">
        <f>"E000358730"</f>
        <v>E000358730</v>
      </c>
      <c r="C1551" t="str">
        <f>"בוצעה"</f>
        <v>בוצעה</v>
      </c>
      <c r="E1551" s="3">
        <v>44622</v>
      </c>
      <c r="F1551" s="3">
        <v>44732</v>
      </c>
      <c r="G1551" t="str">
        <f>"700065"</f>
        <v>700065</v>
      </c>
      <c r="H1551" t="str">
        <f>"אלתא מערכות בע""מ"</f>
        <v>אלתא מערכות בע"מ</v>
      </c>
      <c r="I1551" t="str">
        <f>"רחמים זרוק"</f>
        <v>רחמים זרוק</v>
      </c>
      <c r="J1551" t="str">
        <f>"OP-AR03174"</f>
        <v>OP-AR03174</v>
      </c>
      <c r="K1551" s="1" t="str">
        <f>"CB1100207"</f>
        <v>CB1100207</v>
      </c>
      <c r="L1551">
        <v>3</v>
      </c>
      <c r="M1551" t="str">
        <f>"PR22000191"</f>
        <v>PR22000191</v>
      </c>
      <c r="N1551" t="str">
        <f>"כבלי הזנה 06-07-CB1100205"</f>
        <v>כבלי הזנה 06-07-CB1100205</v>
      </c>
      <c r="O1551" s="2">
        <v>6496.07</v>
      </c>
      <c r="P1551" t="str">
        <f>"$"</f>
        <v>$</v>
      </c>
      <c r="Q1551" t="str">
        <f>"117"</f>
        <v>117</v>
      </c>
      <c r="R1551" t="str">
        <f>"רתמות"</f>
        <v>רתמות</v>
      </c>
      <c r="S1551" t="str">
        <f>"040"</f>
        <v>040</v>
      </c>
      <c r="T1551" t="str">
        <f>"עמר ליגל"</f>
        <v>עמר ליגל</v>
      </c>
      <c r="U1551">
        <v>0</v>
      </c>
      <c r="V1551">
        <v>0</v>
      </c>
      <c r="W1551" s="2">
        <v>6496.07</v>
      </c>
      <c r="X1551" s="2">
        <v>19488.21</v>
      </c>
      <c r="Z1551" t="str">
        <f>"Y"</f>
        <v>Y</v>
      </c>
      <c r="AA1551">
        <v>0</v>
      </c>
      <c r="AC1551">
        <v>0</v>
      </c>
      <c r="AE1551">
        <v>0</v>
      </c>
      <c r="AF1551">
        <v>0</v>
      </c>
      <c r="AG1551" s="2">
        <v>21001.79</v>
      </c>
      <c r="AH1551">
        <v>0</v>
      </c>
      <c r="AI1551" s="2">
        <v>63005.38</v>
      </c>
      <c r="AJ1551" s="2">
        <v>19488.21</v>
      </c>
      <c r="AK1551" s="2">
        <v>19488.21</v>
      </c>
      <c r="AL1551" t="str">
        <f>"$"</f>
        <v>$</v>
      </c>
    </row>
    <row r="1552" spans="1:38" x14ac:dyDescent="0.3">
      <c r="A1552" t="str">
        <f>"SO22000083"</f>
        <v>SO22000083</v>
      </c>
      <c r="B1552" t="str">
        <f>"E000358730"</f>
        <v>E000358730</v>
      </c>
      <c r="C1552" t="str">
        <f>"בוצעה"</f>
        <v>בוצעה</v>
      </c>
      <c r="E1552" s="3">
        <v>44622</v>
      </c>
      <c r="F1552" s="3">
        <v>44732</v>
      </c>
      <c r="G1552" t="str">
        <f>"700065"</f>
        <v>700065</v>
      </c>
      <c r="H1552" t="str">
        <f>"אלתא מערכות בע""מ"</f>
        <v>אלתא מערכות בע"מ</v>
      </c>
      <c r="I1552" t="str">
        <f>"רחמים זרוק"</f>
        <v>רחמים זרוק</v>
      </c>
      <c r="J1552" t="str">
        <f>"OP-AR22723"</f>
        <v>OP-AR22723</v>
      </c>
      <c r="K1552" s="1" t="str">
        <f>"CB1100206"</f>
        <v>CB1100206</v>
      </c>
      <c r="L1552">
        <v>3</v>
      </c>
      <c r="M1552" t="str">
        <f>"PR22000191"</f>
        <v>PR22000191</v>
      </c>
      <c r="N1552" t="str">
        <f>"כבלי הזנה 06-07-CB1100205"</f>
        <v>כבלי הזנה 06-07-CB1100205</v>
      </c>
      <c r="O1552" s="2">
        <v>6180.87</v>
      </c>
      <c r="P1552" t="str">
        <f>"$"</f>
        <v>$</v>
      </c>
      <c r="Q1552" t="str">
        <f>"117"</f>
        <v>117</v>
      </c>
      <c r="R1552" t="str">
        <f>"רתמות"</f>
        <v>רתמות</v>
      </c>
      <c r="S1552" t="str">
        <f>"040"</f>
        <v>040</v>
      </c>
      <c r="T1552" t="str">
        <f>"עמר ליגל"</f>
        <v>עמר ליגל</v>
      </c>
      <c r="U1552">
        <v>0</v>
      </c>
      <c r="V1552">
        <v>0</v>
      </c>
      <c r="W1552" s="2">
        <v>6180.87</v>
      </c>
      <c r="X1552" s="2">
        <v>18542.61</v>
      </c>
      <c r="Z1552" t="str">
        <f>"Y"</f>
        <v>Y</v>
      </c>
      <c r="AA1552">
        <v>0</v>
      </c>
      <c r="AC1552">
        <v>0</v>
      </c>
      <c r="AE1552">
        <v>0</v>
      </c>
      <c r="AF1552">
        <v>0</v>
      </c>
      <c r="AG1552" s="2">
        <v>19982.75</v>
      </c>
      <c r="AH1552">
        <v>0</v>
      </c>
      <c r="AI1552" s="2">
        <v>59948.26</v>
      </c>
      <c r="AJ1552" s="2">
        <v>18542.61</v>
      </c>
      <c r="AK1552" s="2">
        <v>18542.61</v>
      </c>
      <c r="AL1552" t="str">
        <f>"$"</f>
        <v>$</v>
      </c>
    </row>
    <row r="1553" spans="1:38" x14ac:dyDescent="0.3">
      <c r="A1553" t="str">
        <f>"SO22000083"</f>
        <v>SO22000083</v>
      </c>
      <c r="B1553" t="str">
        <f>"E000358730"</f>
        <v>E000358730</v>
      </c>
      <c r="C1553" t="str">
        <f>"בוצעה"</f>
        <v>בוצעה</v>
      </c>
      <c r="E1553" s="3">
        <v>44622</v>
      </c>
      <c r="F1553" s="3">
        <v>44732</v>
      </c>
      <c r="G1553" t="str">
        <f>"700065"</f>
        <v>700065</v>
      </c>
      <c r="H1553" t="str">
        <f>"אלתא מערכות בע""מ"</f>
        <v>אלתא מערכות בע"מ</v>
      </c>
      <c r="I1553" t="str">
        <f>"רחמים זרוק"</f>
        <v>רחמים זרוק</v>
      </c>
      <c r="J1553" t="str">
        <f>"OP-AR03173"</f>
        <v>OP-AR03173</v>
      </c>
      <c r="K1553" s="1" t="str">
        <f>"כבל הזנה 20 H07RNF 5X35מ', 5X125A IP67 , נעל כבל"</f>
        <v>כבל הזנה 20 H07RNF 5X35מ', 5X125A IP67 , נעל כבל</v>
      </c>
      <c r="L1553">
        <v>3</v>
      </c>
      <c r="M1553" t="str">
        <f>"PR22000191"</f>
        <v>PR22000191</v>
      </c>
      <c r="N1553" t="str">
        <f>"כבלי הזנה 06-07-CB1100205"</f>
        <v>כבלי הזנה 06-07-CB1100205</v>
      </c>
      <c r="O1553" s="2">
        <v>1433.17</v>
      </c>
      <c r="P1553" t="str">
        <f>"$"</f>
        <v>$</v>
      </c>
      <c r="Q1553" t="str">
        <f>"117"</f>
        <v>117</v>
      </c>
      <c r="R1553" t="str">
        <f>"רתמות"</f>
        <v>רתמות</v>
      </c>
      <c r="S1553" t="str">
        <f>"040"</f>
        <v>040</v>
      </c>
      <c r="T1553" t="str">
        <f>"עמר ליגל"</f>
        <v>עמר ליגל</v>
      </c>
      <c r="U1553">
        <v>0</v>
      </c>
      <c r="V1553">
        <v>0</v>
      </c>
      <c r="W1553" s="2">
        <v>1433.17</v>
      </c>
      <c r="X1553" s="2">
        <v>4299.51</v>
      </c>
      <c r="Z1553" t="str">
        <f>"Y"</f>
        <v>Y</v>
      </c>
      <c r="AA1553">
        <v>0</v>
      </c>
      <c r="AC1553">
        <v>0</v>
      </c>
      <c r="AE1553">
        <v>0</v>
      </c>
      <c r="AF1553">
        <v>0</v>
      </c>
      <c r="AG1553" s="2">
        <v>4633.4399999999996</v>
      </c>
      <c r="AH1553">
        <v>0</v>
      </c>
      <c r="AI1553" s="2">
        <v>13900.32</v>
      </c>
      <c r="AJ1553" s="2">
        <v>4299.51</v>
      </c>
      <c r="AK1553" s="2">
        <v>4299.51</v>
      </c>
      <c r="AL1553" t="str">
        <f>"$"</f>
        <v>$</v>
      </c>
    </row>
    <row r="1554" spans="1:38" x14ac:dyDescent="0.3">
      <c r="A1554" t="str">
        <f>"SO22000083"</f>
        <v>SO22000083</v>
      </c>
      <c r="B1554" t="str">
        <f>"E000358730"</f>
        <v>E000358730</v>
      </c>
      <c r="C1554" t="str">
        <f>"בוצעה"</f>
        <v>בוצעה</v>
      </c>
      <c r="E1554" s="3">
        <v>44622</v>
      </c>
      <c r="F1554" s="3">
        <v>44803</v>
      </c>
      <c r="G1554" t="str">
        <f>"700065"</f>
        <v>700065</v>
      </c>
      <c r="H1554" t="str">
        <f>"אלתא מערכות בע""מ"</f>
        <v>אלתא מערכות בע"מ</v>
      </c>
      <c r="I1554" t="str">
        <f>"רחמים זרוק"</f>
        <v>רחמים זרוק</v>
      </c>
      <c r="J1554" t="str">
        <f>"000"</f>
        <v>000</v>
      </c>
      <c r="K1554" s="1" t="str">
        <f>"זיכוי בגין חשבונית מספר SI226000748"</f>
        <v>זיכוי בגין חשבונית מספר SI226000748</v>
      </c>
      <c r="L1554">
        <v>-1</v>
      </c>
      <c r="M1554" t="str">
        <f>"PR22000191"</f>
        <v>PR22000191</v>
      </c>
      <c r="N1554" t="str">
        <f>"כבלי הזנה 06-07-CB1100205"</f>
        <v>כבלי הזנה 06-07-CB1100205</v>
      </c>
      <c r="O1554" s="2">
        <v>3247</v>
      </c>
      <c r="P1554" t="str">
        <f>"$"</f>
        <v>$</v>
      </c>
      <c r="Q1554" t="str">
        <f>"117"</f>
        <v>117</v>
      </c>
      <c r="R1554" t="str">
        <f>"רתמות"</f>
        <v>רתמות</v>
      </c>
      <c r="S1554" t="str">
        <f>"040"</f>
        <v>040</v>
      </c>
      <c r="T1554" t="str">
        <f>"עמר ליגל"</f>
        <v>עמר ליגל</v>
      </c>
      <c r="U1554">
        <v>0</v>
      </c>
      <c r="V1554">
        <v>0</v>
      </c>
      <c r="W1554" s="2">
        <v>3247</v>
      </c>
      <c r="X1554" s="2">
        <v>-3247</v>
      </c>
      <c r="Z1554" t="str">
        <f>"Y"</f>
        <v>Y</v>
      </c>
      <c r="AA1554">
        <v>-1</v>
      </c>
      <c r="AC1554">
        <v>0</v>
      </c>
      <c r="AE1554">
        <v>0</v>
      </c>
      <c r="AF1554">
        <v>0</v>
      </c>
      <c r="AG1554" s="2">
        <v>10497.55</v>
      </c>
      <c r="AH1554">
        <v>0</v>
      </c>
      <c r="AI1554" s="2">
        <v>-10497.55</v>
      </c>
      <c r="AJ1554" s="2">
        <v>-3247</v>
      </c>
      <c r="AK1554" s="2">
        <v>-3247</v>
      </c>
      <c r="AL1554" t="str">
        <f>"$"</f>
        <v>$</v>
      </c>
    </row>
    <row r="1555" spans="1:38" x14ac:dyDescent="0.3">
      <c r="A1555" t="str">
        <f>"SO22000086"</f>
        <v>SO22000086</v>
      </c>
      <c r="B1555" t="str">
        <f>"E000357557"</f>
        <v>E000357557</v>
      </c>
      <c r="C1555" t="str">
        <f>"מאושרת לבצוע"</f>
        <v>מאושרת לבצוע</v>
      </c>
      <c r="E1555" s="3">
        <v>44626</v>
      </c>
      <c r="F1555" s="3">
        <v>44626</v>
      </c>
      <c r="G1555" t="str">
        <f>"700065"</f>
        <v>700065</v>
      </c>
      <c r="H1555" t="str">
        <f>"אלתא מערכות בע""מ"</f>
        <v>אלתא מערכות בע"מ</v>
      </c>
      <c r="I1555" t="str">
        <f>"מלך רונן"</f>
        <v>מלך רונן</v>
      </c>
      <c r="J1555" t="str">
        <f>"999"</f>
        <v>999</v>
      </c>
      <c r="K1555" s="1" t="str">
        <f>"דיטקציה כולל איתור,סימון ומדידת תשתיות"</f>
        <v>דיטקציה כולל איתור,סימון ומדידת תשתיות</v>
      </c>
      <c r="L1555">
        <v>1</v>
      </c>
      <c r="M1555" t="str">
        <f>"PR20000121"</f>
        <v>PR20000121</v>
      </c>
      <c r="N1555" t="str">
        <f>"מיגון ברקים"</f>
        <v>מיגון ברקים</v>
      </c>
      <c r="O1555" s="2">
        <v>21241.95</v>
      </c>
      <c r="P1555" t="str">
        <f>"$"</f>
        <v>$</v>
      </c>
      <c r="Q1555" t="str">
        <f>"010"</f>
        <v>010</v>
      </c>
      <c r="R1555" t="str">
        <f>"מכרז"</f>
        <v>מכרז</v>
      </c>
      <c r="S1555" t="str">
        <f>"005"</f>
        <v>005</v>
      </c>
      <c r="T1555" t="str">
        <f>"אברהמי עדן"</f>
        <v>אברהמי עדן</v>
      </c>
      <c r="U1555">
        <v>0</v>
      </c>
      <c r="V1555">
        <v>0</v>
      </c>
      <c r="W1555" s="2">
        <v>21241.95</v>
      </c>
      <c r="X1555" s="2">
        <v>21241.95</v>
      </c>
      <c r="AA1555">
        <v>1</v>
      </c>
      <c r="AC1555">
        <v>0</v>
      </c>
      <c r="AE1555">
        <v>0</v>
      </c>
      <c r="AF1555">
        <v>0</v>
      </c>
      <c r="AG1555" s="2">
        <v>68930.13</v>
      </c>
      <c r="AH1555">
        <v>0</v>
      </c>
      <c r="AI1555" s="2">
        <v>68930.13</v>
      </c>
      <c r="AJ1555" s="2">
        <v>21241.95</v>
      </c>
      <c r="AK1555" s="2">
        <v>21241.95</v>
      </c>
      <c r="AL1555" t="str">
        <f>"$"</f>
        <v>$</v>
      </c>
    </row>
    <row r="1556" spans="1:38" x14ac:dyDescent="0.3">
      <c r="A1556" t="str">
        <f>"SO22000086"</f>
        <v>SO22000086</v>
      </c>
      <c r="B1556" t="str">
        <f>"E000357557"</f>
        <v>E000357557</v>
      </c>
      <c r="C1556" t="str">
        <f>"מאושרת לבצוע"</f>
        <v>מאושרת לבצוע</v>
      </c>
      <c r="E1556" s="3">
        <v>44626</v>
      </c>
      <c r="F1556" s="3">
        <v>44626</v>
      </c>
      <c r="G1556" t="str">
        <f>"700065"</f>
        <v>700065</v>
      </c>
      <c r="H1556" t="str">
        <f>"אלתא מערכות בע""מ"</f>
        <v>אלתא מערכות בע"מ</v>
      </c>
      <c r="I1556" t="str">
        <f>"מלך רונן"</f>
        <v>מלך רונן</v>
      </c>
      <c r="J1556" t="str">
        <f>"999"</f>
        <v>999</v>
      </c>
      <c r="K1556" s="1" t="str">
        <f>"דוח קרקע לבסיס"</f>
        <v>דוח קרקע לבסיס</v>
      </c>
      <c r="L1556">
        <v>1</v>
      </c>
      <c r="M1556" t="str">
        <f>"PR20000121"</f>
        <v>PR20000121</v>
      </c>
      <c r="N1556" t="str">
        <f>"מיגון ברקים"</f>
        <v>מיגון ברקים</v>
      </c>
      <c r="O1556" s="2">
        <v>17780.64</v>
      </c>
      <c r="P1556" t="str">
        <f>"$"</f>
        <v>$</v>
      </c>
      <c r="Q1556" t="str">
        <f>"010"</f>
        <v>010</v>
      </c>
      <c r="R1556" t="str">
        <f>"מכרז"</f>
        <v>מכרז</v>
      </c>
      <c r="S1556" t="str">
        <f>"005"</f>
        <v>005</v>
      </c>
      <c r="T1556" t="str">
        <f>"אברהמי עדן"</f>
        <v>אברהמי עדן</v>
      </c>
      <c r="U1556">
        <v>0</v>
      </c>
      <c r="V1556">
        <v>0</v>
      </c>
      <c r="W1556" s="2">
        <v>17780.64</v>
      </c>
      <c r="X1556" s="2">
        <v>17780.64</v>
      </c>
      <c r="AA1556">
        <v>1</v>
      </c>
      <c r="AC1556">
        <v>0</v>
      </c>
      <c r="AE1556">
        <v>0</v>
      </c>
      <c r="AF1556">
        <v>0</v>
      </c>
      <c r="AG1556" s="2">
        <v>57698.18</v>
      </c>
      <c r="AH1556">
        <v>0</v>
      </c>
      <c r="AI1556" s="2">
        <v>57698.18</v>
      </c>
      <c r="AJ1556" s="2">
        <v>17780.64</v>
      </c>
      <c r="AK1556" s="2">
        <v>17780.64</v>
      </c>
      <c r="AL1556" t="str">
        <f>"$"</f>
        <v>$</v>
      </c>
    </row>
    <row r="1557" spans="1:38" x14ac:dyDescent="0.3">
      <c r="A1557" t="str">
        <f>"SO22000086"</f>
        <v>SO22000086</v>
      </c>
      <c r="B1557" t="str">
        <f>"E000357557"</f>
        <v>E000357557</v>
      </c>
      <c r="C1557" t="str">
        <f>"מאושרת לבצוע"</f>
        <v>מאושרת לבצוע</v>
      </c>
      <c r="E1557" s="3">
        <v>44626</v>
      </c>
      <c r="F1557" s="3">
        <v>44626</v>
      </c>
      <c r="G1557" t="str">
        <f>"700065"</f>
        <v>700065</v>
      </c>
      <c r="H1557" t="str">
        <f>"אלתא מערכות בע""מ"</f>
        <v>אלתא מערכות בע"מ</v>
      </c>
      <c r="I1557" t="str">
        <f>"מלך רונן"</f>
        <v>מלך רונן</v>
      </c>
      <c r="J1557" t="str">
        <f>"999"</f>
        <v>999</v>
      </c>
      <c r="K1557" s="1" t="str">
        <f>"צבע לתרנים כולל הובלה"</f>
        <v>צבע לתרנים כולל הובלה</v>
      </c>
      <c r="L1557">
        <v>1</v>
      </c>
      <c r="M1557" t="str">
        <f>"PR20000121"</f>
        <v>PR20000121</v>
      </c>
      <c r="N1557" t="str">
        <f>"מיגון ברקים"</f>
        <v>מיגון ברקים</v>
      </c>
      <c r="O1557" s="2">
        <v>9126.76</v>
      </c>
      <c r="P1557" t="str">
        <f>"$"</f>
        <v>$</v>
      </c>
      <c r="Q1557" t="str">
        <f>"010"</f>
        <v>010</v>
      </c>
      <c r="R1557" t="str">
        <f>"מכרז"</f>
        <v>מכרז</v>
      </c>
      <c r="S1557" t="str">
        <f>"005"</f>
        <v>005</v>
      </c>
      <c r="T1557" t="str">
        <f>"אברהמי עדן"</f>
        <v>אברהמי עדן</v>
      </c>
      <c r="U1557">
        <v>0</v>
      </c>
      <c r="V1557">
        <v>0</v>
      </c>
      <c r="W1557" s="2">
        <v>9126.76</v>
      </c>
      <c r="X1557" s="2">
        <v>9126.76</v>
      </c>
      <c r="AA1557">
        <v>1</v>
      </c>
      <c r="AC1557">
        <v>0</v>
      </c>
      <c r="AE1557">
        <v>0</v>
      </c>
      <c r="AF1557">
        <v>0</v>
      </c>
      <c r="AG1557" s="2">
        <v>29616.34</v>
      </c>
      <c r="AH1557">
        <v>0</v>
      </c>
      <c r="AI1557" s="2">
        <v>29616.34</v>
      </c>
      <c r="AJ1557" s="2">
        <v>9126.76</v>
      </c>
      <c r="AK1557" s="2">
        <v>9126.76</v>
      </c>
      <c r="AL1557" t="str">
        <f>"$"</f>
        <v>$</v>
      </c>
    </row>
    <row r="1558" spans="1:38" x14ac:dyDescent="0.3">
      <c r="A1558" t="str">
        <f>"SO22000099"</f>
        <v>SO22000099</v>
      </c>
      <c r="B1558" t="str">
        <f>"E000358026"</f>
        <v>E000358026</v>
      </c>
      <c r="C1558" t="str">
        <f>"בסיום הרכבה"</f>
        <v>בסיום הרכבה</v>
      </c>
      <c r="E1558" s="3">
        <v>44629</v>
      </c>
      <c r="F1558" s="3">
        <v>44752</v>
      </c>
      <c r="G1558" t="str">
        <f>"700065"</f>
        <v>700065</v>
      </c>
      <c r="H1558" t="str">
        <f>"אלתא מערכות בע""מ"</f>
        <v>אלתא מערכות בע"מ</v>
      </c>
      <c r="I1558" t="str">
        <f>"רחמים זרוק"</f>
        <v>רחמים זרוק</v>
      </c>
      <c r="J1558" t="str">
        <f>"OP-AR02995"</f>
        <v>OP-AR02995</v>
      </c>
      <c r="K1558" s="1" t="str">
        <f>"1023M513-001   HARNESS W2"</f>
        <v>1023M513-001   HARNESS W2</v>
      </c>
      <c r="L1558">
        <v>20</v>
      </c>
      <c r="M1558" t="str">
        <f>"PR22000223"</f>
        <v>PR22000223</v>
      </c>
      <c r="N1558" t="str">
        <f>"HARNESS W2"</f>
        <v>HARNESS W2</v>
      </c>
      <c r="O1558">
        <v>119.27</v>
      </c>
      <c r="P1558" t="str">
        <f>"$"</f>
        <v>$</v>
      </c>
      <c r="Q1558" t="str">
        <f>"117"</f>
        <v>117</v>
      </c>
      <c r="R1558" t="str">
        <f>"רתמות"</f>
        <v>רתמות</v>
      </c>
      <c r="S1558" t="str">
        <f>"040"</f>
        <v>040</v>
      </c>
      <c r="T1558" t="str">
        <f>"עמר ליגל"</f>
        <v>עמר ליגל</v>
      </c>
      <c r="U1558">
        <v>0</v>
      </c>
      <c r="V1558">
        <v>0</v>
      </c>
      <c r="W1558">
        <v>119.27</v>
      </c>
      <c r="X1558" s="2">
        <v>2385.4</v>
      </c>
      <c r="Z1558" t="str">
        <f>"Y"</f>
        <v>Y</v>
      </c>
      <c r="AA1558">
        <v>0</v>
      </c>
      <c r="AC1558">
        <v>0</v>
      </c>
      <c r="AE1558">
        <v>0</v>
      </c>
      <c r="AF1558">
        <v>0</v>
      </c>
      <c r="AG1558">
        <v>391.68</v>
      </c>
      <c r="AH1558">
        <v>0</v>
      </c>
      <c r="AI1558" s="2">
        <v>7833.65</v>
      </c>
      <c r="AJ1558" s="2">
        <v>2385.4</v>
      </c>
      <c r="AK1558" s="2">
        <v>2385.4</v>
      </c>
      <c r="AL1558" t="str">
        <f>"$"</f>
        <v>$</v>
      </c>
    </row>
    <row r="1559" spans="1:38" x14ac:dyDescent="0.3">
      <c r="A1559" t="str">
        <f>"SO22000099"</f>
        <v>SO22000099</v>
      </c>
      <c r="B1559" t="str">
        <f>"E000358026"</f>
        <v>E000358026</v>
      </c>
      <c r="C1559" t="str">
        <f>"בסיום הרכבה"</f>
        <v>בסיום הרכבה</v>
      </c>
      <c r="E1559" s="3">
        <v>44629</v>
      </c>
      <c r="F1559" s="3">
        <v>44752</v>
      </c>
      <c r="G1559" t="str">
        <f>"700065"</f>
        <v>700065</v>
      </c>
      <c r="H1559" t="str">
        <f>"אלתא מערכות בע""מ"</f>
        <v>אלתא מערכות בע"מ</v>
      </c>
      <c r="I1559" t="str">
        <f>"רחמים זרוק"</f>
        <v>רחמים זרוק</v>
      </c>
      <c r="J1559" t="str">
        <f>"OP-AR02996"</f>
        <v>OP-AR02996</v>
      </c>
      <c r="K1559" s="1" t="str">
        <f>"1023M516-001   HARNESS W4"</f>
        <v>1023M516-001   HARNESS W4</v>
      </c>
      <c r="L1559">
        <v>20</v>
      </c>
      <c r="M1559" t="str">
        <f>"PR22000223"</f>
        <v>PR22000223</v>
      </c>
      <c r="N1559" t="str">
        <f>"HARNESS W2"</f>
        <v>HARNESS W2</v>
      </c>
      <c r="O1559">
        <v>535.78</v>
      </c>
      <c r="P1559" t="str">
        <f>"$"</f>
        <v>$</v>
      </c>
      <c r="Q1559" t="str">
        <f>"117"</f>
        <v>117</v>
      </c>
      <c r="R1559" t="str">
        <f>"רתמות"</f>
        <v>רתמות</v>
      </c>
      <c r="S1559" t="str">
        <f>"040"</f>
        <v>040</v>
      </c>
      <c r="T1559" t="str">
        <f>"עמר ליגל"</f>
        <v>עמר ליגל</v>
      </c>
      <c r="U1559">
        <v>0</v>
      </c>
      <c r="V1559">
        <v>0</v>
      </c>
      <c r="W1559">
        <v>535.78</v>
      </c>
      <c r="X1559" s="2">
        <v>10715.6</v>
      </c>
      <c r="Z1559" t="str">
        <f>"Y"</f>
        <v>Y</v>
      </c>
      <c r="AA1559">
        <v>0</v>
      </c>
      <c r="AC1559">
        <v>0</v>
      </c>
      <c r="AE1559">
        <v>0</v>
      </c>
      <c r="AF1559">
        <v>0</v>
      </c>
      <c r="AG1559" s="2">
        <v>1759.5</v>
      </c>
      <c r="AH1559">
        <v>0</v>
      </c>
      <c r="AI1559" s="2">
        <v>35190.03</v>
      </c>
      <c r="AJ1559" s="2">
        <v>10715.6</v>
      </c>
      <c r="AK1559" s="2">
        <v>10715.6</v>
      </c>
      <c r="AL1559" t="str">
        <f>"$"</f>
        <v>$</v>
      </c>
    </row>
    <row r="1560" spans="1:38" x14ac:dyDescent="0.3">
      <c r="A1560" t="str">
        <f>"SO22000099"</f>
        <v>SO22000099</v>
      </c>
      <c r="B1560" t="str">
        <f>"E000358026"</f>
        <v>E000358026</v>
      </c>
      <c r="C1560" t="str">
        <f>"בסיום הרכבה"</f>
        <v>בסיום הרכבה</v>
      </c>
      <c r="E1560" s="3">
        <v>44629</v>
      </c>
      <c r="F1560" s="3">
        <v>44752</v>
      </c>
      <c r="G1560" t="str">
        <f>"700065"</f>
        <v>700065</v>
      </c>
      <c r="H1560" t="str">
        <f>"אלתא מערכות בע""מ"</f>
        <v>אלתא מערכות בע"מ</v>
      </c>
      <c r="I1560" t="str">
        <f>"רחמים זרוק"</f>
        <v>רחמים זרוק</v>
      </c>
      <c r="J1560" t="str">
        <f>"OP-AR02997"</f>
        <v>OP-AR02997</v>
      </c>
      <c r="K1560" s="1" t="str">
        <f>"1023M575-001   HARNESS W1"</f>
        <v>1023M575-001   HARNESS W1</v>
      </c>
      <c r="L1560">
        <v>16</v>
      </c>
      <c r="M1560" t="str">
        <f>"PR22000223"</f>
        <v>PR22000223</v>
      </c>
      <c r="N1560" t="str">
        <f>"HARNESS W2"</f>
        <v>HARNESS W2</v>
      </c>
      <c r="O1560">
        <v>236.02</v>
      </c>
      <c r="P1560" t="str">
        <f>"$"</f>
        <v>$</v>
      </c>
      <c r="Q1560" t="str">
        <f>"117"</f>
        <v>117</v>
      </c>
      <c r="R1560" t="str">
        <f>"רתמות"</f>
        <v>רתמות</v>
      </c>
      <c r="S1560" t="str">
        <f>"040"</f>
        <v>040</v>
      </c>
      <c r="T1560" t="str">
        <f>"עמר ליגל"</f>
        <v>עמר ליגל</v>
      </c>
      <c r="U1560">
        <v>0</v>
      </c>
      <c r="V1560">
        <v>0</v>
      </c>
      <c r="W1560">
        <v>236.02</v>
      </c>
      <c r="X1560" s="2">
        <v>3776.32</v>
      </c>
      <c r="Z1560" t="str">
        <f>"Y"</f>
        <v>Y</v>
      </c>
      <c r="AA1560">
        <v>0</v>
      </c>
      <c r="AC1560">
        <v>0</v>
      </c>
      <c r="AE1560">
        <v>0</v>
      </c>
      <c r="AF1560">
        <v>0</v>
      </c>
      <c r="AG1560">
        <v>775.09</v>
      </c>
      <c r="AH1560">
        <v>0</v>
      </c>
      <c r="AI1560" s="2">
        <v>12401.43</v>
      </c>
      <c r="AJ1560" s="2">
        <v>3776.32</v>
      </c>
      <c r="AK1560" s="2">
        <v>3776.32</v>
      </c>
      <c r="AL1560" t="str">
        <f>"$"</f>
        <v>$</v>
      </c>
    </row>
    <row r="1561" spans="1:38" x14ac:dyDescent="0.3">
      <c r="A1561" t="str">
        <f>"SO22000099"</f>
        <v>SO22000099</v>
      </c>
      <c r="B1561" t="str">
        <f>"E000358026"</f>
        <v>E000358026</v>
      </c>
      <c r="C1561" t="str">
        <f>"בסיום הרכבה"</f>
        <v>בסיום הרכבה</v>
      </c>
      <c r="E1561" s="3">
        <v>44629</v>
      </c>
      <c r="F1561" s="3">
        <v>44752</v>
      </c>
      <c r="G1561" t="str">
        <f>"700065"</f>
        <v>700065</v>
      </c>
      <c r="H1561" t="str">
        <f>"אלתא מערכות בע""מ"</f>
        <v>אלתא מערכות בע"מ</v>
      </c>
      <c r="I1561" t="str">
        <f>"רחמים זרוק"</f>
        <v>רחמים זרוק</v>
      </c>
      <c r="J1561" t="str">
        <f>"OP-AR02998"</f>
        <v>OP-AR02998</v>
      </c>
      <c r="K1561" s="1" t="str">
        <f>"1023M577-001   HARNESS W3"</f>
        <v>1023M577-001   HARNESS W3</v>
      </c>
      <c r="L1561">
        <v>3</v>
      </c>
      <c r="M1561" t="str">
        <f>"PR22000223"</f>
        <v>PR22000223</v>
      </c>
      <c r="N1561" t="str">
        <f>"HARNESS W2"</f>
        <v>HARNESS W2</v>
      </c>
      <c r="O1561">
        <v>293.06</v>
      </c>
      <c r="P1561" t="str">
        <f>"$"</f>
        <v>$</v>
      </c>
      <c r="Q1561" t="str">
        <f>"117"</f>
        <v>117</v>
      </c>
      <c r="R1561" t="str">
        <f>"רתמות"</f>
        <v>רתמות</v>
      </c>
      <c r="S1561" t="str">
        <f>"040"</f>
        <v>040</v>
      </c>
      <c r="T1561" t="str">
        <f>"עמר ליגל"</f>
        <v>עמר ליגל</v>
      </c>
      <c r="U1561">
        <v>0</v>
      </c>
      <c r="V1561">
        <v>0</v>
      </c>
      <c r="W1561">
        <v>293.06</v>
      </c>
      <c r="X1561">
        <v>879.18</v>
      </c>
      <c r="Z1561" t="str">
        <f>"Y"</f>
        <v>Y</v>
      </c>
      <c r="AA1561">
        <v>0</v>
      </c>
      <c r="AC1561">
        <v>0</v>
      </c>
      <c r="AE1561">
        <v>0</v>
      </c>
      <c r="AF1561">
        <v>0</v>
      </c>
      <c r="AG1561">
        <v>962.41</v>
      </c>
      <c r="AH1561">
        <v>0</v>
      </c>
      <c r="AI1561" s="2">
        <v>2887.23</v>
      </c>
      <c r="AJ1561">
        <v>879.18</v>
      </c>
      <c r="AK1561">
        <v>879.18</v>
      </c>
      <c r="AL1561" t="str">
        <f>"$"</f>
        <v>$</v>
      </c>
    </row>
    <row r="1562" spans="1:38" x14ac:dyDescent="0.3">
      <c r="A1562" t="str">
        <f>"SO22000099"</f>
        <v>SO22000099</v>
      </c>
      <c r="B1562" t="str">
        <f>"E000358026"</f>
        <v>E000358026</v>
      </c>
      <c r="C1562" t="str">
        <f>"בסיום הרכבה"</f>
        <v>בסיום הרכבה</v>
      </c>
      <c r="E1562" s="3">
        <v>44629</v>
      </c>
      <c r="F1562" s="3">
        <v>44752</v>
      </c>
      <c r="G1562" t="str">
        <f>"700065"</f>
        <v>700065</v>
      </c>
      <c r="H1562" t="str">
        <f>"אלתא מערכות בע""מ"</f>
        <v>אלתא מערכות בע"מ</v>
      </c>
      <c r="I1562" t="str">
        <f>"רחמים זרוק"</f>
        <v>רחמים זרוק</v>
      </c>
      <c r="J1562" t="str">
        <f>"OP-AR02999"</f>
        <v>OP-AR02999</v>
      </c>
      <c r="K1562" s="1" t="str">
        <f>"9000C568-001   HARNESS W1"</f>
        <v>9000C568-001   HARNESS W1</v>
      </c>
      <c r="L1562">
        <v>3</v>
      </c>
      <c r="M1562" t="str">
        <f>"PR22000223"</f>
        <v>PR22000223</v>
      </c>
      <c r="N1562" t="str">
        <f>"HARNESS W2"</f>
        <v>HARNESS W2</v>
      </c>
      <c r="O1562">
        <v>227.52</v>
      </c>
      <c r="P1562" t="str">
        <f>"$"</f>
        <v>$</v>
      </c>
      <c r="Q1562" t="str">
        <f>"117"</f>
        <v>117</v>
      </c>
      <c r="R1562" t="str">
        <f>"רתמות"</f>
        <v>רתמות</v>
      </c>
      <c r="S1562" t="str">
        <f>"040"</f>
        <v>040</v>
      </c>
      <c r="T1562" t="str">
        <f>"עמר ליגל"</f>
        <v>עמר ליגל</v>
      </c>
      <c r="U1562">
        <v>0</v>
      </c>
      <c r="V1562">
        <v>0</v>
      </c>
      <c r="W1562">
        <v>227.52</v>
      </c>
      <c r="X1562">
        <v>682.56</v>
      </c>
      <c r="Z1562" t="str">
        <f>"Y"</f>
        <v>Y</v>
      </c>
      <c r="AA1562">
        <v>0</v>
      </c>
      <c r="AC1562">
        <v>0</v>
      </c>
      <c r="AE1562">
        <v>0</v>
      </c>
      <c r="AF1562">
        <v>0</v>
      </c>
      <c r="AG1562">
        <v>747.18</v>
      </c>
      <c r="AH1562">
        <v>0</v>
      </c>
      <c r="AI1562" s="2">
        <v>2241.5300000000002</v>
      </c>
      <c r="AJ1562">
        <v>682.56</v>
      </c>
      <c r="AK1562">
        <v>682.56</v>
      </c>
      <c r="AL1562" t="str">
        <f>"$"</f>
        <v>$</v>
      </c>
    </row>
    <row r="1563" spans="1:38" x14ac:dyDescent="0.3">
      <c r="A1563" t="str">
        <f>"SO22000099"</f>
        <v>SO22000099</v>
      </c>
      <c r="B1563" t="str">
        <f>"E000358026"</f>
        <v>E000358026</v>
      </c>
      <c r="C1563" t="str">
        <f>"בסיום הרכבה"</f>
        <v>בסיום הרכבה</v>
      </c>
      <c r="E1563" s="3">
        <v>44629</v>
      </c>
      <c r="F1563" s="3">
        <v>44752</v>
      </c>
      <c r="G1563" t="str">
        <f>"700065"</f>
        <v>700065</v>
      </c>
      <c r="H1563" t="str">
        <f>"אלתא מערכות בע""מ"</f>
        <v>אלתא מערכות בע"מ</v>
      </c>
      <c r="I1563" t="str">
        <f>"רחמים זרוק"</f>
        <v>רחמים זרוק</v>
      </c>
      <c r="J1563" t="str">
        <f>"OP-AR03000"</f>
        <v>OP-AR03000</v>
      </c>
      <c r="K1563" s="1" t="str">
        <f>"9004Y513-002   HARNESS W1"</f>
        <v>9004Y513-002   HARNESS W1</v>
      </c>
      <c r="L1563">
        <v>5</v>
      </c>
      <c r="M1563" t="str">
        <f>"PR22000223"</f>
        <v>PR22000223</v>
      </c>
      <c r="N1563" t="str">
        <f>"HARNESS W2"</f>
        <v>HARNESS W2</v>
      </c>
      <c r="O1563">
        <v>524.44000000000005</v>
      </c>
      <c r="P1563" t="str">
        <f>"$"</f>
        <v>$</v>
      </c>
      <c r="Q1563" t="str">
        <f>"117"</f>
        <v>117</v>
      </c>
      <c r="R1563" t="str">
        <f>"רתמות"</f>
        <v>רתמות</v>
      </c>
      <c r="S1563" t="str">
        <f>"040"</f>
        <v>040</v>
      </c>
      <c r="T1563" t="str">
        <f>"עמר ליגל"</f>
        <v>עמר ליגל</v>
      </c>
      <c r="U1563">
        <v>0</v>
      </c>
      <c r="V1563">
        <v>0</v>
      </c>
      <c r="W1563">
        <v>524.44000000000005</v>
      </c>
      <c r="X1563" s="2">
        <v>2622.2</v>
      </c>
      <c r="Z1563" t="str">
        <f>"Y"</f>
        <v>Y</v>
      </c>
      <c r="AA1563">
        <v>0</v>
      </c>
      <c r="AC1563">
        <v>0</v>
      </c>
      <c r="AE1563">
        <v>0</v>
      </c>
      <c r="AF1563">
        <v>0</v>
      </c>
      <c r="AG1563" s="2">
        <v>1722.26</v>
      </c>
      <c r="AH1563">
        <v>0</v>
      </c>
      <c r="AI1563" s="2">
        <v>8611.2999999999993</v>
      </c>
      <c r="AJ1563" s="2">
        <v>2622.2</v>
      </c>
      <c r="AK1563" s="2">
        <v>2622.2</v>
      </c>
      <c r="AL1563" t="str">
        <f>"$"</f>
        <v>$</v>
      </c>
    </row>
    <row r="1564" spans="1:38" x14ac:dyDescent="0.3">
      <c r="A1564" t="str">
        <f>"SO22000099"</f>
        <v>SO22000099</v>
      </c>
      <c r="B1564" t="str">
        <f>"E000358026"</f>
        <v>E000358026</v>
      </c>
      <c r="C1564" t="str">
        <f>"בסיום הרכבה"</f>
        <v>בסיום הרכבה</v>
      </c>
      <c r="E1564" s="3">
        <v>44629</v>
      </c>
      <c r="F1564" s="3">
        <v>44696</v>
      </c>
      <c r="G1564" t="str">
        <f>"700065"</f>
        <v>700065</v>
      </c>
      <c r="H1564" t="str">
        <f>"אלתא מערכות בע""מ"</f>
        <v>אלתא מערכות בע"מ</v>
      </c>
      <c r="I1564" t="str">
        <f>"רחמים זרוק"</f>
        <v>רחמים זרוק</v>
      </c>
      <c r="J1564" t="str">
        <f>"OP-AR03034"</f>
        <v>OP-AR03034</v>
      </c>
      <c r="K1564" s="1" t="str">
        <f>"AC SUPPLY CONTROL BOX 230V FEED CABLE"</f>
        <v>AC SUPPLY CONTROL BOX 230V FEED CABLE</v>
      </c>
      <c r="L1564">
        <v>1</v>
      </c>
      <c r="O1564">
        <v>257.98</v>
      </c>
      <c r="P1564" t="str">
        <f>"$"</f>
        <v>$</v>
      </c>
      <c r="Q1564" t="str">
        <f>"117"</f>
        <v>117</v>
      </c>
      <c r="R1564" t="str">
        <f>"רתמות"</f>
        <v>רתמות</v>
      </c>
      <c r="S1564" t="str">
        <f>"040"</f>
        <v>040</v>
      </c>
      <c r="T1564" t="str">
        <f>"עמר ליגל"</f>
        <v>עמר ליגל</v>
      </c>
      <c r="U1564">
        <v>0</v>
      </c>
      <c r="V1564">
        <v>0</v>
      </c>
      <c r="W1564">
        <v>257.98</v>
      </c>
      <c r="X1564">
        <v>257.98</v>
      </c>
      <c r="Z1564" t="str">
        <f>"Y"</f>
        <v>Y</v>
      </c>
      <c r="AA1564">
        <v>0</v>
      </c>
      <c r="AC1564">
        <v>0</v>
      </c>
      <c r="AE1564">
        <v>0</v>
      </c>
      <c r="AF1564">
        <v>0</v>
      </c>
      <c r="AG1564">
        <v>847.21</v>
      </c>
      <c r="AH1564">
        <v>0</v>
      </c>
      <c r="AI1564">
        <v>847.21</v>
      </c>
      <c r="AJ1564">
        <v>257.98</v>
      </c>
      <c r="AK1564">
        <v>257.98</v>
      </c>
      <c r="AL1564" t="str">
        <f>"$"</f>
        <v>$</v>
      </c>
    </row>
    <row r="1565" spans="1:38" x14ac:dyDescent="0.3">
      <c r="A1565" t="str">
        <f>"SO22000099"</f>
        <v>SO22000099</v>
      </c>
      <c r="B1565" t="str">
        <f>"E000358026"</f>
        <v>E000358026</v>
      </c>
      <c r="C1565" t="str">
        <f>"בסיום הרכבה"</f>
        <v>בסיום הרכבה</v>
      </c>
      <c r="E1565" s="3">
        <v>44629</v>
      </c>
      <c r="F1565" s="3">
        <v>44696</v>
      </c>
      <c r="G1565" t="str">
        <f>"700065"</f>
        <v>700065</v>
      </c>
      <c r="H1565" t="str">
        <f>"אלתא מערכות בע""מ"</f>
        <v>אלתא מערכות בע"מ</v>
      </c>
      <c r="I1565" t="str">
        <f>"רחמים זרוק"</f>
        <v>רחמים זרוק</v>
      </c>
      <c r="J1565" t="str">
        <f>"OP-AR03035"</f>
        <v>OP-AR03035</v>
      </c>
      <c r="K1565" s="1" t="str">
        <f>"AC SUPPLY CONTROL BOX 115V 32A FEED CABLE"</f>
        <v>AC SUPPLY CONTROL BOX 115V 32A FEED CABLE</v>
      </c>
      <c r="L1565">
        <v>1</v>
      </c>
      <c r="O1565">
        <v>258.39</v>
      </c>
      <c r="P1565" t="str">
        <f>"$"</f>
        <v>$</v>
      </c>
      <c r="Q1565" t="str">
        <f>"117"</f>
        <v>117</v>
      </c>
      <c r="R1565" t="str">
        <f>"רתמות"</f>
        <v>רתמות</v>
      </c>
      <c r="S1565" t="str">
        <f>"040"</f>
        <v>040</v>
      </c>
      <c r="T1565" t="str">
        <f>"עמר ליגל"</f>
        <v>עמר ליגל</v>
      </c>
      <c r="U1565">
        <v>0</v>
      </c>
      <c r="V1565">
        <v>0</v>
      </c>
      <c r="W1565">
        <v>258.39</v>
      </c>
      <c r="X1565">
        <v>258.39</v>
      </c>
      <c r="Z1565" t="str">
        <f>"Y"</f>
        <v>Y</v>
      </c>
      <c r="AA1565">
        <v>0</v>
      </c>
      <c r="AC1565">
        <v>0</v>
      </c>
      <c r="AE1565">
        <v>0</v>
      </c>
      <c r="AF1565">
        <v>0</v>
      </c>
      <c r="AG1565">
        <v>848.55</v>
      </c>
      <c r="AH1565">
        <v>0</v>
      </c>
      <c r="AI1565">
        <v>848.55</v>
      </c>
      <c r="AJ1565">
        <v>258.39</v>
      </c>
      <c r="AK1565">
        <v>258.39</v>
      </c>
      <c r="AL1565" t="str">
        <f>"$"</f>
        <v>$</v>
      </c>
    </row>
    <row r="1566" spans="1:38" x14ac:dyDescent="0.3">
      <c r="A1566" t="str">
        <f>"SO22000099"</f>
        <v>SO22000099</v>
      </c>
      <c r="B1566" t="str">
        <f>"E000358026"</f>
        <v>E000358026</v>
      </c>
      <c r="C1566" t="str">
        <f>"בסיום הרכבה"</f>
        <v>בסיום הרכבה</v>
      </c>
      <c r="E1566" s="3">
        <v>44629</v>
      </c>
      <c r="F1566" s="3">
        <v>44742</v>
      </c>
      <c r="G1566" t="str">
        <f>"700065"</f>
        <v>700065</v>
      </c>
      <c r="H1566" t="str">
        <f>"אלתא מערכות בע""מ"</f>
        <v>אלתא מערכות בע"מ</v>
      </c>
      <c r="I1566" t="str">
        <f>"רחמים זרוק"</f>
        <v>רחמים זרוק</v>
      </c>
      <c r="J1566" t="str">
        <f>"OP-AR03001"</f>
        <v>OP-AR03001</v>
      </c>
      <c r="K1566" s="1" t="str">
        <f>"1092E058-001   JTAG ADAPTER CABLE"</f>
        <v>1092E058-001   JTAG ADAPTER CABLE</v>
      </c>
      <c r="L1566">
        <v>10</v>
      </c>
      <c r="M1566" t="str">
        <f>"PR22000223"</f>
        <v>PR22000223</v>
      </c>
      <c r="N1566" t="str">
        <f>"HARNESS W2"</f>
        <v>HARNESS W2</v>
      </c>
      <c r="O1566">
        <v>75.8</v>
      </c>
      <c r="P1566" t="str">
        <f>"$"</f>
        <v>$</v>
      </c>
      <c r="Q1566" t="str">
        <f>"117"</f>
        <v>117</v>
      </c>
      <c r="R1566" t="str">
        <f>"רתמות"</f>
        <v>רתמות</v>
      </c>
      <c r="S1566" t="str">
        <f>"040"</f>
        <v>040</v>
      </c>
      <c r="T1566" t="str">
        <f>"עמר ליגל"</f>
        <v>עמר ליגל</v>
      </c>
      <c r="U1566">
        <v>0</v>
      </c>
      <c r="V1566">
        <v>0</v>
      </c>
      <c r="W1566">
        <v>75.8</v>
      </c>
      <c r="X1566">
        <v>758</v>
      </c>
      <c r="Z1566" t="str">
        <f>"Y"</f>
        <v>Y</v>
      </c>
      <c r="AA1566">
        <v>0</v>
      </c>
      <c r="AC1566">
        <v>0</v>
      </c>
      <c r="AE1566">
        <v>0</v>
      </c>
      <c r="AF1566">
        <v>0</v>
      </c>
      <c r="AG1566">
        <v>248.93</v>
      </c>
      <c r="AH1566">
        <v>0</v>
      </c>
      <c r="AI1566" s="2">
        <v>2489.27</v>
      </c>
      <c r="AJ1566">
        <v>758</v>
      </c>
      <c r="AK1566">
        <v>758</v>
      </c>
      <c r="AL1566" t="str">
        <f>"$"</f>
        <v>$</v>
      </c>
    </row>
    <row r="1567" spans="1:38" x14ac:dyDescent="0.3">
      <c r="A1567" t="str">
        <f>"SO22000099"</f>
        <v>SO22000099</v>
      </c>
      <c r="B1567" t="str">
        <f>"E000358026"</f>
        <v>E000358026</v>
      </c>
      <c r="C1567" t="str">
        <f>"בסיום הרכבה"</f>
        <v>בסיום הרכבה</v>
      </c>
      <c r="E1567" s="3">
        <v>44629</v>
      </c>
      <c r="F1567" s="3">
        <v>44742</v>
      </c>
      <c r="G1567" t="str">
        <f>"700065"</f>
        <v>700065</v>
      </c>
      <c r="H1567" t="str">
        <f>"אלתא מערכות בע""מ"</f>
        <v>אלתא מערכות בע"מ</v>
      </c>
      <c r="I1567" t="str">
        <f>"רחמים זרוק"</f>
        <v>רחמים זרוק</v>
      </c>
      <c r="J1567" t="str">
        <f>"OP-AR03002"</f>
        <v>OP-AR03002</v>
      </c>
      <c r="K1567" s="1" t="str">
        <f>"1094R032-002   HARNESS W032 - NC2I CONTROL CABLE"</f>
        <v>1094R032-002   HARNESS W032 - NC2I CONTROL CABLE</v>
      </c>
      <c r="L1567">
        <v>4</v>
      </c>
      <c r="M1567" t="str">
        <f>"PR22000223"</f>
        <v>PR22000223</v>
      </c>
      <c r="N1567" t="str">
        <f>"HARNESS W2"</f>
        <v>HARNESS W2</v>
      </c>
      <c r="O1567">
        <v>281.70999999999998</v>
      </c>
      <c r="P1567" t="str">
        <f>"$"</f>
        <v>$</v>
      </c>
      <c r="Q1567" t="str">
        <f>"117"</f>
        <v>117</v>
      </c>
      <c r="R1567" t="str">
        <f>"רתמות"</f>
        <v>רתמות</v>
      </c>
      <c r="S1567" t="str">
        <f>"040"</f>
        <v>040</v>
      </c>
      <c r="T1567" t="str">
        <f>"עמר ליגל"</f>
        <v>עמר ליגל</v>
      </c>
      <c r="U1567">
        <v>0</v>
      </c>
      <c r="V1567">
        <v>0</v>
      </c>
      <c r="W1567">
        <v>281.70999999999998</v>
      </c>
      <c r="X1567" s="2">
        <v>1126.8399999999999</v>
      </c>
      <c r="Z1567" t="str">
        <f>"Y"</f>
        <v>Y</v>
      </c>
      <c r="AA1567">
        <v>0</v>
      </c>
      <c r="AC1567">
        <v>0</v>
      </c>
      <c r="AE1567">
        <v>0</v>
      </c>
      <c r="AF1567">
        <v>0</v>
      </c>
      <c r="AG1567">
        <v>925.14</v>
      </c>
      <c r="AH1567">
        <v>0</v>
      </c>
      <c r="AI1567" s="2">
        <v>3700.54</v>
      </c>
      <c r="AJ1567" s="2">
        <v>1126.8399999999999</v>
      </c>
      <c r="AK1567" s="2">
        <v>1126.8399999999999</v>
      </c>
      <c r="AL1567" t="str">
        <f>"$"</f>
        <v>$</v>
      </c>
    </row>
    <row r="1568" spans="1:38" x14ac:dyDescent="0.3">
      <c r="A1568" t="str">
        <f>"SO22000099"</f>
        <v>SO22000099</v>
      </c>
      <c r="B1568" t="str">
        <f>"E000358026"</f>
        <v>E000358026</v>
      </c>
      <c r="C1568" t="str">
        <f>"בסיום הרכבה"</f>
        <v>בסיום הרכבה</v>
      </c>
      <c r="E1568" s="3">
        <v>44629</v>
      </c>
      <c r="F1568" s="3">
        <v>44742</v>
      </c>
      <c r="G1568" t="str">
        <f>"700065"</f>
        <v>700065</v>
      </c>
      <c r="H1568" t="str">
        <f>"אלתא מערכות בע""מ"</f>
        <v>אלתא מערכות בע"מ</v>
      </c>
      <c r="I1568" t="str">
        <f>"רחמים זרוק"</f>
        <v>רחמים זרוק</v>
      </c>
      <c r="J1568" t="str">
        <f>"OP-AR03003"</f>
        <v>OP-AR03003</v>
      </c>
      <c r="K1568" s="1" t="str">
        <f>"1094R050-002   HARNESS W050 - BFEA CONTROL CABLE"</f>
        <v>1094R050-002   HARNESS W050 - BFEA CONTROL CABLE</v>
      </c>
      <c r="L1568">
        <v>4</v>
      </c>
      <c r="M1568" t="str">
        <f>"PR22000223"</f>
        <v>PR22000223</v>
      </c>
      <c r="N1568" t="str">
        <f>"HARNESS W2"</f>
        <v>HARNESS W2</v>
      </c>
      <c r="O1568">
        <v>604.53</v>
      </c>
      <c r="P1568" t="str">
        <f>"$"</f>
        <v>$</v>
      </c>
      <c r="Q1568" t="str">
        <f>"117"</f>
        <v>117</v>
      </c>
      <c r="R1568" t="str">
        <f>"רתמות"</f>
        <v>רתמות</v>
      </c>
      <c r="S1568" t="str">
        <f>"040"</f>
        <v>040</v>
      </c>
      <c r="T1568" t="str">
        <f>"עמר ליגל"</f>
        <v>עמר ליגל</v>
      </c>
      <c r="U1568">
        <v>0</v>
      </c>
      <c r="V1568">
        <v>0</v>
      </c>
      <c r="W1568">
        <v>604.53</v>
      </c>
      <c r="X1568" s="2">
        <v>2418.12</v>
      </c>
      <c r="Z1568" t="str">
        <f>"Y"</f>
        <v>Y</v>
      </c>
      <c r="AA1568">
        <v>0</v>
      </c>
      <c r="AC1568">
        <v>0</v>
      </c>
      <c r="AE1568">
        <v>0</v>
      </c>
      <c r="AF1568">
        <v>0</v>
      </c>
      <c r="AG1568" s="2">
        <v>1985.28</v>
      </c>
      <c r="AH1568">
        <v>0</v>
      </c>
      <c r="AI1568" s="2">
        <v>7941.11</v>
      </c>
      <c r="AJ1568" s="2">
        <v>2418.12</v>
      </c>
      <c r="AK1568" s="2">
        <v>2418.12</v>
      </c>
      <c r="AL1568" t="str">
        <f>"$"</f>
        <v>$</v>
      </c>
    </row>
    <row r="1569" spans="1:38" x14ac:dyDescent="0.3">
      <c r="A1569" t="str">
        <f>"SO22000099"</f>
        <v>SO22000099</v>
      </c>
      <c r="B1569" t="str">
        <f>"E000358026"</f>
        <v>E000358026</v>
      </c>
      <c r="C1569" t="str">
        <f>"בסיום הרכבה"</f>
        <v>בסיום הרכבה</v>
      </c>
      <c r="E1569" s="3">
        <v>44629</v>
      </c>
      <c r="F1569" s="3">
        <v>44742</v>
      </c>
      <c r="G1569" t="str">
        <f>"700065"</f>
        <v>700065</v>
      </c>
      <c r="H1569" t="str">
        <f>"אלתא מערכות בע""מ"</f>
        <v>אלתא מערכות בע"מ</v>
      </c>
      <c r="I1569" t="str">
        <f>"רחמים זרוק"</f>
        <v>רחמים זרוק</v>
      </c>
      <c r="J1569" t="str">
        <f>"OP-AR03004"</f>
        <v>OP-AR03004</v>
      </c>
      <c r="K1569" s="1" t="str">
        <f>"4061D852-001   HARNESS W0852 - HPAFE M AND C CABLE (LAB"</f>
        <v>4061D852-001   HARNESS W0852 - HPAFE M AND C CABLE (LAB</v>
      </c>
      <c r="L1569">
        <v>2</v>
      </c>
      <c r="M1569" t="str">
        <f>"PR22000223"</f>
        <v>PR22000223</v>
      </c>
      <c r="N1569" t="str">
        <f>"HARNESS W2"</f>
        <v>HARNESS W2</v>
      </c>
      <c r="O1569">
        <v>258.13</v>
      </c>
      <c r="P1569" t="str">
        <f>"$"</f>
        <v>$</v>
      </c>
      <c r="Q1569" t="str">
        <f>"117"</f>
        <v>117</v>
      </c>
      <c r="R1569" t="str">
        <f>"רתמות"</f>
        <v>רתמות</v>
      </c>
      <c r="S1569" t="str">
        <f>"040"</f>
        <v>040</v>
      </c>
      <c r="T1569" t="str">
        <f>"עמר ליגל"</f>
        <v>עמר ליגל</v>
      </c>
      <c r="U1569">
        <v>0</v>
      </c>
      <c r="V1569">
        <v>0</v>
      </c>
      <c r="W1569">
        <v>258.13</v>
      </c>
      <c r="X1569">
        <v>516.26</v>
      </c>
      <c r="Z1569" t="str">
        <f>"Y"</f>
        <v>Y</v>
      </c>
      <c r="AA1569">
        <v>0</v>
      </c>
      <c r="AC1569">
        <v>0</v>
      </c>
      <c r="AE1569">
        <v>0</v>
      </c>
      <c r="AF1569">
        <v>0</v>
      </c>
      <c r="AG1569">
        <v>847.7</v>
      </c>
      <c r="AH1569">
        <v>0</v>
      </c>
      <c r="AI1569" s="2">
        <v>1695.4</v>
      </c>
      <c r="AJ1569">
        <v>516.26</v>
      </c>
      <c r="AK1569">
        <v>516.26</v>
      </c>
      <c r="AL1569" t="str">
        <f>"$"</f>
        <v>$</v>
      </c>
    </row>
    <row r="1570" spans="1:38" x14ac:dyDescent="0.3">
      <c r="A1570" t="str">
        <f>"SO22000099"</f>
        <v>SO22000099</v>
      </c>
      <c r="B1570" t="str">
        <f>"E000358026"</f>
        <v>E000358026</v>
      </c>
      <c r="C1570" t="str">
        <f>"בסיום הרכבה"</f>
        <v>בסיום הרכבה</v>
      </c>
      <c r="E1570" s="3">
        <v>44629</v>
      </c>
      <c r="F1570" s="3">
        <v>44711</v>
      </c>
      <c r="G1570" t="str">
        <f>"700065"</f>
        <v>700065</v>
      </c>
      <c r="H1570" t="str">
        <f>"אלתא מערכות בע""מ"</f>
        <v>אלתא מערכות בע"מ</v>
      </c>
      <c r="I1570" t="str">
        <f>"רחמים זרוק"</f>
        <v>רחמים זרוק</v>
      </c>
      <c r="J1570" t="str">
        <f>"OP-AR03005"</f>
        <v>OP-AR03005</v>
      </c>
      <c r="K1570" s="1" t="str">
        <f>"2032D917-001   CABLE ASSY JTAG"</f>
        <v>2032D917-001   CABLE ASSY JTAG</v>
      </c>
      <c r="L1570">
        <v>6</v>
      </c>
      <c r="M1570" t="str">
        <f>"PR22000223"</f>
        <v>PR22000223</v>
      </c>
      <c r="N1570" t="str">
        <f>"HARNESS W2"</f>
        <v>HARNESS W2</v>
      </c>
      <c r="O1570">
        <v>188.83</v>
      </c>
      <c r="P1570" t="str">
        <f>"$"</f>
        <v>$</v>
      </c>
      <c r="Q1570" t="str">
        <f>"117"</f>
        <v>117</v>
      </c>
      <c r="R1570" t="str">
        <f>"רתמות"</f>
        <v>רתמות</v>
      </c>
      <c r="S1570" t="str">
        <f>"040"</f>
        <v>040</v>
      </c>
      <c r="T1570" t="str">
        <f>"עמר ליגל"</f>
        <v>עמר ליגל</v>
      </c>
      <c r="U1570">
        <v>0</v>
      </c>
      <c r="V1570">
        <v>0</v>
      </c>
      <c r="W1570">
        <v>188.83</v>
      </c>
      <c r="X1570" s="2">
        <v>1132.98</v>
      </c>
      <c r="Z1570" t="str">
        <f>"Y"</f>
        <v>Y</v>
      </c>
      <c r="AA1570">
        <v>0</v>
      </c>
      <c r="AC1570">
        <v>0</v>
      </c>
      <c r="AE1570">
        <v>0</v>
      </c>
      <c r="AF1570">
        <v>0</v>
      </c>
      <c r="AG1570">
        <v>620.12</v>
      </c>
      <c r="AH1570">
        <v>0</v>
      </c>
      <c r="AI1570" s="2">
        <v>3720.71</v>
      </c>
      <c r="AJ1570" s="2">
        <v>1132.98</v>
      </c>
      <c r="AK1570" s="2">
        <v>1132.98</v>
      </c>
      <c r="AL1570" t="str">
        <f>"$"</f>
        <v>$</v>
      </c>
    </row>
    <row r="1571" spans="1:38" x14ac:dyDescent="0.3">
      <c r="A1571" t="str">
        <f>"SO22000099"</f>
        <v>SO22000099</v>
      </c>
      <c r="B1571" t="str">
        <f>"E000358026"</f>
        <v>E000358026</v>
      </c>
      <c r="C1571" t="str">
        <f>"בסיום הרכבה"</f>
        <v>בסיום הרכבה</v>
      </c>
      <c r="E1571" s="3">
        <v>44629</v>
      </c>
      <c r="F1571" s="3">
        <v>44711</v>
      </c>
      <c r="G1571" t="str">
        <f>"700065"</f>
        <v>700065</v>
      </c>
      <c r="H1571" t="str">
        <f>"אלתא מערכות בע""מ"</f>
        <v>אלתא מערכות בע"מ</v>
      </c>
      <c r="I1571" t="str">
        <f>"רחמים זרוק"</f>
        <v>רחמים זרוק</v>
      </c>
      <c r="J1571" t="str">
        <f>"OP-AR03006"</f>
        <v>OP-AR03006</v>
      </c>
      <c r="K1571" s="1" t="str">
        <f>"2215D095-001   HARNESS WB001 - POWER CABLE TO MINI IPB"</f>
        <v>2215D095-001   HARNESS WB001 - POWER CABLE TO MINI IPB</v>
      </c>
      <c r="L1571">
        <v>6</v>
      </c>
      <c r="M1571" t="str">
        <f>"PR22000223"</f>
        <v>PR22000223</v>
      </c>
      <c r="N1571" t="str">
        <f>"HARNESS W2"</f>
        <v>HARNESS W2</v>
      </c>
      <c r="O1571">
        <v>121.66</v>
      </c>
      <c r="P1571" t="str">
        <f>"$"</f>
        <v>$</v>
      </c>
      <c r="Q1571" t="str">
        <f>"117"</f>
        <v>117</v>
      </c>
      <c r="R1571" t="str">
        <f>"רתמות"</f>
        <v>רתמות</v>
      </c>
      <c r="S1571" t="str">
        <f>"040"</f>
        <v>040</v>
      </c>
      <c r="T1571" t="str">
        <f>"עמר ליגל"</f>
        <v>עמר ליגל</v>
      </c>
      <c r="U1571">
        <v>0</v>
      </c>
      <c r="V1571">
        <v>0</v>
      </c>
      <c r="W1571">
        <v>121.66</v>
      </c>
      <c r="X1571">
        <v>729.96</v>
      </c>
      <c r="Z1571" t="str">
        <f>"Y"</f>
        <v>Y</v>
      </c>
      <c r="AA1571">
        <v>0</v>
      </c>
      <c r="AC1571">
        <v>0</v>
      </c>
      <c r="AE1571">
        <v>0</v>
      </c>
      <c r="AF1571">
        <v>0</v>
      </c>
      <c r="AG1571">
        <v>399.53</v>
      </c>
      <c r="AH1571">
        <v>0</v>
      </c>
      <c r="AI1571" s="2">
        <v>2397.19</v>
      </c>
      <c r="AJ1571">
        <v>729.96</v>
      </c>
      <c r="AK1571">
        <v>729.96</v>
      </c>
      <c r="AL1571" t="str">
        <f>"$"</f>
        <v>$</v>
      </c>
    </row>
    <row r="1572" spans="1:38" x14ac:dyDescent="0.3">
      <c r="A1572" t="str">
        <f>"SO22000099"</f>
        <v>SO22000099</v>
      </c>
      <c r="B1572" t="str">
        <f>"E000358026"</f>
        <v>E000358026</v>
      </c>
      <c r="C1572" t="str">
        <f>"בסיום הרכבה"</f>
        <v>בסיום הרכבה</v>
      </c>
      <c r="E1572" s="3">
        <v>44629</v>
      </c>
      <c r="F1572" s="3">
        <v>44711</v>
      </c>
      <c r="G1572" t="str">
        <f>"700065"</f>
        <v>700065</v>
      </c>
      <c r="H1572" t="str">
        <f>"אלתא מערכות בע""מ"</f>
        <v>אלתא מערכות בע"מ</v>
      </c>
      <c r="I1572" t="str">
        <f>"רחמים זרוק"</f>
        <v>רחמים זרוק</v>
      </c>
      <c r="J1572" t="str">
        <f>"OP-AR03007"</f>
        <v>OP-AR03007</v>
      </c>
      <c r="K1572" s="1" t="str">
        <f>"2215D096-001   HARNESS WB002 - TEST CABLE FOR MINI IPB"</f>
        <v>2215D096-001   HARNESS WB002 - TEST CABLE FOR MINI IPB</v>
      </c>
      <c r="L1572">
        <v>6</v>
      </c>
      <c r="M1572" t="str">
        <f>"PR22000223"</f>
        <v>PR22000223</v>
      </c>
      <c r="N1572" t="str">
        <f>"HARNESS W2"</f>
        <v>HARNESS W2</v>
      </c>
      <c r="O1572">
        <v>211.3</v>
      </c>
      <c r="P1572" t="str">
        <f>"$"</f>
        <v>$</v>
      </c>
      <c r="Q1572" t="str">
        <f>"117"</f>
        <v>117</v>
      </c>
      <c r="R1572" t="str">
        <f>"רתמות"</f>
        <v>רתמות</v>
      </c>
      <c r="S1572" t="str">
        <f>"040"</f>
        <v>040</v>
      </c>
      <c r="T1572" t="str">
        <f>"עמר ליגל"</f>
        <v>עמר ליגל</v>
      </c>
      <c r="U1572">
        <v>0</v>
      </c>
      <c r="V1572">
        <v>0</v>
      </c>
      <c r="W1572">
        <v>211.3</v>
      </c>
      <c r="X1572" s="2">
        <v>1267.8</v>
      </c>
      <c r="Z1572" t="str">
        <f>"Y"</f>
        <v>Y</v>
      </c>
      <c r="AA1572">
        <v>0</v>
      </c>
      <c r="AC1572">
        <v>0</v>
      </c>
      <c r="AE1572">
        <v>0</v>
      </c>
      <c r="AF1572">
        <v>0</v>
      </c>
      <c r="AG1572">
        <v>693.91</v>
      </c>
      <c r="AH1572">
        <v>0</v>
      </c>
      <c r="AI1572" s="2">
        <v>4163.46</v>
      </c>
      <c r="AJ1572" s="2">
        <v>1267.8</v>
      </c>
      <c r="AK1572" s="2">
        <v>1267.8</v>
      </c>
      <c r="AL1572" t="str">
        <f>"$"</f>
        <v>$</v>
      </c>
    </row>
    <row r="1573" spans="1:38" x14ac:dyDescent="0.3">
      <c r="A1573" t="str">
        <f>"SO22000099"</f>
        <v>SO22000099</v>
      </c>
      <c r="B1573" t="str">
        <f>"E000358026"</f>
        <v>E000358026</v>
      </c>
      <c r="C1573" t="str">
        <f>"בסיום הרכבה"</f>
        <v>בסיום הרכבה</v>
      </c>
      <c r="E1573" s="3">
        <v>44629</v>
      </c>
      <c r="F1573" s="3">
        <v>44681</v>
      </c>
      <c r="G1573" t="str">
        <f>"700065"</f>
        <v>700065</v>
      </c>
      <c r="H1573" t="str">
        <f>"אלתא מערכות בע""מ"</f>
        <v>אלתא מערכות בע"מ</v>
      </c>
      <c r="I1573" t="str">
        <f>"רחמים זרוק"</f>
        <v>רחמים זרוק</v>
      </c>
      <c r="J1573" t="str">
        <f>"OP-AR02149"</f>
        <v>OP-AR02149</v>
      </c>
      <c r="K1573" s="1" t="str">
        <f>"9009M497-001  HARNESS WRS97 - TEST CABLE"</f>
        <v>9009M497-001  HARNESS WRS97 - TEST CABLE</v>
      </c>
      <c r="L1573">
        <v>2</v>
      </c>
      <c r="M1573" t="str">
        <f>"PR22000223"</f>
        <v>PR22000223</v>
      </c>
      <c r="N1573" t="str">
        <f>"HARNESS W2"</f>
        <v>HARNESS W2</v>
      </c>
      <c r="O1573">
        <v>278.83</v>
      </c>
      <c r="P1573" t="str">
        <f>"$"</f>
        <v>$</v>
      </c>
      <c r="Q1573" t="str">
        <f>"117"</f>
        <v>117</v>
      </c>
      <c r="R1573" t="str">
        <f>"רתמות"</f>
        <v>רתמות</v>
      </c>
      <c r="S1573" t="str">
        <f>"040"</f>
        <v>040</v>
      </c>
      <c r="T1573" t="str">
        <f>"עמר ליגל"</f>
        <v>עמר ליגל</v>
      </c>
      <c r="U1573">
        <v>0</v>
      </c>
      <c r="V1573">
        <v>0</v>
      </c>
      <c r="W1573">
        <v>278.83</v>
      </c>
      <c r="X1573">
        <v>557.66</v>
      </c>
      <c r="Z1573" t="str">
        <f>"Y"</f>
        <v>Y</v>
      </c>
      <c r="AA1573">
        <v>0</v>
      </c>
      <c r="AC1573">
        <v>0</v>
      </c>
      <c r="AE1573">
        <v>0</v>
      </c>
      <c r="AF1573">
        <v>0</v>
      </c>
      <c r="AG1573">
        <v>915.68</v>
      </c>
      <c r="AH1573">
        <v>0</v>
      </c>
      <c r="AI1573" s="2">
        <v>1831.36</v>
      </c>
      <c r="AJ1573">
        <v>557.66</v>
      </c>
      <c r="AK1573">
        <v>557.66</v>
      </c>
      <c r="AL1573" t="str">
        <f>"$"</f>
        <v>$</v>
      </c>
    </row>
    <row r="1574" spans="1:38" x14ac:dyDescent="0.3">
      <c r="A1574" t="str">
        <f>"SO22000099"</f>
        <v>SO22000099</v>
      </c>
      <c r="B1574" t="str">
        <f>"E000358026"</f>
        <v>E000358026</v>
      </c>
      <c r="C1574" t="str">
        <f>"בסיום הרכבה"</f>
        <v>בסיום הרכבה</v>
      </c>
      <c r="E1574" s="3">
        <v>44629</v>
      </c>
      <c r="F1574" s="3">
        <v>44681</v>
      </c>
      <c r="G1574" t="str">
        <f>"700065"</f>
        <v>700065</v>
      </c>
      <c r="H1574" t="str">
        <f>"אלתא מערכות בע""מ"</f>
        <v>אלתא מערכות בע"מ</v>
      </c>
      <c r="I1574" t="str">
        <f>"רחמים זרוק"</f>
        <v>רחמים זרוק</v>
      </c>
      <c r="J1574" t="str">
        <f>"OP-AR02149"</f>
        <v>OP-AR02149</v>
      </c>
      <c r="K1574" s="1" t="str">
        <f>"9009M497-001  HARNESS WRS97 - TEST CABLE"</f>
        <v>9009M497-001  HARNESS WRS97 - TEST CABLE</v>
      </c>
      <c r="L1574">
        <v>7</v>
      </c>
      <c r="M1574" t="str">
        <f>"PR22000223"</f>
        <v>PR22000223</v>
      </c>
      <c r="N1574" t="str">
        <f>"HARNESS W2"</f>
        <v>HARNESS W2</v>
      </c>
      <c r="O1574">
        <v>278.83</v>
      </c>
      <c r="P1574" t="str">
        <f>"$"</f>
        <v>$</v>
      </c>
      <c r="Q1574" t="str">
        <f>"117"</f>
        <v>117</v>
      </c>
      <c r="R1574" t="str">
        <f>"רתמות"</f>
        <v>רתמות</v>
      </c>
      <c r="S1574" t="str">
        <f>"040"</f>
        <v>040</v>
      </c>
      <c r="T1574" t="str">
        <f>"עמר ליגל"</f>
        <v>עמר ליגל</v>
      </c>
      <c r="U1574">
        <v>0</v>
      </c>
      <c r="V1574">
        <v>0</v>
      </c>
      <c r="W1574">
        <v>278.83</v>
      </c>
      <c r="X1574" s="2">
        <v>1951.81</v>
      </c>
      <c r="Z1574" t="str">
        <f>"Y"</f>
        <v>Y</v>
      </c>
      <c r="AA1574">
        <v>0</v>
      </c>
      <c r="AC1574">
        <v>0</v>
      </c>
      <c r="AE1574">
        <v>0</v>
      </c>
      <c r="AF1574">
        <v>0</v>
      </c>
      <c r="AG1574">
        <v>915.68</v>
      </c>
      <c r="AH1574">
        <v>0</v>
      </c>
      <c r="AI1574" s="2">
        <v>6409.74</v>
      </c>
      <c r="AJ1574" s="2">
        <v>1951.81</v>
      </c>
      <c r="AK1574" s="2">
        <v>1951.81</v>
      </c>
      <c r="AL1574" t="str">
        <f>"$"</f>
        <v>$</v>
      </c>
    </row>
    <row r="1575" spans="1:38" x14ac:dyDescent="0.3">
      <c r="A1575" t="str">
        <f>"SO22000099"</f>
        <v>SO22000099</v>
      </c>
      <c r="B1575" t="str">
        <f>"E000358026"</f>
        <v>E000358026</v>
      </c>
      <c r="C1575" t="str">
        <f>"בסיום הרכבה"</f>
        <v>בסיום הרכבה</v>
      </c>
      <c r="E1575" s="3">
        <v>44629</v>
      </c>
      <c r="F1575" s="3">
        <v>44681</v>
      </c>
      <c r="G1575" t="str">
        <f>"700065"</f>
        <v>700065</v>
      </c>
      <c r="H1575" t="str">
        <f>"אלתא מערכות בע""מ"</f>
        <v>אלתא מערכות בע"מ</v>
      </c>
      <c r="I1575" t="str">
        <f>"רחמים זרוק"</f>
        <v>רחמים זרוק</v>
      </c>
      <c r="J1575" t="str">
        <f>"OP-AR02149"</f>
        <v>OP-AR02149</v>
      </c>
      <c r="K1575" s="1" t="str">
        <f>"9009M497-001  HARNESS WRS97 - TEST CABLE"</f>
        <v>9009M497-001  HARNESS WRS97 - TEST CABLE</v>
      </c>
      <c r="L1575">
        <v>6</v>
      </c>
      <c r="M1575" t="str">
        <f>"PR22000223"</f>
        <v>PR22000223</v>
      </c>
      <c r="N1575" t="str">
        <f>"HARNESS W2"</f>
        <v>HARNESS W2</v>
      </c>
      <c r="O1575">
        <v>278.83</v>
      </c>
      <c r="P1575" t="str">
        <f>"$"</f>
        <v>$</v>
      </c>
      <c r="Q1575" t="str">
        <f>"117"</f>
        <v>117</v>
      </c>
      <c r="R1575" t="str">
        <f>"רתמות"</f>
        <v>רתמות</v>
      </c>
      <c r="S1575" t="str">
        <f>"040"</f>
        <v>040</v>
      </c>
      <c r="T1575" t="str">
        <f>"עמר ליגל"</f>
        <v>עמר ליגל</v>
      </c>
      <c r="U1575">
        <v>0</v>
      </c>
      <c r="V1575">
        <v>0</v>
      </c>
      <c r="W1575">
        <v>278.83</v>
      </c>
      <c r="X1575" s="2">
        <v>1672.98</v>
      </c>
      <c r="Z1575" t="str">
        <f>"Y"</f>
        <v>Y</v>
      </c>
      <c r="AA1575">
        <v>0</v>
      </c>
      <c r="AC1575">
        <v>0</v>
      </c>
      <c r="AE1575">
        <v>0</v>
      </c>
      <c r="AF1575">
        <v>0</v>
      </c>
      <c r="AG1575">
        <v>915.68</v>
      </c>
      <c r="AH1575">
        <v>0</v>
      </c>
      <c r="AI1575" s="2">
        <v>5494.07</v>
      </c>
      <c r="AJ1575" s="2">
        <v>1672.98</v>
      </c>
      <c r="AK1575" s="2">
        <v>1672.98</v>
      </c>
      <c r="AL1575" t="str">
        <f>"$"</f>
        <v>$</v>
      </c>
    </row>
    <row r="1576" spans="1:38" x14ac:dyDescent="0.3">
      <c r="A1576" t="str">
        <f>"SO22000099"</f>
        <v>SO22000099</v>
      </c>
      <c r="B1576" t="str">
        <f>"E000358026"</f>
        <v>E000358026</v>
      </c>
      <c r="C1576" t="str">
        <f>"בסיום הרכבה"</f>
        <v>בסיום הרכבה</v>
      </c>
      <c r="E1576" s="3">
        <v>44629</v>
      </c>
      <c r="F1576" s="3">
        <v>44711</v>
      </c>
      <c r="G1576" t="str">
        <f>"700065"</f>
        <v>700065</v>
      </c>
      <c r="H1576" t="str">
        <f>"אלתא מערכות בע""מ"</f>
        <v>אלתא מערכות בע"מ</v>
      </c>
      <c r="I1576" t="str">
        <f>"רחמים זרוק"</f>
        <v>רחמים זרוק</v>
      </c>
      <c r="J1576" t="str">
        <f>"OP-AR03008"</f>
        <v>OP-AR03008</v>
      </c>
      <c r="K1576" s="1" t="str">
        <f>"1041E207-001   HARNESS W035 - STAR X - POWER OSC"</f>
        <v>1041E207-001   HARNESS W035 - STAR X - POWER OSC</v>
      </c>
      <c r="L1576">
        <v>3</v>
      </c>
      <c r="M1576" t="str">
        <f>"PR22000223"</f>
        <v>PR22000223</v>
      </c>
      <c r="N1576" t="str">
        <f>"HARNESS W2"</f>
        <v>HARNESS W2</v>
      </c>
      <c r="O1576">
        <v>214.99</v>
      </c>
      <c r="P1576" t="str">
        <f>"$"</f>
        <v>$</v>
      </c>
      <c r="Q1576" t="str">
        <f>"117"</f>
        <v>117</v>
      </c>
      <c r="R1576" t="str">
        <f>"רתמות"</f>
        <v>רתמות</v>
      </c>
      <c r="S1576" t="str">
        <f>"040"</f>
        <v>040</v>
      </c>
      <c r="T1576" t="str">
        <f>"עמר ליגל"</f>
        <v>עמר ליגל</v>
      </c>
      <c r="U1576">
        <v>0</v>
      </c>
      <c r="V1576">
        <v>0</v>
      </c>
      <c r="W1576">
        <v>214.99</v>
      </c>
      <c r="X1576">
        <v>644.97</v>
      </c>
      <c r="Z1576" t="str">
        <f>"Y"</f>
        <v>Y</v>
      </c>
      <c r="AA1576">
        <v>0</v>
      </c>
      <c r="AC1576">
        <v>0</v>
      </c>
      <c r="AE1576">
        <v>0</v>
      </c>
      <c r="AF1576">
        <v>0</v>
      </c>
      <c r="AG1576">
        <v>706.03</v>
      </c>
      <c r="AH1576">
        <v>0</v>
      </c>
      <c r="AI1576" s="2">
        <v>2118.08</v>
      </c>
      <c r="AJ1576">
        <v>644.97</v>
      </c>
      <c r="AK1576">
        <v>644.97</v>
      </c>
      <c r="AL1576" t="str">
        <f>"$"</f>
        <v>$</v>
      </c>
    </row>
    <row r="1577" spans="1:38" x14ac:dyDescent="0.3">
      <c r="A1577" t="str">
        <f>"SO22000102"</f>
        <v>SO22000102</v>
      </c>
      <c r="C1577" t="str">
        <f>"בוצעה"</f>
        <v>בוצעה</v>
      </c>
      <c r="E1577" s="3">
        <v>44629</v>
      </c>
      <c r="F1577" s="3">
        <v>44629</v>
      </c>
      <c r="G1577" t="str">
        <f>"700065"</f>
        <v>700065</v>
      </c>
      <c r="H1577" t="str">
        <f>"אלתא מערכות בע""מ"</f>
        <v>אלתא מערכות בע"מ</v>
      </c>
      <c r="I1577" t="str">
        <f>"יהושע חדד"</f>
        <v>יהושע חדד</v>
      </c>
      <c r="J1577" t="str">
        <f>"PA0700310"</f>
        <v>PA0700310</v>
      </c>
      <c r="K1577" s="1" t="str">
        <f>"connector CA3102E32-17P-B-04"</f>
        <v>connector CA3102E32-17P-B-04</v>
      </c>
      <c r="L1577">
        <v>1</v>
      </c>
      <c r="O1577">
        <v>0</v>
      </c>
      <c r="P1577" t="str">
        <f>"$"</f>
        <v>$</v>
      </c>
      <c r="Q1577" t="str">
        <f>"117"</f>
        <v>117</v>
      </c>
      <c r="R1577" t="str">
        <f>"רתמות"</f>
        <v>רתמות</v>
      </c>
      <c r="S1577" t="str">
        <f>"001"</f>
        <v>001</v>
      </c>
      <c r="T1577" t="str">
        <f>"גנם הודיה"</f>
        <v>גנם הודיה</v>
      </c>
      <c r="U1577">
        <v>0</v>
      </c>
      <c r="V1577">
        <v>0</v>
      </c>
      <c r="W1577">
        <v>0</v>
      </c>
      <c r="X1577">
        <v>0</v>
      </c>
      <c r="Z1577" t="str">
        <f>"Y"</f>
        <v>Y</v>
      </c>
      <c r="AA1577">
        <v>0</v>
      </c>
      <c r="AC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 t="str">
        <f>"$"</f>
        <v>$</v>
      </c>
    </row>
    <row r="1578" spans="1:38" x14ac:dyDescent="0.3">
      <c r="A1578" t="str">
        <f>"SO22000105"</f>
        <v>SO22000105</v>
      </c>
      <c r="B1578" t="str">
        <f>"E000359029"</f>
        <v>E000359029</v>
      </c>
      <c r="C1578" t="str">
        <f>"בוצעה"</f>
        <v>בוצעה</v>
      </c>
      <c r="E1578" s="3">
        <v>44635</v>
      </c>
      <c r="F1578" s="3">
        <v>44803</v>
      </c>
      <c r="G1578" t="str">
        <f>"700065"</f>
        <v>700065</v>
      </c>
      <c r="H1578" t="str">
        <f>"אלתא מערכות בע""מ"</f>
        <v>אלתא מערכות בע"מ</v>
      </c>
      <c r="I1578" t="str">
        <f>"רחמים זרוק"</f>
        <v>רחמים זרוק</v>
      </c>
      <c r="J1578" t="str">
        <f>"OP-AR03010"</f>
        <v>OP-AR03010</v>
      </c>
      <c r="K1578" s="1" t="str">
        <f>"2052B281-001   CABLE ASSY ASW136"</f>
        <v>2052B281-001   CABLE ASSY ASW136</v>
      </c>
      <c r="L1578">
        <v>1</v>
      </c>
      <c r="M1578" t="str">
        <f>"PR22000231"</f>
        <v>PR22000231</v>
      </c>
      <c r="N1578" t="str">
        <f>"רתמות"</f>
        <v>רתמות</v>
      </c>
      <c r="O1578">
        <v>783.36</v>
      </c>
      <c r="P1578" t="str">
        <f>"$"</f>
        <v>$</v>
      </c>
      <c r="Q1578" t="str">
        <f>"117"</f>
        <v>117</v>
      </c>
      <c r="R1578" t="str">
        <f>"רתמות"</f>
        <v>רתמות</v>
      </c>
      <c r="S1578" t="str">
        <f>"040"</f>
        <v>040</v>
      </c>
      <c r="T1578" t="str">
        <f>"עמר ליגל"</f>
        <v>עמר ליגל</v>
      </c>
      <c r="U1578">
        <v>0</v>
      </c>
      <c r="V1578">
        <v>0</v>
      </c>
      <c r="W1578">
        <v>783.36</v>
      </c>
      <c r="X1578">
        <v>783.36</v>
      </c>
      <c r="Z1578" t="str">
        <f>"Y"</f>
        <v>Y</v>
      </c>
      <c r="AA1578">
        <v>0</v>
      </c>
      <c r="AC1578">
        <v>0</v>
      </c>
      <c r="AE1578">
        <v>0</v>
      </c>
      <c r="AF1578">
        <v>0</v>
      </c>
      <c r="AG1578" s="2">
        <v>2574.9</v>
      </c>
      <c r="AH1578">
        <v>0</v>
      </c>
      <c r="AI1578" s="2">
        <v>2574.9</v>
      </c>
      <c r="AJ1578">
        <v>783.36</v>
      </c>
      <c r="AK1578">
        <v>783.36</v>
      </c>
      <c r="AL1578" t="str">
        <f>"$"</f>
        <v>$</v>
      </c>
    </row>
    <row r="1579" spans="1:38" x14ac:dyDescent="0.3">
      <c r="A1579" t="str">
        <f>"SO22000105"</f>
        <v>SO22000105</v>
      </c>
      <c r="B1579" t="str">
        <f>"E000359029"</f>
        <v>E000359029</v>
      </c>
      <c r="C1579" t="str">
        <f>"בוצעה"</f>
        <v>בוצעה</v>
      </c>
      <c r="E1579" s="3">
        <v>44635</v>
      </c>
      <c r="F1579" s="3">
        <v>44803</v>
      </c>
      <c r="G1579" t="str">
        <f>"700065"</f>
        <v>700065</v>
      </c>
      <c r="H1579" t="str">
        <f>"אלתא מערכות בע""מ"</f>
        <v>אלתא מערכות בע"מ</v>
      </c>
      <c r="I1579" t="str">
        <f>"רחמים זרוק"</f>
        <v>רחמים זרוק</v>
      </c>
      <c r="J1579" t="str">
        <f>"OP-AR03011"</f>
        <v>OP-AR03011</v>
      </c>
      <c r="K1579" s="1" t="str">
        <f>"2083B310-002   VPW2 CABLE ASSY"</f>
        <v>2083B310-002   VPW2 CABLE ASSY</v>
      </c>
      <c r="L1579">
        <v>1</v>
      </c>
      <c r="M1579" t="str">
        <f>"PR22000231"</f>
        <v>PR22000231</v>
      </c>
      <c r="N1579" t="str">
        <f>"רתמות"</f>
        <v>רתמות</v>
      </c>
      <c r="O1579" s="2">
        <v>1022.92</v>
      </c>
      <c r="P1579" t="str">
        <f>"$"</f>
        <v>$</v>
      </c>
      <c r="Q1579" t="str">
        <f>"117"</f>
        <v>117</v>
      </c>
      <c r="R1579" t="str">
        <f>"רתמות"</f>
        <v>רתמות</v>
      </c>
      <c r="S1579" t="str">
        <f>"040"</f>
        <v>040</v>
      </c>
      <c r="T1579" t="str">
        <f>"עמר ליגל"</f>
        <v>עמר ליגל</v>
      </c>
      <c r="U1579">
        <v>0</v>
      </c>
      <c r="V1579">
        <v>0</v>
      </c>
      <c r="W1579" s="2">
        <v>1022.92</v>
      </c>
      <c r="X1579" s="2">
        <v>1022.92</v>
      </c>
      <c r="Z1579" t="str">
        <f>"Y"</f>
        <v>Y</v>
      </c>
      <c r="AA1579">
        <v>0</v>
      </c>
      <c r="AC1579">
        <v>0</v>
      </c>
      <c r="AE1579">
        <v>0</v>
      </c>
      <c r="AF1579">
        <v>0</v>
      </c>
      <c r="AG1579" s="2">
        <v>3362.34</v>
      </c>
      <c r="AH1579">
        <v>0</v>
      </c>
      <c r="AI1579" s="2">
        <v>3362.34</v>
      </c>
      <c r="AJ1579" s="2">
        <v>1022.92</v>
      </c>
      <c r="AK1579" s="2">
        <v>1022.92</v>
      </c>
      <c r="AL1579" t="str">
        <f>"$"</f>
        <v>$</v>
      </c>
    </row>
    <row r="1580" spans="1:38" x14ac:dyDescent="0.3">
      <c r="A1580" t="str">
        <f>"SO22000105"</f>
        <v>SO22000105</v>
      </c>
      <c r="B1580" t="str">
        <f>"E000359029"</f>
        <v>E000359029</v>
      </c>
      <c r="C1580" t="str">
        <f>"בוצעה"</f>
        <v>בוצעה</v>
      </c>
      <c r="E1580" s="3">
        <v>44635</v>
      </c>
      <c r="F1580" s="3">
        <v>44803</v>
      </c>
      <c r="G1580" t="str">
        <f>"700065"</f>
        <v>700065</v>
      </c>
      <c r="H1580" t="str">
        <f>"אלתא מערכות בע""מ"</f>
        <v>אלתא מערכות בע"מ</v>
      </c>
      <c r="I1580" t="str">
        <f>"רחמים זרוק"</f>
        <v>רחמים זרוק</v>
      </c>
      <c r="J1580" t="str">
        <f>"OP-AR02349"</f>
        <v>OP-AR02349</v>
      </c>
      <c r="K1580" s="1" t="str">
        <f>"2202B030-001     TRW20 CABLE ASSY"</f>
        <v>2202B030-001     TRW20 CABLE ASSY</v>
      </c>
      <c r="L1580">
        <v>1</v>
      </c>
      <c r="M1580" t="str">
        <f>"PR22000231"</f>
        <v>PR22000231</v>
      </c>
      <c r="N1580" t="str">
        <f>"רתמות"</f>
        <v>רתמות</v>
      </c>
      <c r="O1580">
        <v>170.37</v>
      </c>
      <c r="P1580" t="str">
        <f>"$"</f>
        <v>$</v>
      </c>
      <c r="Q1580" t="str">
        <f>"117"</f>
        <v>117</v>
      </c>
      <c r="R1580" t="str">
        <f>"רתמות"</f>
        <v>רתמות</v>
      </c>
      <c r="S1580" t="str">
        <f>"040"</f>
        <v>040</v>
      </c>
      <c r="T1580" t="str">
        <f>"עמר ליגל"</f>
        <v>עמר ליגל</v>
      </c>
      <c r="U1580">
        <v>0</v>
      </c>
      <c r="V1580">
        <v>0</v>
      </c>
      <c r="W1580">
        <v>170.37</v>
      </c>
      <c r="X1580">
        <v>170.37</v>
      </c>
      <c r="Z1580" t="str">
        <f>"Y"</f>
        <v>Y</v>
      </c>
      <c r="AA1580">
        <v>0</v>
      </c>
      <c r="AC1580">
        <v>0</v>
      </c>
      <c r="AE1580">
        <v>0</v>
      </c>
      <c r="AF1580">
        <v>0</v>
      </c>
      <c r="AG1580">
        <v>560.01</v>
      </c>
      <c r="AH1580">
        <v>0</v>
      </c>
      <c r="AI1580">
        <v>560.01</v>
      </c>
      <c r="AJ1580">
        <v>170.37</v>
      </c>
      <c r="AK1580">
        <v>170.37</v>
      </c>
      <c r="AL1580" t="str">
        <f>"$"</f>
        <v>$</v>
      </c>
    </row>
    <row r="1581" spans="1:38" x14ac:dyDescent="0.3">
      <c r="A1581" t="str">
        <f>"SO22000105"</f>
        <v>SO22000105</v>
      </c>
      <c r="B1581" t="str">
        <f>"E000359029"</f>
        <v>E000359029</v>
      </c>
      <c r="C1581" t="str">
        <f>"בוצעה"</f>
        <v>בוצעה</v>
      </c>
      <c r="E1581" s="3">
        <v>44635</v>
      </c>
      <c r="F1581" s="3">
        <v>44803</v>
      </c>
      <c r="G1581" t="str">
        <f>"700065"</f>
        <v>700065</v>
      </c>
      <c r="H1581" t="str">
        <f>"אלתא מערכות בע""מ"</f>
        <v>אלתא מערכות בע"מ</v>
      </c>
      <c r="I1581" t="str">
        <f>"רחמים זרוק"</f>
        <v>רחמים זרוק</v>
      </c>
      <c r="J1581" t="str">
        <f>"OP-AR02349"</f>
        <v>OP-AR02349</v>
      </c>
      <c r="K1581" s="1" t="str">
        <f>"2202B030-001     TRW20 CABLE ASSY"</f>
        <v>2202B030-001     TRW20 CABLE ASSY</v>
      </c>
      <c r="L1581">
        <v>1</v>
      </c>
      <c r="M1581" t="str">
        <f>"PR22000231"</f>
        <v>PR22000231</v>
      </c>
      <c r="N1581" t="str">
        <f>"רתמות"</f>
        <v>רתמות</v>
      </c>
      <c r="O1581">
        <v>170.37</v>
      </c>
      <c r="P1581" t="str">
        <f>"$"</f>
        <v>$</v>
      </c>
      <c r="Q1581" t="str">
        <f>"117"</f>
        <v>117</v>
      </c>
      <c r="R1581" t="str">
        <f>"רתמות"</f>
        <v>רתמות</v>
      </c>
      <c r="S1581" t="str">
        <f>"040"</f>
        <v>040</v>
      </c>
      <c r="T1581" t="str">
        <f>"עמר ליגל"</f>
        <v>עמר ליגל</v>
      </c>
      <c r="U1581">
        <v>0</v>
      </c>
      <c r="V1581">
        <v>0</v>
      </c>
      <c r="W1581">
        <v>170.37</v>
      </c>
      <c r="X1581">
        <v>170.37</v>
      </c>
      <c r="Z1581" t="str">
        <f>"Y"</f>
        <v>Y</v>
      </c>
      <c r="AA1581">
        <v>0</v>
      </c>
      <c r="AC1581">
        <v>0</v>
      </c>
      <c r="AE1581">
        <v>0</v>
      </c>
      <c r="AF1581">
        <v>0</v>
      </c>
      <c r="AG1581">
        <v>560.01</v>
      </c>
      <c r="AH1581">
        <v>0</v>
      </c>
      <c r="AI1581">
        <v>560.01</v>
      </c>
      <c r="AJ1581">
        <v>170.37</v>
      </c>
      <c r="AK1581">
        <v>170.37</v>
      </c>
      <c r="AL1581" t="str">
        <f>"$"</f>
        <v>$</v>
      </c>
    </row>
    <row r="1582" spans="1:38" x14ac:dyDescent="0.3">
      <c r="A1582" t="str">
        <f>"SO22000105"</f>
        <v>SO22000105</v>
      </c>
      <c r="B1582" t="str">
        <f>"E000359029"</f>
        <v>E000359029</v>
      </c>
      <c r="C1582" t="str">
        <f>"בוצעה"</f>
        <v>בוצעה</v>
      </c>
      <c r="E1582" s="3">
        <v>44635</v>
      </c>
      <c r="F1582" s="3">
        <v>44803</v>
      </c>
      <c r="G1582" t="str">
        <f>"700065"</f>
        <v>700065</v>
      </c>
      <c r="H1582" t="str">
        <f>"אלתא מערכות בע""מ"</f>
        <v>אלתא מערכות בע"מ</v>
      </c>
      <c r="I1582" t="str">
        <f>"רחמים זרוק"</f>
        <v>רחמים זרוק</v>
      </c>
      <c r="J1582" t="str">
        <f>"OP-AR02350"</f>
        <v>OP-AR02350</v>
      </c>
      <c r="K1582" s="1" t="str">
        <f>"2202B032-001    TRW21 CABLE ASSY"</f>
        <v>2202B032-001    TRW21 CABLE ASSY</v>
      </c>
      <c r="L1582">
        <v>1</v>
      </c>
      <c r="M1582" t="str">
        <f>"PR22000231"</f>
        <v>PR22000231</v>
      </c>
      <c r="N1582" t="str">
        <f>"רתמות"</f>
        <v>רתמות</v>
      </c>
      <c r="O1582">
        <v>155.47999999999999</v>
      </c>
      <c r="P1582" t="str">
        <f>"$"</f>
        <v>$</v>
      </c>
      <c r="Q1582" t="str">
        <f>"117"</f>
        <v>117</v>
      </c>
      <c r="R1582" t="str">
        <f>"רתמות"</f>
        <v>רתמות</v>
      </c>
      <c r="S1582" t="str">
        <f>"040"</f>
        <v>040</v>
      </c>
      <c r="T1582" t="str">
        <f>"עמר ליגל"</f>
        <v>עמר ליגל</v>
      </c>
      <c r="U1582">
        <v>0</v>
      </c>
      <c r="V1582">
        <v>0</v>
      </c>
      <c r="W1582">
        <v>155.47999999999999</v>
      </c>
      <c r="X1582">
        <v>155.47999999999999</v>
      </c>
      <c r="Z1582" t="str">
        <f>"Y"</f>
        <v>Y</v>
      </c>
      <c r="AA1582">
        <v>0</v>
      </c>
      <c r="AC1582">
        <v>0</v>
      </c>
      <c r="AE1582">
        <v>0</v>
      </c>
      <c r="AF1582">
        <v>0</v>
      </c>
      <c r="AG1582">
        <v>511.06</v>
      </c>
      <c r="AH1582">
        <v>0</v>
      </c>
      <c r="AI1582">
        <v>511.06</v>
      </c>
      <c r="AJ1582">
        <v>155.47999999999999</v>
      </c>
      <c r="AK1582">
        <v>155.47999999999999</v>
      </c>
      <c r="AL1582" t="str">
        <f>"$"</f>
        <v>$</v>
      </c>
    </row>
    <row r="1583" spans="1:38" x14ac:dyDescent="0.3">
      <c r="A1583" t="str">
        <f>"SO22000105"</f>
        <v>SO22000105</v>
      </c>
      <c r="B1583" t="str">
        <f>"E000359029"</f>
        <v>E000359029</v>
      </c>
      <c r="C1583" t="str">
        <f>"בוצעה"</f>
        <v>בוצעה</v>
      </c>
      <c r="E1583" s="3">
        <v>44635</v>
      </c>
      <c r="F1583" s="3">
        <v>44803</v>
      </c>
      <c r="G1583" t="str">
        <f>"700065"</f>
        <v>700065</v>
      </c>
      <c r="H1583" t="str">
        <f>"אלתא מערכות בע""מ"</f>
        <v>אלתא מערכות בע"מ</v>
      </c>
      <c r="I1583" t="str">
        <f>"רחמים זרוק"</f>
        <v>רחמים זרוק</v>
      </c>
      <c r="J1583" t="str">
        <f>"OP-AR02350"</f>
        <v>OP-AR02350</v>
      </c>
      <c r="K1583" s="1" t="str">
        <f>"2202B032-001    TRW21 CABLE ASSY"</f>
        <v>2202B032-001    TRW21 CABLE ASSY</v>
      </c>
      <c r="L1583">
        <v>1</v>
      </c>
      <c r="M1583" t="str">
        <f>"PR22000231"</f>
        <v>PR22000231</v>
      </c>
      <c r="N1583" t="str">
        <f>"רתמות"</f>
        <v>רתמות</v>
      </c>
      <c r="O1583">
        <v>155.47999999999999</v>
      </c>
      <c r="P1583" t="str">
        <f>"$"</f>
        <v>$</v>
      </c>
      <c r="Q1583" t="str">
        <f>"117"</f>
        <v>117</v>
      </c>
      <c r="R1583" t="str">
        <f>"רתמות"</f>
        <v>רתמות</v>
      </c>
      <c r="S1583" t="str">
        <f>"040"</f>
        <v>040</v>
      </c>
      <c r="T1583" t="str">
        <f>"עמר ליגל"</f>
        <v>עמר ליגל</v>
      </c>
      <c r="U1583">
        <v>0</v>
      </c>
      <c r="V1583">
        <v>0</v>
      </c>
      <c r="W1583">
        <v>155.47999999999999</v>
      </c>
      <c r="X1583">
        <v>155.47999999999999</v>
      </c>
      <c r="Z1583" t="str">
        <f>"Y"</f>
        <v>Y</v>
      </c>
      <c r="AA1583">
        <v>0</v>
      </c>
      <c r="AC1583">
        <v>0</v>
      </c>
      <c r="AE1583">
        <v>0</v>
      </c>
      <c r="AF1583">
        <v>0</v>
      </c>
      <c r="AG1583">
        <v>511.06</v>
      </c>
      <c r="AH1583">
        <v>0</v>
      </c>
      <c r="AI1583">
        <v>511.06</v>
      </c>
      <c r="AJ1583">
        <v>155.47999999999999</v>
      </c>
      <c r="AK1583">
        <v>155.47999999999999</v>
      </c>
      <c r="AL1583" t="str">
        <f>"$"</f>
        <v>$</v>
      </c>
    </row>
    <row r="1584" spans="1:38" x14ac:dyDescent="0.3">
      <c r="A1584" t="str">
        <f>"SO22000105"</f>
        <v>SO22000105</v>
      </c>
      <c r="B1584" t="str">
        <f>"E000359029"</f>
        <v>E000359029</v>
      </c>
      <c r="C1584" t="str">
        <f>"בוצעה"</f>
        <v>בוצעה</v>
      </c>
      <c r="E1584" s="3">
        <v>44635</v>
      </c>
      <c r="F1584" s="3">
        <v>44803</v>
      </c>
      <c r="G1584" t="str">
        <f>"700065"</f>
        <v>700065</v>
      </c>
      <c r="H1584" t="str">
        <f>"אלתא מערכות בע""מ"</f>
        <v>אלתא מערכות בע"מ</v>
      </c>
      <c r="I1584" t="str">
        <f>"רחמים זרוק"</f>
        <v>רחמים זרוק</v>
      </c>
      <c r="J1584" t="str">
        <f>"OP-AR02351"</f>
        <v>OP-AR02351</v>
      </c>
      <c r="K1584" s="1" t="str">
        <f>"2202B034-001    TRW22 CABLE ASSY"</f>
        <v>2202B034-001    TRW22 CABLE ASSY</v>
      </c>
      <c r="L1584">
        <v>1</v>
      </c>
      <c r="M1584" t="str">
        <f>"PR22000231"</f>
        <v>PR22000231</v>
      </c>
      <c r="N1584" t="str">
        <f>"רתמות"</f>
        <v>רתמות</v>
      </c>
      <c r="O1584">
        <v>134.62</v>
      </c>
      <c r="P1584" t="str">
        <f>"$"</f>
        <v>$</v>
      </c>
      <c r="Q1584" t="str">
        <f>"117"</f>
        <v>117</v>
      </c>
      <c r="R1584" t="str">
        <f>"רתמות"</f>
        <v>רתמות</v>
      </c>
      <c r="S1584" t="str">
        <f>"040"</f>
        <v>040</v>
      </c>
      <c r="T1584" t="str">
        <f>"עמר ליגל"</f>
        <v>עמר ליגל</v>
      </c>
      <c r="U1584">
        <v>0</v>
      </c>
      <c r="V1584">
        <v>0</v>
      </c>
      <c r="W1584">
        <v>134.62</v>
      </c>
      <c r="X1584">
        <v>134.62</v>
      </c>
      <c r="Z1584" t="str">
        <f>"Y"</f>
        <v>Y</v>
      </c>
      <c r="AA1584">
        <v>0</v>
      </c>
      <c r="AC1584">
        <v>0</v>
      </c>
      <c r="AE1584">
        <v>0</v>
      </c>
      <c r="AF1584">
        <v>0</v>
      </c>
      <c r="AG1584">
        <v>442.5</v>
      </c>
      <c r="AH1584">
        <v>0</v>
      </c>
      <c r="AI1584">
        <v>442.5</v>
      </c>
      <c r="AJ1584">
        <v>134.62</v>
      </c>
      <c r="AK1584">
        <v>134.62</v>
      </c>
      <c r="AL1584" t="str">
        <f>"$"</f>
        <v>$</v>
      </c>
    </row>
    <row r="1585" spans="1:38" x14ac:dyDescent="0.3">
      <c r="A1585" t="str">
        <f>"SO22000105"</f>
        <v>SO22000105</v>
      </c>
      <c r="B1585" t="str">
        <f>"E000359029"</f>
        <v>E000359029</v>
      </c>
      <c r="C1585" t="str">
        <f>"בוצעה"</f>
        <v>בוצעה</v>
      </c>
      <c r="E1585" s="3">
        <v>44635</v>
      </c>
      <c r="F1585" s="3">
        <v>44803</v>
      </c>
      <c r="G1585" t="str">
        <f>"700065"</f>
        <v>700065</v>
      </c>
      <c r="H1585" t="str">
        <f>"אלתא מערכות בע""מ"</f>
        <v>אלתא מערכות בע"מ</v>
      </c>
      <c r="I1585" t="str">
        <f>"רחמים זרוק"</f>
        <v>רחמים זרוק</v>
      </c>
      <c r="J1585" t="str">
        <f>"OP-AR02351"</f>
        <v>OP-AR02351</v>
      </c>
      <c r="K1585" s="1" t="str">
        <f>"2202B034-001    TRW22 CABLE ASSY"</f>
        <v>2202B034-001    TRW22 CABLE ASSY</v>
      </c>
      <c r="L1585">
        <v>1</v>
      </c>
      <c r="M1585" t="str">
        <f>"PR22000231"</f>
        <v>PR22000231</v>
      </c>
      <c r="N1585" t="str">
        <f>"רתמות"</f>
        <v>רתמות</v>
      </c>
      <c r="O1585">
        <v>134.62</v>
      </c>
      <c r="P1585" t="str">
        <f>"$"</f>
        <v>$</v>
      </c>
      <c r="Q1585" t="str">
        <f>"117"</f>
        <v>117</v>
      </c>
      <c r="R1585" t="str">
        <f>"רתמות"</f>
        <v>רתמות</v>
      </c>
      <c r="S1585" t="str">
        <f>"040"</f>
        <v>040</v>
      </c>
      <c r="T1585" t="str">
        <f>"עמר ליגל"</f>
        <v>עמר ליגל</v>
      </c>
      <c r="U1585">
        <v>0</v>
      </c>
      <c r="V1585">
        <v>0</v>
      </c>
      <c r="W1585">
        <v>134.62</v>
      </c>
      <c r="X1585">
        <v>134.62</v>
      </c>
      <c r="Z1585" t="str">
        <f>"Y"</f>
        <v>Y</v>
      </c>
      <c r="AA1585">
        <v>0</v>
      </c>
      <c r="AC1585">
        <v>0</v>
      </c>
      <c r="AE1585">
        <v>0</v>
      </c>
      <c r="AF1585">
        <v>0</v>
      </c>
      <c r="AG1585">
        <v>442.5</v>
      </c>
      <c r="AH1585">
        <v>0</v>
      </c>
      <c r="AI1585">
        <v>442.5</v>
      </c>
      <c r="AJ1585">
        <v>134.62</v>
      </c>
      <c r="AK1585">
        <v>134.62</v>
      </c>
      <c r="AL1585" t="str">
        <f>"$"</f>
        <v>$</v>
      </c>
    </row>
    <row r="1586" spans="1:38" x14ac:dyDescent="0.3">
      <c r="A1586" t="str">
        <f>"SO22000105"</f>
        <v>SO22000105</v>
      </c>
      <c r="B1586" t="str">
        <f>"E000359029"</f>
        <v>E000359029</v>
      </c>
      <c r="C1586" t="str">
        <f>"בוצעה"</f>
        <v>בוצעה</v>
      </c>
      <c r="E1586" s="3">
        <v>44635</v>
      </c>
      <c r="F1586" s="3">
        <v>44742</v>
      </c>
      <c r="G1586" t="str">
        <f>"700065"</f>
        <v>700065</v>
      </c>
      <c r="H1586" t="str">
        <f>"אלתא מערכות בע""מ"</f>
        <v>אלתא מערכות בע"מ</v>
      </c>
      <c r="I1586" t="str">
        <f>"רחמים זרוק"</f>
        <v>רחמים זרוק</v>
      </c>
      <c r="J1586" t="str">
        <f>"OP-AR02352"</f>
        <v>OP-AR02352</v>
      </c>
      <c r="K1586" s="1" t="str">
        <f>"2202B036-001    TRW23 CABLE ASSY"</f>
        <v>2202B036-001    TRW23 CABLE ASSY</v>
      </c>
      <c r="L1586">
        <v>1</v>
      </c>
      <c r="M1586" t="str">
        <f>"PR22000231"</f>
        <v>PR22000231</v>
      </c>
      <c r="N1586" t="str">
        <f>"רתמות"</f>
        <v>רתמות</v>
      </c>
      <c r="O1586">
        <v>81.290000000000006</v>
      </c>
      <c r="P1586" t="str">
        <f>"$"</f>
        <v>$</v>
      </c>
      <c r="Q1586" t="str">
        <f>"117"</f>
        <v>117</v>
      </c>
      <c r="R1586" t="str">
        <f>"רתמות"</f>
        <v>רתמות</v>
      </c>
      <c r="S1586" t="str">
        <f>"040"</f>
        <v>040</v>
      </c>
      <c r="T1586" t="str">
        <f>"עמר ליגל"</f>
        <v>עמר ליגל</v>
      </c>
      <c r="U1586">
        <v>0</v>
      </c>
      <c r="V1586">
        <v>0</v>
      </c>
      <c r="W1586">
        <v>81.290000000000006</v>
      </c>
      <c r="X1586">
        <v>81.290000000000006</v>
      </c>
      <c r="Z1586" t="str">
        <f>"Y"</f>
        <v>Y</v>
      </c>
      <c r="AA1586">
        <v>0</v>
      </c>
      <c r="AC1586">
        <v>0</v>
      </c>
      <c r="AE1586">
        <v>0</v>
      </c>
      <c r="AF1586">
        <v>0</v>
      </c>
      <c r="AG1586">
        <v>267.2</v>
      </c>
      <c r="AH1586">
        <v>0</v>
      </c>
      <c r="AI1586">
        <v>267.2</v>
      </c>
      <c r="AJ1586">
        <v>81.290000000000006</v>
      </c>
      <c r="AK1586">
        <v>81.290000000000006</v>
      </c>
      <c r="AL1586" t="str">
        <f>"$"</f>
        <v>$</v>
      </c>
    </row>
    <row r="1587" spans="1:38" x14ac:dyDescent="0.3">
      <c r="A1587" t="str">
        <f>"SO22000105"</f>
        <v>SO22000105</v>
      </c>
      <c r="B1587" t="str">
        <f>"E000359029"</f>
        <v>E000359029</v>
      </c>
      <c r="C1587" t="str">
        <f>"בוצעה"</f>
        <v>בוצעה</v>
      </c>
      <c r="E1587" s="3">
        <v>44635</v>
      </c>
      <c r="F1587" s="3">
        <v>44742</v>
      </c>
      <c r="G1587" t="str">
        <f>"700065"</f>
        <v>700065</v>
      </c>
      <c r="H1587" t="str">
        <f>"אלתא מערכות בע""מ"</f>
        <v>אלתא מערכות בע"מ</v>
      </c>
      <c r="I1587" t="str">
        <f>"רחמים זרוק"</f>
        <v>רחמים זרוק</v>
      </c>
      <c r="J1587" t="str">
        <f>"OP-AR02352"</f>
        <v>OP-AR02352</v>
      </c>
      <c r="K1587" s="1" t="str">
        <f>"2202B036-001    TRW23 CABLE ASSY"</f>
        <v>2202B036-001    TRW23 CABLE ASSY</v>
      </c>
      <c r="L1587">
        <v>1</v>
      </c>
      <c r="M1587" t="str">
        <f>"PR22000231"</f>
        <v>PR22000231</v>
      </c>
      <c r="N1587" t="str">
        <f>"רתמות"</f>
        <v>רתמות</v>
      </c>
      <c r="O1587">
        <v>81.290000000000006</v>
      </c>
      <c r="P1587" t="str">
        <f>"$"</f>
        <v>$</v>
      </c>
      <c r="Q1587" t="str">
        <f>"117"</f>
        <v>117</v>
      </c>
      <c r="R1587" t="str">
        <f>"רתמות"</f>
        <v>רתמות</v>
      </c>
      <c r="S1587" t="str">
        <f>"040"</f>
        <v>040</v>
      </c>
      <c r="T1587" t="str">
        <f>"עמר ליגל"</f>
        <v>עמר ליגל</v>
      </c>
      <c r="U1587">
        <v>0</v>
      </c>
      <c r="V1587">
        <v>0</v>
      </c>
      <c r="W1587">
        <v>81.290000000000006</v>
      </c>
      <c r="X1587">
        <v>81.290000000000006</v>
      </c>
      <c r="Z1587" t="str">
        <f>"Y"</f>
        <v>Y</v>
      </c>
      <c r="AA1587">
        <v>0</v>
      </c>
      <c r="AC1587">
        <v>0</v>
      </c>
      <c r="AE1587">
        <v>0</v>
      </c>
      <c r="AF1587">
        <v>0</v>
      </c>
      <c r="AG1587">
        <v>267.2</v>
      </c>
      <c r="AH1587">
        <v>0</v>
      </c>
      <c r="AI1587">
        <v>267.2</v>
      </c>
      <c r="AJ1587">
        <v>81.290000000000006</v>
      </c>
      <c r="AK1587">
        <v>81.290000000000006</v>
      </c>
      <c r="AL1587" t="str">
        <f>"$"</f>
        <v>$</v>
      </c>
    </row>
    <row r="1588" spans="1:38" x14ac:dyDescent="0.3">
      <c r="A1588" t="str">
        <f>"SO22000105"</f>
        <v>SO22000105</v>
      </c>
      <c r="B1588" t="str">
        <f>"E000359029"</f>
        <v>E000359029</v>
      </c>
      <c r="C1588" t="str">
        <f>"בוצעה"</f>
        <v>בוצעה</v>
      </c>
      <c r="E1588" s="3">
        <v>44635</v>
      </c>
      <c r="F1588" s="3">
        <v>44803</v>
      </c>
      <c r="G1588" t="str">
        <f>"700065"</f>
        <v>700065</v>
      </c>
      <c r="H1588" t="str">
        <f>"אלתא מערכות בע""מ"</f>
        <v>אלתא מערכות בע"מ</v>
      </c>
      <c r="I1588" t="str">
        <f>"רחמים זרוק"</f>
        <v>רחמים זרוק</v>
      </c>
      <c r="J1588" t="str">
        <f>"OP-AR03016"</f>
        <v>OP-AR03016</v>
      </c>
      <c r="K1588" s="1" t="str">
        <f>"2203B860-001   POWER TO UUT CABLE ASSY"</f>
        <v>2203B860-001   POWER TO UUT CABLE ASSY</v>
      </c>
      <c r="L1588">
        <v>1</v>
      </c>
      <c r="M1588" t="str">
        <f>"PR22000231"</f>
        <v>PR22000231</v>
      </c>
      <c r="N1588" t="str">
        <f>"רתמות"</f>
        <v>רתמות</v>
      </c>
      <c r="O1588">
        <v>867.31</v>
      </c>
      <c r="P1588" t="str">
        <f>"$"</f>
        <v>$</v>
      </c>
      <c r="Q1588" t="str">
        <f>"117"</f>
        <v>117</v>
      </c>
      <c r="R1588" t="str">
        <f>"רתמות"</f>
        <v>רתמות</v>
      </c>
      <c r="S1588" t="str">
        <f>"040"</f>
        <v>040</v>
      </c>
      <c r="T1588" t="str">
        <f>"עמר ליגל"</f>
        <v>עמר ליגל</v>
      </c>
      <c r="U1588">
        <v>0</v>
      </c>
      <c r="V1588">
        <v>0</v>
      </c>
      <c r="W1588">
        <v>867.31</v>
      </c>
      <c r="X1588">
        <v>867.31</v>
      </c>
      <c r="Z1588" t="str">
        <f>"Y"</f>
        <v>Y</v>
      </c>
      <c r="AA1588">
        <v>0</v>
      </c>
      <c r="AC1588">
        <v>0</v>
      </c>
      <c r="AE1588">
        <v>0</v>
      </c>
      <c r="AF1588">
        <v>0</v>
      </c>
      <c r="AG1588" s="2">
        <v>2850.85</v>
      </c>
      <c r="AH1588">
        <v>0</v>
      </c>
      <c r="AI1588" s="2">
        <v>2850.85</v>
      </c>
      <c r="AJ1588">
        <v>867.31</v>
      </c>
      <c r="AK1588">
        <v>867.31</v>
      </c>
      <c r="AL1588" t="str">
        <f>"$"</f>
        <v>$</v>
      </c>
    </row>
    <row r="1589" spans="1:38" x14ac:dyDescent="0.3">
      <c r="A1589" t="str">
        <f>"SO22000105"</f>
        <v>SO22000105</v>
      </c>
      <c r="B1589" t="str">
        <f>"E000359029"</f>
        <v>E000359029</v>
      </c>
      <c r="C1589" t="str">
        <f>"בוצעה"</f>
        <v>בוצעה</v>
      </c>
      <c r="E1589" s="3">
        <v>44635</v>
      </c>
      <c r="F1589" s="3">
        <v>44803</v>
      </c>
      <c r="G1589" t="str">
        <f>"700065"</f>
        <v>700065</v>
      </c>
      <c r="H1589" t="str">
        <f>"אלתא מערכות בע""מ"</f>
        <v>אלתא מערכות בע"מ</v>
      </c>
      <c r="I1589" t="str">
        <f>"רחמים זרוק"</f>
        <v>רחמים זרוק</v>
      </c>
      <c r="J1589" t="str">
        <f>"OP-AR03016"</f>
        <v>OP-AR03016</v>
      </c>
      <c r="K1589" s="1" t="str">
        <f>"2203B860-001   POWER TO UUT CABLE ASSY"</f>
        <v>2203B860-001   POWER TO UUT CABLE ASSY</v>
      </c>
      <c r="L1589">
        <v>1</v>
      </c>
      <c r="M1589" t="str">
        <f>"PR22000231"</f>
        <v>PR22000231</v>
      </c>
      <c r="N1589" t="str">
        <f>"רתמות"</f>
        <v>רתמות</v>
      </c>
      <c r="O1589">
        <v>867.31</v>
      </c>
      <c r="P1589" t="str">
        <f>"$"</f>
        <v>$</v>
      </c>
      <c r="Q1589" t="str">
        <f>"117"</f>
        <v>117</v>
      </c>
      <c r="R1589" t="str">
        <f>"רתמות"</f>
        <v>רתמות</v>
      </c>
      <c r="S1589" t="str">
        <f>"040"</f>
        <v>040</v>
      </c>
      <c r="T1589" t="str">
        <f>"עמר ליגל"</f>
        <v>עמר ליגל</v>
      </c>
      <c r="U1589">
        <v>0</v>
      </c>
      <c r="V1589">
        <v>0</v>
      </c>
      <c r="W1589">
        <v>867.31</v>
      </c>
      <c r="X1589">
        <v>867.31</v>
      </c>
      <c r="Z1589" t="str">
        <f>"Y"</f>
        <v>Y</v>
      </c>
      <c r="AA1589">
        <v>0</v>
      </c>
      <c r="AC1589">
        <v>0</v>
      </c>
      <c r="AE1589">
        <v>0</v>
      </c>
      <c r="AF1589">
        <v>0</v>
      </c>
      <c r="AG1589" s="2">
        <v>2850.85</v>
      </c>
      <c r="AH1589">
        <v>0</v>
      </c>
      <c r="AI1589" s="2">
        <v>2850.85</v>
      </c>
      <c r="AJ1589">
        <v>867.31</v>
      </c>
      <c r="AK1589">
        <v>867.31</v>
      </c>
      <c r="AL1589" t="str">
        <f>"$"</f>
        <v>$</v>
      </c>
    </row>
    <row r="1590" spans="1:38" x14ac:dyDescent="0.3">
      <c r="A1590" t="str">
        <f>"SO22000105"</f>
        <v>SO22000105</v>
      </c>
      <c r="B1590" t="str">
        <f>"E000359029"</f>
        <v>E000359029</v>
      </c>
      <c r="C1590" t="str">
        <f>"בוצעה"</f>
        <v>בוצעה</v>
      </c>
      <c r="E1590" s="3">
        <v>44635</v>
      </c>
      <c r="F1590" s="3">
        <v>44803</v>
      </c>
      <c r="G1590" t="str">
        <f>"700065"</f>
        <v>700065</v>
      </c>
      <c r="H1590" t="str">
        <f>"אלתא מערכות בע""מ"</f>
        <v>אלתא מערכות בע"מ</v>
      </c>
      <c r="I1590" t="str">
        <f>"רחמים זרוק"</f>
        <v>רחמים זרוק</v>
      </c>
      <c r="J1590" t="str">
        <f>"OP-AR03017"</f>
        <v>OP-AR03017</v>
      </c>
      <c r="K1590" s="1" t="str">
        <f>"2203B862-001   POWER TO JIG CABLE ASSY"</f>
        <v>2203B862-001   POWER TO JIG CABLE ASSY</v>
      </c>
      <c r="L1590">
        <v>2</v>
      </c>
      <c r="M1590" t="str">
        <f>"PR22000231"</f>
        <v>PR22000231</v>
      </c>
      <c r="N1590" t="str">
        <f>"רתמות"</f>
        <v>רתמות</v>
      </c>
      <c r="O1590">
        <v>173.58</v>
      </c>
      <c r="P1590" t="str">
        <f>"$"</f>
        <v>$</v>
      </c>
      <c r="Q1590" t="str">
        <f>"117"</f>
        <v>117</v>
      </c>
      <c r="R1590" t="str">
        <f>"רתמות"</f>
        <v>רתמות</v>
      </c>
      <c r="S1590" t="str">
        <f>"040"</f>
        <v>040</v>
      </c>
      <c r="T1590" t="str">
        <f>"עמר ליגל"</f>
        <v>עמר ליגל</v>
      </c>
      <c r="U1590">
        <v>0</v>
      </c>
      <c r="V1590">
        <v>0</v>
      </c>
      <c r="W1590">
        <v>173.58</v>
      </c>
      <c r="X1590">
        <v>347.16</v>
      </c>
      <c r="Z1590" t="str">
        <f>"Y"</f>
        <v>Y</v>
      </c>
      <c r="AA1590">
        <v>0</v>
      </c>
      <c r="AC1590">
        <v>0</v>
      </c>
      <c r="AE1590">
        <v>0</v>
      </c>
      <c r="AF1590">
        <v>0</v>
      </c>
      <c r="AG1590">
        <v>570.55999999999995</v>
      </c>
      <c r="AH1590">
        <v>0</v>
      </c>
      <c r="AI1590" s="2">
        <v>1141.1099999999999</v>
      </c>
      <c r="AJ1590">
        <v>347.16</v>
      </c>
      <c r="AK1590">
        <v>347.16</v>
      </c>
      <c r="AL1590" t="str">
        <f>"$"</f>
        <v>$</v>
      </c>
    </row>
    <row r="1591" spans="1:38" x14ac:dyDescent="0.3">
      <c r="A1591" t="str">
        <f>"SO22000105"</f>
        <v>SO22000105</v>
      </c>
      <c r="B1591" t="str">
        <f>"E000359029"</f>
        <v>E000359029</v>
      </c>
      <c r="C1591" t="str">
        <f>"בוצעה"</f>
        <v>בוצעה</v>
      </c>
      <c r="E1591" s="3">
        <v>44635</v>
      </c>
      <c r="F1591" s="3">
        <v>44803</v>
      </c>
      <c r="G1591" t="str">
        <f>"700065"</f>
        <v>700065</v>
      </c>
      <c r="H1591" t="str">
        <f>"אלתא מערכות בע""מ"</f>
        <v>אלתא מערכות בע"מ</v>
      </c>
      <c r="I1591" t="str">
        <f>"רחמים זרוק"</f>
        <v>רחמים זרוק</v>
      </c>
      <c r="J1591" t="str">
        <f>"OP-AR03017"</f>
        <v>OP-AR03017</v>
      </c>
      <c r="K1591" s="1" t="str">
        <f>"2203B862-001   POWER TO JIG CABLE ASSY"</f>
        <v>2203B862-001   POWER TO JIG CABLE ASSY</v>
      </c>
      <c r="L1591">
        <v>2</v>
      </c>
      <c r="M1591" t="str">
        <f>"PR22000231"</f>
        <v>PR22000231</v>
      </c>
      <c r="N1591" t="str">
        <f>"רתמות"</f>
        <v>רתמות</v>
      </c>
      <c r="O1591">
        <v>173.58</v>
      </c>
      <c r="P1591" t="str">
        <f>"$"</f>
        <v>$</v>
      </c>
      <c r="Q1591" t="str">
        <f>"117"</f>
        <v>117</v>
      </c>
      <c r="R1591" t="str">
        <f>"רתמות"</f>
        <v>רתמות</v>
      </c>
      <c r="S1591" t="str">
        <f>"040"</f>
        <v>040</v>
      </c>
      <c r="T1591" t="str">
        <f>"עמר ליגל"</f>
        <v>עמר ליגל</v>
      </c>
      <c r="U1591">
        <v>0</v>
      </c>
      <c r="V1591">
        <v>0</v>
      </c>
      <c r="W1591">
        <v>173.58</v>
      </c>
      <c r="X1591">
        <v>347.16</v>
      </c>
      <c r="Z1591" t="str">
        <f>"Y"</f>
        <v>Y</v>
      </c>
      <c r="AA1591">
        <v>0</v>
      </c>
      <c r="AC1591">
        <v>0</v>
      </c>
      <c r="AE1591">
        <v>0</v>
      </c>
      <c r="AF1591">
        <v>0</v>
      </c>
      <c r="AG1591">
        <v>570.55999999999995</v>
      </c>
      <c r="AH1591">
        <v>0</v>
      </c>
      <c r="AI1591" s="2">
        <v>1141.1099999999999</v>
      </c>
      <c r="AJ1591">
        <v>347.16</v>
      </c>
      <c r="AK1591">
        <v>347.16</v>
      </c>
      <c r="AL1591" t="str">
        <f>"$"</f>
        <v>$</v>
      </c>
    </row>
    <row r="1592" spans="1:38" x14ac:dyDescent="0.3">
      <c r="A1592" t="str">
        <f>"SO22000105"</f>
        <v>SO22000105</v>
      </c>
      <c r="B1592" t="str">
        <f>"E000359029"</f>
        <v>E000359029</v>
      </c>
      <c r="C1592" t="str">
        <f>"בוצעה"</f>
        <v>בוצעה</v>
      </c>
      <c r="E1592" s="3">
        <v>44635</v>
      </c>
      <c r="F1592" s="3">
        <v>44742</v>
      </c>
      <c r="G1592" t="str">
        <f>"700065"</f>
        <v>700065</v>
      </c>
      <c r="H1592" t="str">
        <f>"אלתא מערכות בע""מ"</f>
        <v>אלתא מערכות בע"מ</v>
      </c>
      <c r="I1592" t="str">
        <f>"רחמים זרוק"</f>
        <v>רחמים זרוק</v>
      </c>
      <c r="J1592" t="str">
        <f>"OP-AR03018"</f>
        <v>OP-AR03018</v>
      </c>
      <c r="K1592" s="1" t="str">
        <f>"2218B750-001   W101 CABLE ASSY"</f>
        <v>2218B750-001   W101 CABLE ASSY</v>
      </c>
      <c r="L1592">
        <v>1</v>
      </c>
      <c r="M1592" t="str">
        <f>"PR22000231"</f>
        <v>PR22000231</v>
      </c>
      <c r="N1592" t="str">
        <f>"רתמות"</f>
        <v>רתמות</v>
      </c>
      <c r="O1592">
        <v>248.46</v>
      </c>
      <c r="P1592" t="str">
        <f>"$"</f>
        <v>$</v>
      </c>
      <c r="Q1592" t="str">
        <f>"117"</f>
        <v>117</v>
      </c>
      <c r="R1592" t="str">
        <f>"רתמות"</f>
        <v>רתמות</v>
      </c>
      <c r="S1592" t="str">
        <f>"040"</f>
        <v>040</v>
      </c>
      <c r="T1592" t="str">
        <f>"עמר ליגל"</f>
        <v>עמר ליגל</v>
      </c>
      <c r="U1592">
        <v>0</v>
      </c>
      <c r="V1592">
        <v>0</v>
      </c>
      <c r="W1592">
        <v>248.46</v>
      </c>
      <c r="X1592">
        <v>248.46</v>
      </c>
      <c r="Z1592" t="str">
        <f>"Y"</f>
        <v>Y</v>
      </c>
      <c r="AA1592">
        <v>0</v>
      </c>
      <c r="AC1592">
        <v>0</v>
      </c>
      <c r="AE1592">
        <v>0</v>
      </c>
      <c r="AF1592">
        <v>0</v>
      </c>
      <c r="AG1592">
        <v>816.69</v>
      </c>
      <c r="AH1592">
        <v>0</v>
      </c>
      <c r="AI1592">
        <v>816.69</v>
      </c>
      <c r="AJ1592">
        <v>248.46</v>
      </c>
      <c r="AK1592">
        <v>248.46</v>
      </c>
      <c r="AL1592" t="str">
        <f>"$"</f>
        <v>$</v>
      </c>
    </row>
    <row r="1593" spans="1:38" x14ac:dyDescent="0.3">
      <c r="A1593" t="str">
        <f>"SO22000105"</f>
        <v>SO22000105</v>
      </c>
      <c r="B1593" t="str">
        <f>"E000359029"</f>
        <v>E000359029</v>
      </c>
      <c r="C1593" t="str">
        <f>"בוצעה"</f>
        <v>בוצעה</v>
      </c>
      <c r="E1593" s="3">
        <v>44635</v>
      </c>
      <c r="F1593" s="3">
        <v>44742</v>
      </c>
      <c r="G1593" t="str">
        <f>"700065"</f>
        <v>700065</v>
      </c>
      <c r="H1593" t="str">
        <f>"אלתא מערכות בע""מ"</f>
        <v>אלתא מערכות בע"מ</v>
      </c>
      <c r="I1593" t="str">
        <f>"רחמים זרוק"</f>
        <v>רחמים זרוק</v>
      </c>
      <c r="J1593" t="str">
        <f>"OP-AR03019"</f>
        <v>OP-AR03019</v>
      </c>
      <c r="K1593" s="1" t="str">
        <f>"2218B752-001   W102 CABLE ASSY"</f>
        <v>2218B752-001   W102 CABLE ASSY</v>
      </c>
      <c r="L1593">
        <v>1</v>
      </c>
      <c r="M1593" t="str">
        <f>"PR22000231"</f>
        <v>PR22000231</v>
      </c>
      <c r="N1593" t="str">
        <f>"רתמות"</f>
        <v>רתמות</v>
      </c>
      <c r="O1593">
        <v>240.54</v>
      </c>
      <c r="P1593" t="str">
        <f>"$"</f>
        <v>$</v>
      </c>
      <c r="Q1593" t="str">
        <f>"117"</f>
        <v>117</v>
      </c>
      <c r="R1593" t="str">
        <f>"רתמות"</f>
        <v>רתמות</v>
      </c>
      <c r="S1593" t="str">
        <f>"040"</f>
        <v>040</v>
      </c>
      <c r="T1593" t="str">
        <f>"עמר ליגל"</f>
        <v>עמר ליגל</v>
      </c>
      <c r="U1593">
        <v>0</v>
      </c>
      <c r="V1593">
        <v>0</v>
      </c>
      <c r="W1593">
        <v>240.54</v>
      </c>
      <c r="X1593">
        <v>240.54</v>
      </c>
      <c r="Z1593" t="str">
        <f>"Y"</f>
        <v>Y</v>
      </c>
      <c r="AA1593">
        <v>0</v>
      </c>
      <c r="AC1593">
        <v>0</v>
      </c>
      <c r="AE1593">
        <v>0</v>
      </c>
      <c r="AF1593">
        <v>0</v>
      </c>
      <c r="AG1593">
        <v>790.65</v>
      </c>
      <c r="AH1593">
        <v>0</v>
      </c>
      <c r="AI1593">
        <v>790.65</v>
      </c>
      <c r="AJ1593">
        <v>240.54</v>
      </c>
      <c r="AK1593">
        <v>240.54</v>
      </c>
      <c r="AL1593" t="str">
        <f>"$"</f>
        <v>$</v>
      </c>
    </row>
    <row r="1594" spans="1:38" x14ac:dyDescent="0.3">
      <c r="A1594" t="str">
        <f>"SO22000105"</f>
        <v>SO22000105</v>
      </c>
      <c r="B1594" t="str">
        <f>"E000359029"</f>
        <v>E000359029</v>
      </c>
      <c r="C1594" t="str">
        <f>"בוצעה"</f>
        <v>בוצעה</v>
      </c>
      <c r="E1594" s="3">
        <v>44635</v>
      </c>
      <c r="F1594" s="3">
        <v>44742</v>
      </c>
      <c r="G1594" t="str">
        <f>"700065"</f>
        <v>700065</v>
      </c>
      <c r="H1594" t="str">
        <f>"אלתא מערכות בע""מ"</f>
        <v>אלתא מערכות בע"מ</v>
      </c>
      <c r="I1594" t="str">
        <f>"רחמים זרוק"</f>
        <v>רחמים זרוק</v>
      </c>
      <c r="J1594" t="str">
        <f>"OP-AR03020"</f>
        <v>OP-AR03020</v>
      </c>
      <c r="K1594" s="1" t="str">
        <f>"2218B754-001   W103 CABLE ASSY"</f>
        <v>2218B754-001   W103 CABLE ASSY</v>
      </c>
      <c r="L1594">
        <v>1</v>
      </c>
      <c r="M1594" t="str">
        <f>"PR22000231"</f>
        <v>PR22000231</v>
      </c>
      <c r="N1594" t="str">
        <f>"רתמות"</f>
        <v>רתמות</v>
      </c>
      <c r="O1594">
        <v>615.34</v>
      </c>
      <c r="P1594" t="str">
        <f>"$"</f>
        <v>$</v>
      </c>
      <c r="Q1594" t="str">
        <f>"117"</f>
        <v>117</v>
      </c>
      <c r="R1594" t="str">
        <f>"רתמות"</f>
        <v>רתמות</v>
      </c>
      <c r="S1594" t="str">
        <f>"040"</f>
        <v>040</v>
      </c>
      <c r="T1594" t="str">
        <f>"עמר ליגל"</f>
        <v>עמר ליגל</v>
      </c>
      <c r="U1594">
        <v>0</v>
      </c>
      <c r="V1594">
        <v>0</v>
      </c>
      <c r="W1594">
        <v>615.34</v>
      </c>
      <c r="X1594">
        <v>615.34</v>
      </c>
      <c r="Z1594" t="str">
        <f>"Y"</f>
        <v>Y</v>
      </c>
      <c r="AA1594">
        <v>0</v>
      </c>
      <c r="AC1594">
        <v>0</v>
      </c>
      <c r="AE1594">
        <v>0</v>
      </c>
      <c r="AF1594">
        <v>0</v>
      </c>
      <c r="AG1594" s="2">
        <v>2022.62</v>
      </c>
      <c r="AH1594">
        <v>0</v>
      </c>
      <c r="AI1594" s="2">
        <v>2022.62</v>
      </c>
      <c r="AJ1594">
        <v>615.34</v>
      </c>
      <c r="AK1594">
        <v>615.34</v>
      </c>
      <c r="AL1594" t="str">
        <f>"$"</f>
        <v>$</v>
      </c>
    </row>
    <row r="1595" spans="1:38" x14ac:dyDescent="0.3">
      <c r="A1595" t="str">
        <f>"SO22000105"</f>
        <v>SO22000105</v>
      </c>
      <c r="B1595" t="str">
        <f>"E000359029"</f>
        <v>E000359029</v>
      </c>
      <c r="C1595" t="str">
        <f>"בוצעה"</f>
        <v>בוצעה</v>
      </c>
      <c r="E1595" s="3">
        <v>44635</v>
      </c>
      <c r="F1595" s="3">
        <v>44803</v>
      </c>
      <c r="G1595" t="str">
        <f>"700065"</f>
        <v>700065</v>
      </c>
      <c r="H1595" t="str">
        <f>"אלתא מערכות בע""מ"</f>
        <v>אלתא מערכות בע"מ</v>
      </c>
      <c r="I1595" t="str">
        <f>"רחמים זרוק"</f>
        <v>רחמים זרוק</v>
      </c>
      <c r="J1595" t="str">
        <f>"OP-AR03021"</f>
        <v>OP-AR03021</v>
      </c>
      <c r="K1595" s="1" t="str">
        <f>"2221B771-001   ADW101 FPGA J1 CABLE ASSY"</f>
        <v>2221B771-001   ADW101 FPGA J1 CABLE ASSY</v>
      </c>
      <c r="L1595">
        <v>3</v>
      </c>
      <c r="M1595" t="str">
        <f>"PR22000231"</f>
        <v>PR22000231</v>
      </c>
      <c r="N1595" t="str">
        <f>"רתמות"</f>
        <v>רתמות</v>
      </c>
      <c r="O1595">
        <v>762.62</v>
      </c>
      <c r="P1595" t="str">
        <f>"$"</f>
        <v>$</v>
      </c>
      <c r="Q1595" t="str">
        <f>"117"</f>
        <v>117</v>
      </c>
      <c r="R1595" t="str">
        <f>"רתמות"</f>
        <v>רתמות</v>
      </c>
      <c r="S1595" t="str">
        <f>"040"</f>
        <v>040</v>
      </c>
      <c r="T1595" t="str">
        <f>"עמר ליגל"</f>
        <v>עמר ליגל</v>
      </c>
      <c r="U1595">
        <v>0</v>
      </c>
      <c r="V1595">
        <v>0</v>
      </c>
      <c r="W1595">
        <v>762.62</v>
      </c>
      <c r="X1595" s="2">
        <v>2287.86</v>
      </c>
      <c r="Z1595" t="str">
        <f>"Y"</f>
        <v>Y</v>
      </c>
      <c r="AA1595">
        <v>0</v>
      </c>
      <c r="AC1595">
        <v>0</v>
      </c>
      <c r="AE1595">
        <v>0</v>
      </c>
      <c r="AF1595">
        <v>0</v>
      </c>
      <c r="AG1595" s="2">
        <v>2506.73</v>
      </c>
      <c r="AH1595">
        <v>0</v>
      </c>
      <c r="AI1595" s="2">
        <v>7520.2</v>
      </c>
      <c r="AJ1595" s="2">
        <v>2287.86</v>
      </c>
      <c r="AK1595" s="2">
        <v>2287.86</v>
      </c>
      <c r="AL1595" t="str">
        <f>"$"</f>
        <v>$</v>
      </c>
    </row>
    <row r="1596" spans="1:38" x14ac:dyDescent="0.3">
      <c r="A1596" t="str">
        <f>"SO22000105"</f>
        <v>SO22000105</v>
      </c>
      <c r="B1596" t="str">
        <f>"E000359029"</f>
        <v>E000359029</v>
      </c>
      <c r="C1596" t="str">
        <f>"בוצעה"</f>
        <v>בוצעה</v>
      </c>
      <c r="E1596" s="3">
        <v>44635</v>
      </c>
      <c r="F1596" s="3">
        <v>44803</v>
      </c>
      <c r="G1596" t="str">
        <f>"700065"</f>
        <v>700065</v>
      </c>
      <c r="H1596" t="str">
        <f>"אלתא מערכות בע""מ"</f>
        <v>אלתא מערכות בע"מ</v>
      </c>
      <c r="I1596" t="str">
        <f>"רחמים זרוק"</f>
        <v>רחמים זרוק</v>
      </c>
      <c r="J1596" t="str">
        <f>"OP-AR03022"</f>
        <v>OP-AR03022</v>
      </c>
      <c r="K1596" s="1" t="str">
        <f>"2221B772-001   ADW102 FPGA J2 CABLE ASSY"</f>
        <v>2221B772-001   ADW102 FPGA J2 CABLE ASSY</v>
      </c>
      <c r="L1596">
        <v>3</v>
      </c>
      <c r="M1596" t="str">
        <f>"PR22000231"</f>
        <v>PR22000231</v>
      </c>
      <c r="N1596" t="str">
        <f>"רתמות"</f>
        <v>רתמות</v>
      </c>
      <c r="O1596">
        <v>762.62</v>
      </c>
      <c r="P1596" t="str">
        <f>"$"</f>
        <v>$</v>
      </c>
      <c r="Q1596" t="str">
        <f>"117"</f>
        <v>117</v>
      </c>
      <c r="R1596" t="str">
        <f>"רתמות"</f>
        <v>רתמות</v>
      </c>
      <c r="S1596" t="str">
        <f>"040"</f>
        <v>040</v>
      </c>
      <c r="T1596" t="str">
        <f>"עמר ליגל"</f>
        <v>עמר ליגל</v>
      </c>
      <c r="U1596">
        <v>0</v>
      </c>
      <c r="V1596">
        <v>0</v>
      </c>
      <c r="W1596">
        <v>762.62</v>
      </c>
      <c r="X1596" s="2">
        <v>2287.86</v>
      </c>
      <c r="Z1596" t="str">
        <f>"Y"</f>
        <v>Y</v>
      </c>
      <c r="AA1596">
        <v>0</v>
      </c>
      <c r="AC1596">
        <v>0</v>
      </c>
      <c r="AE1596">
        <v>0</v>
      </c>
      <c r="AF1596">
        <v>0</v>
      </c>
      <c r="AG1596" s="2">
        <v>2506.73</v>
      </c>
      <c r="AH1596">
        <v>0</v>
      </c>
      <c r="AI1596" s="2">
        <v>7520.2</v>
      </c>
      <c r="AJ1596" s="2">
        <v>2287.86</v>
      </c>
      <c r="AK1596" s="2">
        <v>2287.86</v>
      </c>
      <c r="AL1596" t="str">
        <f>"$"</f>
        <v>$</v>
      </c>
    </row>
    <row r="1597" spans="1:38" x14ac:dyDescent="0.3">
      <c r="A1597" t="str">
        <f>"SO22000105"</f>
        <v>SO22000105</v>
      </c>
      <c r="B1597" t="str">
        <f>"E000359029"</f>
        <v>E000359029</v>
      </c>
      <c r="C1597" t="str">
        <f>"בוצעה"</f>
        <v>בוצעה</v>
      </c>
      <c r="E1597" s="3">
        <v>44635</v>
      </c>
      <c r="F1597" s="3">
        <v>44803</v>
      </c>
      <c r="G1597" t="str">
        <f>"700065"</f>
        <v>700065</v>
      </c>
      <c r="H1597" t="str">
        <f>"אלתא מערכות בע""מ"</f>
        <v>אלתא מערכות בע"מ</v>
      </c>
      <c r="I1597" t="str">
        <f>"רחמים זרוק"</f>
        <v>רחמים זרוק</v>
      </c>
      <c r="J1597" t="str">
        <f>"OP-AR03023"</f>
        <v>OP-AR03023</v>
      </c>
      <c r="K1597" s="1" t="str">
        <f>"2221B773-001   ADW103 FPGA J3 CABLE ASSY"</f>
        <v>2221B773-001   ADW103 FPGA J3 CABLE ASSY</v>
      </c>
      <c r="L1597">
        <v>3</v>
      </c>
      <c r="M1597" t="str">
        <f>"PR22000231"</f>
        <v>PR22000231</v>
      </c>
      <c r="N1597" t="str">
        <f>"רתמות"</f>
        <v>רתמות</v>
      </c>
      <c r="O1597">
        <v>821.67</v>
      </c>
      <c r="P1597" t="str">
        <f>"$"</f>
        <v>$</v>
      </c>
      <c r="Q1597" t="str">
        <f>"117"</f>
        <v>117</v>
      </c>
      <c r="R1597" t="str">
        <f>"רתמות"</f>
        <v>רתמות</v>
      </c>
      <c r="S1597" t="str">
        <f>"040"</f>
        <v>040</v>
      </c>
      <c r="T1597" t="str">
        <f>"עמר ליגל"</f>
        <v>עמר ליגל</v>
      </c>
      <c r="U1597">
        <v>0</v>
      </c>
      <c r="V1597">
        <v>0</v>
      </c>
      <c r="W1597">
        <v>821.67</v>
      </c>
      <c r="X1597" s="2">
        <v>2465.0100000000002</v>
      </c>
      <c r="Z1597" t="str">
        <f>"Y"</f>
        <v>Y</v>
      </c>
      <c r="AA1597">
        <v>0</v>
      </c>
      <c r="AC1597">
        <v>0</v>
      </c>
      <c r="AE1597">
        <v>0</v>
      </c>
      <c r="AF1597">
        <v>0</v>
      </c>
      <c r="AG1597" s="2">
        <v>2700.83</v>
      </c>
      <c r="AH1597">
        <v>0</v>
      </c>
      <c r="AI1597" s="2">
        <v>8102.49</v>
      </c>
      <c r="AJ1597" s="2">
        <v>2465.0100000000002</v>
      </c>
      <c r="AK1597" s="2">
        <v>2465.0100000000002</v>
      </c>
      <c r="AL1597" t="str">
        <f>"$"</f>
        <v>$</v>
      </c>
    </row>
    <row r="1598" spans="1:38" x14ac:dyDescent="0.3">
      <c r="A1598" t="str">
        <f>"SO22000105"</f>
        <v>SO22000105</v>
      </c>
      <c r="B1598" t="str">
        <f>"E000359029"</f>
        <v>E000359029</v>
      </c>
      <c r="C1598" t="str">
        <f>"בוצעה"</f>
        <v>בוצעה</v>
      </c>
      <c r="E1598" s="3">
        <v>44635</v>
      </c>
      <c r="F1598" s="3">
        <v>44803</v>
      </c>
      <c r="G1598" t="str">
        <f>"700065"</f>
        <v>700065</v>
      </c>
      <c r="H1598" t="str">
        <f>"אלתא מערכות בע""מ"</f>
        <v>אלתא מערכות בע"מ</v>
      </c>
      <c r="I1598" t="str">
        <f>"רחמים זרוק"</f>
        <v>רחמים זרוק</v>
      </c>
      <c r="J1598" t="str">
        <f>"OP-AR03024"</f>
        <v>OP-AR03024</v>
      </c>
      <c r="K1598" s="1" t="str">
        <f>"2221B775-001   ADW105 FPGA J5 CABLE ASSY"</f>
        <v>2221B775-001   ADW105 FPGA J5 CABLE ASSY</v>
      </c>
      <c r="L1598">
        <v>3</v>
      </c>
      <c r="M1598" t="str">
        <f>"PR22000231"</f>
        <v>PR22000231</v>
      </c>
      <c r="N1598" t="str">
        <f>"רתמות"</f>
        <v>רתמות</v>
      </c>
      <c r="O1598">
        <v>759.32</v>
      </c>
      <c r="P1598" t="str">
        <f>"$"</f>
        <v>$</v>
      </c>
      <c r="Q1598" t="str">
        <f>"117"</f>
        <v>117</v>
      </c>
      <c r="R1598" t="str">
        <f>"רתמות"</f>
        <v>רתמות</v>
      </c>
      <c r="S1598" t="str">
        <f>"040"</f>
        <v>040</v>
      </c>
      <c r="T1598" t="str">
        <f>"עמר ליגל"</f>
        <v>עמר ליגל</v>
      </c>
      <c r="U1598">
        <v>0</v>
      </c>
      <c r="V1598">
        <v>0</v>
      </c>
      <c r="W1598">
        <v>759.32</v>
      </c>
      <c r="X1598" s="2">
        <v>2277.96</v>
      </c>
      <c r="Z1598" t="str">
        <f>"Y"</f>
        <v>Y</v>
      </c>
      <c r="AA1598">
        <v>0</v>
      </c>
      <c r="AC1598">
        <v>0</v>
      </c>
      <c r="AE1598">
        <v>0</v>
      </c>
      <c r="AF1598">
        <v>0</v>
      </c>
      <c r="AG1598" s="2">
        <v>2495.88</v>
      </c>
      <c r="AH1598">
        <v>0</v>
      </c>
      <c r="AI1598" s="2">
        <v>7487.65</v>
      </c>
      <c r="AJ1598" s="2">
        <v>2277.96</v>
      </c>
      <c r="AK1598" s="2">
        <v>2277.96</v>
      </c>
      <c r="AL1598" t="str">
        <f>"$"</f>
        <v>$</v>
      </c>
    </row>
    <row r="1599" spans="1:38" x14ac:dyDescent="0.3">
      <c r="A1599" t="str">
        <f>"SO22000105"</f>
        <v>SO22000105</v>
      </c>
      <c r="B1599" t="str">
        <f>"E000359029"</f>
        <v>E000359029</v>
      </c>
      <c r="C1599" t="str">
        <f>"בוצעה"</f>
        <v>בוצעה</v>
      </c>
      <c r="E1599" s="3">
        <v>44635</v>
      </c>
      <c r="F1599" s="3">
        <v>44910</v>
      </c>
      <c r="G1599" t="str">
        <f>"700065"</f>
        <v>700065</v>
      </c>
      <c r="H1599" t="str">
        <f>"אלתא מערכות בע""מ"</f>
        <v>אלתא מערכות בע"מ</v>
      </c>
      <c r="I1599" t="str">
        <f>"רחמים זרוק"</f>
        <v>רחמים זרוק</v>
      </c>
      <c r="J1599" t="str">
        <f>"OP-AR03025"</f>
        <v>OP-AR03025</v>
      </c>
      <c r="K1599" s="1" t="str">
        <f>"2221B781-001   EXW101 EXC CTRL PWR CABLE ASSY"</f>
        <v>2221B781-001   EXW101 EXC CTRL PWR CABLE ASSY</v>
      </c>
      <c r="L1599">
        <v>2</v>
      </c>
      <c r="M1599" t="str">
        <f>"PR22000231"</f>
        <v>PR22000231</v>
      </c>
      <c r="N1599" t="str">
        <f>"רתמות"</f>
        <v>רתמות</v>
      </c>
      <c r="O1599" s="2">
        <v>1100.78</v>
      </c>
      <c r="P1599" t="str">
        <f>"$"</f>
        <v>$</v>
      </c>
      <c r="Q1599" t="str">
        <f>"117"</f>
        <v>117</v>
      </c>
      <c r="R1599" t="str">
        <f>"רתמות"</f>
        <v>רתמות</v>
      </c>
      <c r="S1599" t="str">
        <f>"040"</f>
        <v>040</v>
      </c>
      <c r="T1599" t="str">
        <f>"עמר ליגל"</f>
        <v>עמר ליגל</v>
      </c>
      <c r="U1599">
        <v>0</v>
      </c>
      <c r="V1599">
        <v>0</v>
      </c>
      <c r="W1599" s="2">
        <v>1100.78</v>
      </c>
      <c r="X1599" s="2">
        <v>2201.56</v>
      </c>
      <c r="Z1599" t="str">
        <f>"Y"</f>
        <v>Y</v>
      </c>
      <c r="AA1599">
        <v>0</v>
      </c>
      <c r="AC1599">
        <v>0</v>
      </c>
      <c r="AE1599">
        <v>0</v>
      </c>
      <c r="AF1599">
        <v>0</v>
      </c>
      <c r="AG1599" s="2">
        <v>3618.26</v>
      </c>
      <c r="AH1599">
        <v>0</v>
      </c>
      <c r="AI1599" s="2">
        <v>7236.53</v>
      </c>
      <c r="AJ1599" s="2">
        <v>2201.56</v>
      </c>
      <c r="AK1599" s="2">
        <v>2201.56</v>
      </c>
      <c r="AL1599" t="str">
        <f>"$"</f>
        <v>$</v>
      </c>
    </row>
    <row r="1600" spans="1:38" x14ac:dyDescent="0.3">
      <c r="A1600" t="str">
        <f>"SO22000105"</f>
        <v>SO22000105</v>
      </c>
      <c r="B1600" t="str">
        <f>"E000359029"</f>
        <v>E000359029</v>
      </c>
      <c r="C1600" t="str">
        <f>"בוצעה"</f>
        <v>בוצעה</v>
      </c>
      <c r="E1600" s="3">
        <v>44635</v>
      </c>
      <c r="F1600" s="3">
        <v>44803</v>
      </c>
      <c r="G1600" t="str">
        <f>"700065"</f>
        <v>700065</v>
      </c>
      <c r="H1600" t="str">
        <f>"אלתא מערכות בע""מ"</f>
        <v>אלתא מערכות בע"מ</v>
      </c>
      <c r="I1600" t="str">
        <f>"רחמים זרוק"</f>
        <v>רחמים זרוק</v>
      </c>
      <c r="J1600" t="str">
        <f>"OP-AR03026"</f>
        <v>OP-AR03026</v>
      </c>
      <c r="K1600" s="1" t="str">
        <f>"2221B851-001   RHW101 PS CABLE ASSY"</f>
        <v>2221B851-001   RHW101 PS CABLE ASSY</v>
      </c>
      <c r="L1600">
        <v>1</v>
      </c>
      <c r="M1600" t="str">
        <f>"PR22000231"</f>
        <v>PR22000231</v>
      </c>
      <c r="N1600" t="str">
        <f>"רתמות"</f>
        <v>רתמות</v>
      </c>
      <c r="O1600">
        <v>309.68</v>
      </c>
      <c r="P1600" t="str">
        <f>"$"</f>
        <v>$</v>
      </c>
      <c r="Q1600" t="str">
        <f>"117"</f>
        <v>117</v>
      </c>
      <c r="R1600" t="str">
        <f>"רתמות"</f>
        <v>רתמות</v>
      </c>
      <c r="S1600" t="str">
        <f>"040"</f>
        <v>040</v>
      </c>
      <c r="T1600" t="str">
        <f>"עמר ליגל"</f>
        <v>עמר ליגל</v>
      </c>
      <c r="U1600">
        <v>0</v>
      </c>
      <c r="V1600">
        <v>0</v>
      </c>
      <c r="W1600">
        <v>309.68</v>
      </c>
      <c r="X1600">
        <v>309.68</v>
      </c>
      <c r="Z1600" t="str">
        <f>"Y"</f>
        <v>Y</v>
      </c>
      <c r="AA1600">
        <v>0</v>
      </c>
      <c r="AC1600">
        <v>0</v>
      </c>
      <c r="AE1600">
        <v>0</v>
      </c>
      <c r="AF1600">
        <v>0</v>
      </c>
      <c r="AG1600" s="2">
        <v>1017.92</v>
      </c>
      <c r="AH1600">
        <v>0</v>
      </c>
      <c r="AI1600" s="2">
        <v>1017.92</v>
      </c>
      <c r="AJ1600">
        <v>309.68</v>
      </c>
      <c r="AK1600">
        <v>309.68</v>
      </c>
      <c r="AL1600" t="str">
        <f>"$"</f>
        <v>$</v>
      </c>
    </row>
    <row r="1601" spans="1:38" x14ac:dyDescent="0.3">
      <c r="A1601" t="str">
        <f>"SO22000105"</f>
        <v>SO22000105</v>
      </c>
      <c r="B1601" t="str">
        <f>"E000359029"</f>
        <v>E000359029</v>
      </c>
      <c r="C1601" t="str">
        <f>"בוצעה"</f>
        <v>בוצעה</v>
      </c>
      <c r="E1601" s="3">
        <v>44635</v>
      </c>
      <c r="F1601" s="3">
        <v>44803</v>
      </c>
      <c r="G1601" t="str">
        <f>"700065"</f>
        <v>700065</v>
      </c>
      <c r="H1601" t="str">
        <f>"אלתא מערכות בע""מ"</f>
        <v>אלתא מערכות בע"מ</v>
      </c>
      <c r="I1601" t="str">
        <f>"רחמים זרוק"</f>
        <v>רחמים זרוק</v>
      </c>
      <c r="J1601" t="str">
        <f>"OP-AR03027"</f>
        <v>OP-AR03027</v>
      </c>
      <c r="K1601" s="1" t="str">
        <f>"2221B852-001   RHW102 CTRL CABLE ASSY"</f>
        <v>2221B852-001   RHW102 CTRL CABLE ASSY</v>
      </c>
      <c r="L1601">
        <v>1</v>
      </c>
      <c r="M1601" t="str">
        <f>"PR22000231"</f>
        <v>PR22000231</v>
      </c>
      <c r="N1601" t="str">
        <f>"רתמות"</f>
        <v>רתמות</v>
      </c>
      <c r="O1601" s="2">
        <v>1124.52</v>
      </c>
      <c r="P1601" t="str">
        <f>"$"</f>
        <v>$</v>
      </c>
      <c r="Q1601" t="str">
        <f>"117"</f>
        <v>117</v>
      </c>
      <c r="R1601" t="str">
        <f>"רתמות"</f>
        <v>רתמות</v>
      </c>
      <c r="S1601" t="str">
        <f>"040"</f>
        <v>040</v>
      </c>
      <c r="T1601" t="str">
        <f>"עמר ליגל"</f>
        <v>עמר ליגל</v>
      </c>
      <c r="U1601">
        <v>0</v>
      </c>
      <c r="V1601">
        <v>0</v>
      </c>
      <c r="W1601" s="2">
        <v>1124.52</v>
      </c>
      <c r="X1601" s="2">
        <v>1124.52</v>
      </c>
      <c r="Z1601" t="str">
        <f>"Y"</f>
        <v>Y</v>
      </c>
      <c r="AA1601">
        <v>0</v>
      </c>
      <c r="AC1601">
        <v>0</v>
      </c>
      <c r="AE1601">
        <v>0</v>
      </c>
      <c r="AF1601">
        <v>0</v>
      </c>
      <c r="AG1601" s="2">
        <v>3696.3</v>
      </c>
      <c r="AH1601">
        <v>0</v>
      </c>
      <c r="AI1601" s="2">
        <v>3696.3</v>
      </c>
      <c r="AJ1601" s="2">
        <v>1124.52</v>
      </c>
      <c r="AK1601" s="2">
        <v>1124.52</v>
      </c>
      <c r="AL1601" t="str">
        <f>"$"</f>
        <v>$</v>
      </c>
    </row>
    <row r="1602" spans="1:38" x14ac:dyDescent="0.3">
      <c r="A1602" t="str">
        <f>"SO22000105"</f>
        <v>SO22000105</v>
      </c>
      <c r="B1602" t="str">
        <f>"E000359029"</f>
        <v>E000359029</v>
      </c>
      <c r="C1602" t="str">
        <f>"בוצעה"</f>
        <v>בוצעה</v>
      </c>
      <c r="E1602" s="3">
        <v>44635</v>
      </c>
      <c r="F1602" s="3">
        <v>44833</v>
      </c>
      <c r="G1602" t="str">
        <f>"700065"</f>
        <v>700065</v>
      </c>
      <c r="H1602" t="str">
        <f>"אלתא מערכות בע""מ"</f>
        <v>אלתא מערכות בע"מ</v>
      </c>
      <c r="I1602" t="str">
        <f>"רחמים זרוק"</f>
        <v>רחמים זרוק</v>
      </c>
      <c r="J1602" t="str">
        <f>"000"</f>
        <v>000</v>
      </c>
      <c r="K1602" s="1" t="str">
        <f>"תוספות ושינוי מהדורות בהזמנה"</f>
        <v>תוספות ושינוי מהדורות בהזמנה</v>
      </c>
      <c r="L1602">
        <v>1</v>
      </c>
      <c r="O1602">
        <v>95</v>
      </c>
      <c r="P1602" t="str">
        <f>"$"</f>
        <v>$</v>
      </c>
      <c r="Q1602" t="str">
        <f>"117"</f>
        <v>117</v>
      </c>
      <c r="R1602" t="str">
        <f>"רתמות"</f>
        <v>רתמות</v>
      </c>
      <c r="S1602" t="str">
        <f>"040"</f>
        <v>040</v>
      </c>
      <c r="T1602" t="str">
        <f>"עמר ליגל"</f>
        <v>עמר ליגל</v>
      </c>
      <c r="U1602">
        <v>0</v>
      </c>
      <c r="V1602">
        <v>0</v>
      </c>
      <c r="W1602">
        <v>95</v>
      </c>
      <c r="X1602">
        <v>95</v>
      </c>
      <c r="Z1602" t="str">
        <f>"Y"</f>
        <v>Y</v>
      </c>
      <c r="AA1602">
        <v>1</v>
      </c>
      <c r="AC1602">
        <v>0</v>
      </c>
      <c r="AE1602">
        <v>0</v>
      </c>
      <c r="AF1602">
        <v>0</v>
      </c>
      <c r="AG1602">
        <v>312.27</v>
      </c>
      <c r="AH1602">
        <v>0</v>
      </c>
      <c r="AI1602">
        <v>312.27</v>
      </c>
      <c r="AJ1602">
        <v>95</v>
      </c>
      <c r="AK1602">
        <v>95</v>
      </c>
      <c r="AL1602" t="str">
        <f>"$"</f>
        <v>$</v>
      </c>
    </row>
    <row r="1603" spans="1:38" x14ac:dyDescent="0.3">
      <c r="A1603" t="str">
        <f>"SO22000106"</f>
        <v>SO22000106</v>
      </c>
      <c r="B1603" t="str">
        <f>"E000358122"</f>
        <v>E000358122</v>
      </c>
      <c r="C1603" t="str">
        <f>"בוצעה"</f>
        <v>בוצעה</v>
      </c>
      <c r="E1603" s="3">
        <v>44635</v>
      </c>
      <c r="F1603" s="3">
        <v>44772</v>
      </c>
      <c r="G1603" t="str">
        <f>"700065"</f>
        <v>700065</v>
      </c>
      <c r="H1603" t="str">
        <f>"אלתא מערכות בע""מ"</f>
        <v>אלתא מערכות בע"מ</v>
      </c>
      <c r="I1603" t="str">
        <f>"ערן שלו"</f>
        <v>ערן שלו</v>
      </c>
      <c r="J1603" t="str">
        <f>"OP-AR01232"</f>
        <v>OP-AR01232</v>
      </c>
      <c r="K1603" s="1" t="str">
        <f>"AC SUPPLY CONTROL BOX"</f>
        <v>AC SUPPLY CONTROL BOX</v>
      </c>
      <c r="L1603">
        <v>1</v>
      </c>
      <c r="M1603" t="str">
        <f>"PR22000221"</f>
        <v>PR22000221</v>
      </c>
      <c r="N1603" t="str">
        <f>"PPLY CONTROL BOX 230V/115V/28VDC"</f>
        <v>PPLY CONTROL BOX 230V/115V/28VDC</v>
      </c>
      <c r="O1603" s="2">
        <v>8227</v>
      </c>
      <c r="P1603" t="str">
        <f>"$"</f>
        <v>$</v>
      </c>
      <c r="Q1603" t="str">
        <f>"118"</f>
        <v>118</v>
      </c>
      <c r="R1603" t="str">
        <f>"מערכות"</f>
        <v>מערכות</v>
      </c>
      <c r="S1603" t="str">
        <f>"034"</f>
        <v>034</v>
      </c>
      <c r="T1603" t="str">
        <f>"עמר ליגל"</f>
        <v>עמר ליגל</v>
      </c>
      <c r="U1603">
        <v>0</v>
      </c>
      <c r="V1603">
        <v>0</v>
      </c>
      <c r="W1603" s="2">
        <v>8227</v>
      </c>
      <c r="X1603" s="2">
        <v>8227</v>
      </c>
      <c r="Z1603" t="str">
        <f>"Y"</f>
        <v>Y</v>
      </c>
      <c r="AA1603">
        <v>0</v>
      </c>
      <c r="AC1603">
        <v>0</v>
      </c>
      <c r="AE1603">
        <v>0</v>
      </c>
      <c r="AF1603">
        <v>0</v>
      </c>
      <c r="AG1603" s="2">
        <v>27042.15</v>
      </c>
      <c r="AH1603">
        <v>0</v>
      </c>
      <c r="AI1603" s="2">
        <v>27042.15</v>
      </c>
      <c r="AJ1603" s="2">
        <v>8227</v>
      </c>
      <c r="AK1603" s="2">
        <v>8227</v>
      </c>
      <c r="AL1603" t="str">
        <f>"$"</f>
        <v>$</v>
      </c>
    </row>
    <row r="1604" spans="1:38" x14ac:dyDescent="0.3">
      <c r="A1604" t="str">
        <f>"SO22000106"</f>
        <v>SO22000106</v>
      </c>
      <c r="B1604" t="str">
        <f>"E000358122"</f>
        <v>E000358122</v>
      </c>
      <c r="C1604" t="str">
        <f>"בוצעה"</f>
        <v>בוצעה</v>
      </c>
      <c r="E1604" s="3">
        <v>44635</v>
      </c>
      <c r="F1604" s="3">
        <v>44772</v>
      </c>
      <c r="G1604" t="str">
        <f>"700065"</f>
        <v>700065</v>
      </c>
      <c r="H1604" t="str">
        <f>"אלתא מערכות בע""מ"</f>
        <v>אלתא מערכות בע"מ</v>
      </c>
      <c r="I1604" t="str">
        <f>"ערן שלו"</f>
        <v>ערן שלו</v>
      </c>
      <c r="J1604" t="str">
        <f>"OP-AR01234"</f>
        <v>OP-AR01234</v>
      </c>
      <c r="K1604" s="1" t="str">
        <f>"PDU 4 CHANNELS"</f>
        <v>PDU 4 CHANNELS</v>
      </c>
      <c r="L1604">
        <v>1</v>
      </c>
      <c r="M1604" t="str">
        <f>"PR22000222"</f>
        <v>PR22000222</v>
      </c>
      <c r="N1604" t="str">
        <f>"CHANNELS PDU FOR 115V/400HZ/3PH"</f>
        <v>CHANNELS PDU FOR 115V/400HZ/3PH</v>
      </c>
      <c r="O1604" s="2">
        <v>5826</v>
      </c>
      <c r="P1604" t="str">
        <f>"$"</f>
        <v>$</v>
      </c>
      <c r="Q1604" t="str">
        <f>"118"</f>
        <v>118</v>
      </c>
      <c r="R1604" t="str">
        <f>"מערכות"</f>
        <v>מערכות</v>
      </c>
      <c r="S1604" t="str">
        <f>"034"</f>
        <v>034</v>
      </c>
      <c r="T1604" t="str">
        <f>"עמר ליגל"</f>
        <v>עמר ליגל</v>
      </c>
      <c r="U1604">
        <v>0</v>
      </c>
      <c r="V1604">
        <v>0</v>
      </c>
      <c r="W1604" s="2">
        <v>5826</v>
      </c>
      <c r="X1604" s="2">
        <v>5826</v>
      </c>
      <c r="Z1604" t="str">
        <f>"Y"</f>
        <v>Y</v>
      </c>
      <c r="AA1604">
        <v>0</v>
      </c>
      <c r="AC1604">
        <v>0</v>
      </c>
      <c r="AE1604">
        <v>0</v>
      </c>
      <c r="AF1604">
        <v>0</v>
      </c>
      <c r="AG1604" s="2">
        <v>19150.060000000001</v>
      </c>
      <c r="AH1604">
        <v>0</v>
      </c>
      <c r="AI1604" s="2">
        <v>19150.060000000001</v>
      </c>
      <c r="AJ1604" s="2">
        <v>5826</v>
      </c>
      <c r="AK1604" s="2">
        <v>5826</v>
      </c>
      <c r="AL1604" t="str">
        <f>"$"</f>
        <v>$</v>
      </c>
    </row>
    <row r="1605" spans="1:38" x14ac:dyDescent="0.3">
      <c r="A1605" t="str">
        <f>"SO22000113"</f>
        <v>SO22000113</v>
      </c>
      <c r="B1605" t="str">
        <f>"E000360545"</f>
        <v>E000360545</v>
      </c>
      <c r="C1605" t="str">
        <f>"בוצעה"</f>
        <v>בוצעה</v>
      </c>
      <c r="E1605" s="3">
        <v>44641</v>
      </c>
      <c r="F1605" s="3">
        <v>44880</v>
      </c>
      <c r="G1605" t="str">
        <f>"700065"</f>
        <v>700065</v>
      </c>
      <c r="H1605" t="str">
        <f>"אלתא מערכות בע""מ"</f>
        <v>אלתא מערכות בע"מ</v>
      </c>
      <c r="I1605" t="str">
        <f>"רוני דידי"</f>
        <v>רוני דידי</v>
      </c>
      <c r="J1605" t="str">
        <f>"PS9900057"</f>
        <v>PS9900057</v>
      </c>
      <c r="K1605" s="1" t="str">
        <f>"TSI-T2S-ETH-BRAVO-2C-HVDC"</f>
        <v>TSI-T2S-ETH-BRAVO-2C-HVDC</v>
      </c>
      <c r="L1605">
        <v>2</v>
      </c>
      <c r="M1605" t="str">
        <f>"PR22000245"</f>
        <v>PR22000245</v>
      </c>
      <c r="N1605" t="str">
        <f>"E000360545"</f>
        <v>E000360545</v>
      </c>
      <c r="O1605">
        <v>426</v>
      </c>
      <c r="P1605" t="str">
        <f>"$"</f>
        <v>$</v>
      </c>
      <c r="Q1605" t="str">
        <f>"118"</f>
        <v>118</v>
      </c>
      <c r="R1605" t="str">
        <f>"מערכות"</f>
        <v>מערכות</v>
      </c>
      <c r="S1605" t="str">
        <f>"007"</f>
        <v>007</v>
      </c>
      <c r="T1605" t="str">
        <f>"עמר ליגל"</f>
        <v>עמר ליגל</v>
      </c>
      <c r="U1605">
        <v>0</v>
      </c>
      <c r="V1605">
        <v>0</v>
      </c>
      <c r="W1605">
        <v>426</v>
      </c>
      <c r="X1605">
        <v>852</v>
      </c>
      <c r="Z1605" t="str">
        <f>"Y"</f>
        <v>Y</v>
      </c>
      <c r="AA1605">
        <v>0</v>
      </c>
      <c r="AC1605">
        <v>0</v>
      </c>
      <c r="AE1605">
        <v>0</v>
      </c>
      <c r="AF1605">
        <v>0</v>
      </c>
      <c r="AG1605" s="2">
        <v>1379.81</v>
      </c>
      <c r="AH1605">
        <v>0</v>
      </c>
      <c r="AI1605" s="2">
        <v>2759.63</v>
      </c>
      <c r="AJ1605">
        <v>852</v>
      </c>
      <c r="AK1605">
        <v>852</v>
      </c>
      <c r="AL1605" t="str">
        <f>"$"</f>
        <v>$</v>
      </c>
    </row>
    <row r="1606" spans="1:38" x14ac:dyDescent="0.3">
      <c r="A1606" t="str">
        <f>"SO22000113"</f>
        <v>SO22000113</v>
      </c>
      <c r="B1606" t="str">
        <f>"E000360545"</f>
        <v>E000360545</v>
      </c>
      <c r="C1606" t="str">
        <f>"בוצעה"</f>
        <v>בוצעה</v>
      </c>
      <c r="E1606" s="3">
        <v>44641</v>
      </c>
      <c r="F1606" s="3">
        <v>44880</v>
      </c>
      <c r="G1606" t="str">
        <f>"700065"</f>
        <v>700065</v>
      </c>
      <c r="H1606" t="str">
        <f>"אלתא מערכות בע""מ"</f>
        <v>אלתא מערכות בע"מ</v>
      </c>
      <c r="I1606" t="str">
        <f>"רוני דידי"</f>
        <v>רוני דידי</v>
      </c>
      <c r="J1606" t="str">
        <f>"PS9900048"</f>
        <v>PS9900048</v>
      </c>
      <c r="K1606" s="1" t="str">
        <f>"ELTEK- Smartpack 2 Master G2"</f>
        <v>ELTEK- Smartpack 2 Master G2</v>
      </c>
      <c r="L1606">
        <v>2</v>
      </c>
      <c r="M1606" t="str">
        <f>"PR22000245"</f>
        <v>PR22000245</v>
      </c>
      <c r="N1606" t="str">
        <f>"E000360545"</f>
        <v>E000360545</v>
      </c>
      <c r="O1606">
        <v>295</v>
      </c>
      <c r="P1606" t="str">
        <f>"$"</f>
        <v>$</v>
      </c>
      <c r="Q1606" t="str">
        <f>"118"</f>
        <v>118</v>
      </c>
      <c r="R1606" t="str">
        <f>"מערכות"</f>
        <v>מערכות</v>
      </c>
      <c r="S1606" t="str">
        <f>"007"</f>
        <v>007</v>
      </c>
      <c r="T1606" t="str">
        <f>"עמר ליגל"</f>
        <v>עמר ליגל</v>
      </c>
      <c r="U1606">
        <v>0</v>
      </c>
      <c r="V1606">
        <v>0</v>
      </c>
      <c r="W1606">
        <v>295</v>
      </c>
      <c r="X1606">
        <v>590</v>
      </c>
      <c r="Z1606" t="str">
        <f>"Y"</f>
        <v>Y</v>
      </c>
      <c r="AA1606">
        <v>0</v>
      </c>
      <c r="AC1606">
        <v>0</v>
      </c>
      <c r="AE1606">
        <v>0</v>
      </c>
      <c r="AF1606">
        <v>0</v>
      </c>
      <c r="AG1606">
        <v>955.51</v>
      </c>
      <c r="AH1606">
        <v>0</v>
      </c>
      <c r="AI1606" s="2">
        <v>1911.01</v>
      </c>
      <c r="AJ1606">
        <v>590</v>
      </c>
      <c r="AK1606">
        <v>590</v>
      </c>
      <c r="AL1606" t="str">
        <f>"$"</f>
        <v>$</v>
      </c>
    </row>
    <row r="1607" spans="1:38" x14ac:dyDescent="0.3">
      <c r="A1607" t="str">
        <f>"SO22000113"</f>
        <v>SO22000113</v>
      </c>
      <c r="B1607" t="str">
        <f>"E000360545"</f>
        <v>E000360545</v>
      </c>
      <c r="C1607" t="str">
        <f>"בוצעה"</f>
        <v>בוצעה</v>
      </c>
      <c r="E1607" s="3">
        <v>44641</v>
      </c>
      <c r="F1607" s="3">
        <v>44880</v>
      </c>
      <c r="G1607" t="str">
        <f>"700065"</f>
        <v>700065</v>
      </c>
      <c r="H1607" t="str">
        <f>"אלתא מערכות בע""מ"</f>
        <v>אלתא מערכות בע"מ</v>
      </c>
      <c r="I1607" t="str">
        <f>"רוני דידי"</f>
        <v>רוני דידי</v>
      </c>
      <c r="J1607" t="str">
        <f>"PS0200082"</f>
        <v>PS0200082</v>
      </c>
      <c r="K1607" s="1" t="str">
        <f>"ספק כח-ווידמולר 895138000 CP M SNT 1000W 24V 40A"</f>
        <v>ספק כח-ווידמולר 895138000 CP M SNT 1000W 24V 40A</v>
      </c>
      <c r="L1607">
        <v>6</v>
      </c>
      <c r="M1607" t="str">
        <f>"PR22000245"</f>
        <v>PR22000245</v>
      </c>
      <c r="N1607" t="str">
        <f>"E000360545"</f>
        <v>E000360545</v>
      </c>
      <c r="O1607">
        <v>0</v>
      </c>
      <c r="P1607" t="str">
        <f>"$"</f>
        <v>$</v>
      </c>
      <c r="Q1607" t="str">
        <f>"118"</f>
        <v>118</v>
      </c>
      <c r="R1607" t="str">
        <f>"מערכות"</f>
        <v>מערכות</v>
      </c>
      <c r="S1607" t="str">
        <f>"007"</f>
        <v>007</v>
      </c>
      <c r="T1607" t="str">
        <f>"עמר ליגל"</f>
        <v>עמר ליגל</v>
      </c>
      <c r="U1607">
        <v>0</v>
      </c>
      <c r="V1607">
        <v>0</v>
      </c>
      <c r="W1607">
        <v>0</v>
      </c>
      <c r="X1607">
        <v>0</v>
      </c>
      <c r="Z1607" t="str">
        <f>"Y"</f>
        <v>Y</v>
      </c>
      <c r="AA1607">
        <v>5</v>
      </c>
      <c r="AC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 t="str">
        <f>"$"</f>
        <v>$</v>
      </c>
    </row>
    <row r="1608" spans="1:38" x14ac:dyDescent="0.3">
      <c r="A1608" t="str">
        <f>"SO22000113"</f>
        <v>SO22000113</v>
      </c>
      <c r="B1608" t="str">
        <f>"E000360545"</f>
        <v>E000360545</v>
      </c>
      <c r="C1608" t="str">
        <f>"בוצעה"</f>
        <v>בוצעה</v>
      </c>
      <c r="E1608" s="3">
        <v>44641</v>
      </c>
      <c r="F1608" s="3">
        <v>44880</v>
      </c>
      <c r="G1608" t="str">
        <f>"700065"</f>
        <v>700065</v>
      </c>
      <c r="H1608" t="str">
        <f>"אלתא מערכות בע""מ"</f>
        <v>אלתא מערכות בע"מ</v>
      </c>
      <c r="I1608" t="str">
        <f>"רוני דידי"</f>
        <v>רוני דידי</v>
      </c>
      <c r="J1608" t="str">
        <f>"PS0200161"</f>
        <v>PS0200161</v>
      </c>
      <c r="K1608" s="1" t="str">
        <f>"ספק כח ווידמולר 1478150000 pro max 960W 24V 40A"</f>
        <v>ספק כח ווידמולר 1478150000 pro max 960W 24V 40A</v>
      </c>
      <c r="L1608">
        <v>5</v>
      </c>
      <c r="O1608">
        <v>0</v>
      </c>
      <c r="P1608" t="str">
        <f>"$"</f>
        <v>$</v>
      </c>
      <c r="Q1608" t="str">
        <f>"118"</f>
        <v>118</v>
      </c>
      <c r="R1608" t="str">
        <f>"מערכות"</f>
        <v>מערכות</v>
      </c>
      <c r="S1608" t="str">
        <f>"007"</f>
        <v>007</v>
      </c>
      <c r="T1608" t="str">
        <f>"עמר ליגל"</f>
        <v>עמר ליגל</v>
      </c>
      <c r="U1608">
        <v>0</v>
      </c>
      <c r="V1608">
        <v>0</v>
      </c>
      <c r="W1608">
        <v>0</v>
      </c>
      <c r="X1608">
        <v>0</v>
      </c>
      <c r="Z1608" t="str">
        <f>"Y"</f>
        <v>Y</v>
      </c>
      <c r="AA1608">
        <v>0</v>
      </c>
      <c r="AC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 t="str">
        <f>"$"</f>
        <v>$</v>
      </c>
    </row>
    <row r="1609" spans="1:38" x14ac:dyDescent="0.3">
      <c r="A1609" t="str">
        <f>"SO22000113"</f>
        <v>SO22000113</v>
      </c>
      <c r="B1609" t="str">
        <f>"E000360545"</f>
        <v>E000360545</v>
      </c>
      <c r="C1609" t="str">
        <f>"בוצעה"</f>
        <v>בוצעה</v>
      </c>
      <c r="E1609" s="3">
        <v>44641</v>
      </c>
      <c r="F1609" s="3">
        <v>44880</v>
      </c>
      <c r="G1609" t="str">
        <f>"700065"</f>
        <v>700065</v>
      </c>
      <c r="H1609" t="str">
        <f>"אלתא מערכות בע""מ"</f>
        <v>אלתא מערכות בע"מ</v>
      </c>
      <c r="I1609" t="str">
        <f>"רוני דידי"</f>
        <v>רוני דידי</v>
      </c>
      <c r="J1609" t="str">
        <f>"PD0300364"</f>
        <v>PD0300364</v>
      </c>
      <c r="K1609" s="1" t="str">
        <f>"כרטיס דיגיטלי יציאה לבקר סימנס 6ES7132-6BF01-0BA0"</f>
        <v>כרטיס דיגיטלי יציאה לבקר סימנס 6ES7132-6BF01-0BA0</v>
      </c>
      <c r="L1609">
        <v>1</v>
      </c>
      <c r="M1609" t="str">
        <f>"PR22000245"</f>
        <v>PR22000245</v>
      </c>
      <c r="N1609" t="str">
        <f>"E000360545"</f>
        <v>E000360545</v>
      </c>
      <c r="O1609">
        <v>0</v>
      </c>
      <c r="P1609" t="str">
        <f>"$"</f>
        <v>$</v>
      </c>
      <c r="Q1609" t="str">
        <f>"118"</f>
        <v>118</v>
      </c>
      <c r="R1609" t="str">
        <f>"מערכות"</f>
        <v>מערכות</v>
      </c>
      <c r="S1609" t="str">
        <f>"007"</f>
        <v>007</v>
      </c>
      <c r="T1609" t="str">
        <f>"עמר ליגל"</f>
        <v>עמר ליגל</v>
      </c>
      <c r="U1609">
        <v>0</v>
      </c>
      <c r="V1609">
        <v>0</v>
      </c>
      <c r="W1609">
        <v>0</v>
      </c>
      <c r="X1609">
        <v>0</v>
      </c>
      <c r="Z1609" t="str">
        <f>"Y"</f>
        <v>Y</v>
      </c>
      <c r="AA1609">
        <v>0</v>
      </c>
      <c r="AC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 t="str">
        <f>"$"</f>
        <v>$</v>
      </c>
    </row>
    <row r="1610" spans="1:38" x14ac:dyDescent="0.3">
      <c r="A1610" t="str">
        <f>"SO22000113"</f>
        <v>SO22000113</v>
      </c>
      <c r="B1610" t="str">
        <f>"E000360545"</f>
        <v>E000360545</v>
      </c>
      <c r="C1610" t="str">
        <f>"בוצעה"</f>
        <v>בוצעה</v>
      </c>
      <c r="E1610" s="3">
        <v>44641</v>
      </c>
      <c r="F1610" s="3">
        <v>44880</v>
      </c>
      <c r="G1610" t="str">
        <f>"700065"</f>
        <v>700065</v>
      </c>
      <c r="H1610" t="str">
        <f>"אלתא מערכות בע""מ"</f>
        <v>אלתא מערכות בע"מ</v>
      </c>
      <c r="I1610" t="str">
        <f>"רוני דידי"</f>
        <v>רוני דידי</v>
      </c>
      <c r="J1610" t="str">
        <f>"PD0300363"</f>
        <v>PD0300363</v>
      </c>
      <c r="K1610" s="1" t="str">
        <f>"כרטיס דיגיטלי כניס לבקר סימנס 6ES7131-6BF01-0BA0"</f>
        <v>כרטיס דיגיטלי כניס לבקר סימנס 6ES7131-6BF01-0BA0</v>
      </c>
      <c r="L1610">
        <v>1</v>
      </c>
      <c r="M1610" t="str">
        <f>"PR22000245"</f>
        <v>PR22000245</v>
      </c>
      <c r="N1610" t="str">
        <f>"E000360545"</f>
        <v>E000360545</v>
      </c>
      <c r="O1610">
        <v>0</v>
      </c>
      <c r="P1610" t="str">
        <f>"$"</f>
        <v>$</v>
      </c>
      <c r="Q1610" t="str">
        <f>"118"</f>
        <v>118</v>
      </c>
      <c r="R1610" t="str">
        <f>"מערכות"</f>
        <v>מערכות</v>
      </c>
      <c r="S1610" t="str">
        <f>"007"</f>
        <v>007</v>
      </c>
      <c r="T1610" t="str">
        <f>"עמר ליגל"</f>
        <v>עמר ליגל</v>
      </c>
      <c r="U1610">
        <v>0</v>
      </c>
      <c r="V1610">
        <v>0</v>
      </c>
      <c r="W1610">
        <v>0</v>
      </c>
      <c r="X1610">
        <v>0</v>
      </c>
      <c r="Z1610" t="str">
        <f>"Y"</f>
        <v>Y</v>
      </c>
      <c r="AA1610">
        <v>0</v>
      </c>
      <c r="AC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 t="str">
        <f>"$"</f>
        <v>$</v>
      </c>
    </row>
    <row r="1611" spans="1:38" x14ac:dyDescent="0.3">
      <c r="A1611" t="str">
        <f>"SO22000113"</f>
        <v>SO22000113</v>
      </c>
      <c r="B1611" t="str">
        <f>"E000360545"</f>
        <v>E000360545</v>
      </c>
      <c r="C1611" t="str">
        <f>"בוצעה"</f>
        <v>בוצעה</v>
      </c>
      <c r="E1611" s="3">
        <v>44641</v>
      </c>
      <c r="F1611" s="3">
        <v>44880</v>
      </c>
      <c r="G1611" t="str">
        <f>"700065"</f>
        <v>700065</v>
      </c>
      <c r="H1611" t="str">
        <f>"אלתא מערכות בע""מ"</f>
        <v>אלתא מערכות בע"מ</v>
      </c>
      <c r="I1611" t="str">
        <f>"רוני דידי"</f>
        <v>רוני דידי</v>
      </c>
      <c r="J1611" t="str">
        <f>"PD0300362"</f>
        <v>PD0300362</v>
      </c>
      <c r="K1611" s="1" t="str">
        <f>"כרטיס תקשורת לבקר סימנס 6ES7137-6AA00-0BA0"</f>
        <v>כרטיס תקשורת לבקר סימנס 6ES7137-6AA00-0BA0</v>
      </c>
      <c r="L1611">
        <v>1</v>
      </c>
      <c r="M1611" t="str">
        <f>"PR22000245"</f>
        <v>PR22000245</v>
      </c>
      <c r="N1611" t="str">
        <f>"E000360545"</f>
        <v>E000360545</v>
      </c>
      <c r="O1611">
        <v>0</v>
      </c>
      <c r="P1611" t="str">
        <f>"$"</f>
        <v>$</v>
      </c>
      <c r="Q1611" t="str">
        <f>"118"</f>
        <v>118</v>
      </c>
      <c r="R1611" t="str">
        <f>"מערכות"</f>
        <v>מערכות</v>
      </c>
      <c r="S1611" t="str">
        <f>"007"</f>
        <v>007</v>
      </c>
      <c r="T1611" t="str">
        <f>"עמר ליגל"</f>
        <v>עמר ליגל</v>
      </c>
      <c r="U1611">
        <v>0</v>
      </c>
      <c r="V1611">
        <v>0</v>
      </c>
      <c r="W1611">
        <v>0</v>
      </c>
      <c r="X1611">
        <v>0</v>
      </c>
      <c r="Z1611" t="str">
        <f>"Y"</f>
        <v>Y</v>
      </c>
      <c r="AA1611">
        <v>0</v>
      </c>
      <c r="AC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 t="str">
        <f>"$"</f>
        <v>$</v>
      </c>
    </row>
    <row r="1612" spans="1:38" x14ac:dyDescent="0.3">
      <c r="A1612" t="str">
        <f>"SO22000113"</f>
        <v>SO22000113</v>
      </c>
      <c r="B1612" t="str">
        <f>"E000360545"</f>
        <v>E000360545</v>
      </c>
      <c r="C1612" t="str">
        <f>"בוצעה"</f>
        <v>בוצעה</v>
      </c>
      <c r="E1612" s="3">
        <v>44641</v>
      </c>
      <c r="F1612" s="3">
        <v>44880</v>
      </c>
      <c r="G1612" t="str">
        <f>"700065"</f>
        <v>700065</v>
      </c>
      <c r="H1612" t="str">
        <f>"אלתא מערכות בע""מ"</f>
        <v>אלתא מערכות בע"מ</v>
      </c>
      <c r="I1612" t="str">
        <f>"רוני דידי"</f>
        <v>רוני דידי</v>
      </c>
      <c r="J1612" t="str">
        <f>"PD0300361"</f>
        <v>PD0300361</v>
      </c>
      <c r="K1612" s="1" t="str">
        <f>"כרטים אנלוגי לבקר סימנס 6ES7134-6GD01-0BA1"</f>
        <v>כרטים אנלוגי לבקר סימנס 6ES7134-6GD01-0BA1</v>
      </c>
      <c r="L1612">
        <v>1</v>
      </c>
      <c r="M1612" t="str">
        <f>"PR22000245"</f>
        <v>PR22000245</v>
      </c>
      <c r="N1612" t="str">
        <f>"E000360545"</f>
        <v>E000360545</v>
      </c>
      <c r="O1612">
        <v>0</v>
      </c>
      <c r="P1612" t="str">
        <f>"$"</f>
        <v>$</v>
      </c>
      <c r="Q1612" t="str">
        <f>"118"</f>
        <v>118</v>
      </c>
      <c r="R1612" t="str">
        <f>"מערכות"</f>
        <v>מערכות</v>
      </c>
      <c r="S1612" t="str">
        <f>"007"</f>
        <v>007</v>
      </c>
      <c r="T1612" t="str">
        <f>"עמר ליגל"</f>
        <v>עמר ליגל</v>
      </c>
      <c r="U1612">
        <v>0</v>
      </c>
      <c r="V1612">
        <v>0</v>
      </c>
      <c r="W1612">
        <v>0</v>
      </c>
      <c r="X1612">
        <v>0</v>
      </c>
      <c r="Z1612" t="str">
        <f>"Y"</f>
        <v>Y</v>
      </c>
      <c r="AA1612">
        <v>0</v>
      </c>
      <c r="AC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 t="str">
        <f>"$"</f>
        <v>$</v>
      </c>
    </row>
    <row r="1613" spans="1:38" x14ac:dyDescent="0.3">
      <c r="A1613" t="str">
        <f>"SO22000113"</f>
        <v>SO22000113</v>
      </c>
      <c r="B1613" t="str">
        <f>"E000360545"</f>
        <v>E000360545</v>
      </c>
      <c r="C1613" t="str">
        <f>"בוצעה"</f>
        <v>בוצעה</v>
      </c>
      <c r="E1613" s="3">
        <v>44641</v>
      </c>
      <c r="F1613" s="3">
        <v>44880</v>
      </c>
      <c r="G1613" t="str">
        <f>"700065"</f>
        <v>700065</v>
      </c>
      <c r="H1613" t="str">
        <f>"אלתא מערכות בע""מ"</f>
        <v>אלתא מערכות בע"מ</v>
      </c>
      <c r="I1613" t="str">
        <f>"רוני דידי"</f>
        <v>רוני דידי</v>
      </c>
      <c r="J1613" t="str">
        <f>"PD0300259"</f>
        <v>PD0300259</v>
      </c>
      <c r="K1613" s="1" t="str">
        <f>"משגוח בידוד -איזומטר דגם ISORW425-D4W-4"</f>
        <v>משגוח בידוד -איזומטר דגם ISORW425-D4W-4</v>
      </c>
      <c r="L1613">
        <v>1</v>
      </c>
      <c r="M1613" t="str">
        <f>"PR22000245"</f>
        <v>PR22000245</v>
      </c>
      <c r="N1613" t="str">
        <f>"E000360545"</f>
        <v>E000360545</v>
      </c>
      <c r="O1613" s="2">
        <v>1333</v>
      </c>
      <c r="P1613" t="str">
        <f>"$"</f>
        <v>$</v>
      </c>
      <c r="Q1613" t="str">
        <f>"118"</f>
        <v>118</v>
      </c>
      <c r="R1613" t="str">
        <f>"מערכות"</f>
        <v>מערכות</v>
      </c>
      <c r="S1613" t="str">
        <f>"007"</f>
        <v>007</v>
      </c>
      <c r="T1613" t="str">
        <f>"עמר ליגל"</f>
        <v>עמר ליגל</v>
      </c>
      <c r="U1613">
        <v>0</v>
      </c>
      <c r="V1613">
        <v>0</v>
      </c>
      <c r="W1613" s="2">
        <v>1333</v>
      </c>
      <c r="X1613" s="2">
        <v>1333</v>
      </c>
      <c r="Z1613" t="str">
        <f>"Y"</f>
        <v>Y</v>
      </c>
      <c r="AA1613">
        <v>0</v>
      </c>
      <c r="AC1613">
        <v>0</v>
      </c>
      <c r="AE1613">
        <v>0</v>
      </c>
      <c r="AF1613">
        <v>0</v>
      </c>
      <c r="AG1613" s="2">
        <v>4317.59</v>
      </c>
      <c r="AH1613">
        <v>0</v>
      </c>
      <c r="AI1613" s="2">
        <v>4317.59</v>
      </c>
      <c r="AJ1613" s="2">
        <v>1333</v>
      </c>
      <c r="AK1613" s="2">
        <v>1333</v>
      </c>
      <c r="AL1613" t="str">
        <f>"$"</f>
        <v>$</v>
      </c>
    </row>
    <row r="1614" spans="1:38" x14ac:dyDescent="0.3">
      <c r="A1614" t="str">
        <f>"SO22000113"</f>
        <v>SO22000113</v>
      </c>
      <c r="B1614" t="str">
        <f>"E000360545"</f>
        <v>E000360545</v>
      </c>
      <c r="C1614" t="str">
        <f>"בוצעה"</f>
        <v>בוצעה</v>
      </c>
      <c r="E1614" s="3">
        <v>44641</v>
      </c>
      <c r="F1614" s="3">
        <v>44880</v>
      </c>
      <c r="G1614" t="str">
        <f>"700065"</f>
        <v>700065</v>
      </c>
      <c r="H1614" t="str">
        <f>"אלתא מערכות בע""מ"</f>
        <v>אלתא מערכות בע"מ</v>
      </c>
      <c r="I1614" t="str">
        <f>"רוני דידי"</f>
        <v>רוני דידי</v>
      </c>
      <c r="J1614" t="str">
        <f>"PD0300257"</f>
        <v>PD0300257</v>
      </c>
      <c r="K1614" s="1" t="str">
        <f>"משגוח בידוד איזומטר ISO685-S-P-FP200  B 91067230"</f>
        <v>משגוח בידוד איזומטר ISO685-S-P-FP200  B 91067230</v>
      </c>
      <c r="L1614">
        <v>1</v>
      </c>
      <c r="M1614" t="str">
        <f>"PR22000245"</f>
        <v>PR22000245</v>
      </c>
      <c r="N1614" t="str">
        <f>"E000360545"</f>
        <v>E000360545</v>
      </c>
      <c r="O1614" s="2">
        <v>6250</v>
      </c>
      <c r="P1614" t="str">
        <f>"$"</f>
        <v>$</v>
      </c>
      <c r="Q1614" t="str">
        <f>"118"</f>
        <v>118</v>
      </c>
      <c r="R1614" t="str">
        <f>"מערכות"</f>
        <v>מערכות</v>
      </c>
      <c r="S1614" t="str">
        <f>"007"</f>
        <v>007</v>
      </c>
      <c r="T1614" t="str">
        <f>"עמר ליגל"</f>
        <v>עמר ליגל</v>
      </c>
      <c r="U1614">
        <v>0</v>
      </c>
      <c r="V1614">
        <v>0</v>
      </c>
      <c r="W1614" s="2">
        <v>6250</v>
      </c>
      <c r="X1614" s="2">
        <v>6250</v>
      </c>
      <c r="Z1614" t="str">
        <f>"Y"</f>
        <v>Y</v>
      </c>
      <c r="AA1614">
        <v>0</v>
      </c>
      <c r="AC1614">
        <v>0</v>
      </c>
      <c r="AE1614">
        <v>0</v>
      </c>
      <c r="AF1614">
        <v>0</v>
      </c>
      <c r="AG1614" s="2">
        <v>20243.75</v>
      </c>
      <c r="AH1614">
        <v>0</v>
      </c>
      <c r="AI1614" s="2">
        <v>20243.75</v>
      </c>
      <c r="AJ1614" s="2">
        <v>6250</v>
      </c>
      <c r="AK1614" s="2">
        <v>6250</v>
      </c>
      <c r="AL1614" t="str">
        <f>"$"</f>
        <v>$</v>
      </c>
    </row>
    <row r="1615" spans="1:38" x14ac:dyDescent="0.3">
      <c r="A1615" t="str">
        <f>"SO22000113"</f>
        <v>SO22000113</v>
      </c>
      <c r="B1615" t="str">
        <f>"E000360545"</f>
        <v>E000360545</v>
      </c>
      <c r="C1615" t="str">
        <f>"בוצעה"</f>
        <v>בוצעה</v>
      </c>
      <c r="E1615" s="3">
        <v>44641</v>
      </c>
      <c r="F1615" s="3">
        <v>44880</v>
      </c>
      <c r="G1615" t="str">
        <f>"700065"</f>
        <v>700065</v>
      </c>
      <c r="H1615" t="str">
        <f>"אלתא מערכות בע""מ"</f>
        <v>אלתא מערכות בע"מ</v>
      </c>
      <c r="I1615" t="str">
        <f>"רוני דידי"</f>
        <v>רוני דידי</v>
      </c>
      <c r="J1615" t="str">
        <f>"PD0300245"</f>
        <v>PD0300245</v>
      </c>
      <c r="K1615" s="1" t="str">
        <f>"רב מודד SATEC PM135EH"</f>
        <v>רב מודד SATEC PM135EH</v>
      </c>
      <c r="L1615">
        <v>2</v>
      </c>
      <c r="M1615" t="str">
        <f>"PR22000245"</f>
        <v>PR22000245</v>
      </c>
      <c r="N1615" t="str">
        <f>"E000360545"</f>
        <v>E000360545</v>
      </c>
      <c r="O1615">
        <v>170</v>
      </c>
      <c r="P1615" t="str">
        <f>"$"</f>
        <v>$</v>
      </c>
      <c r="Q1615" t="str">
        <f>"118"</f>
        <v>118</v>
      </c>
      <c r="R1615" t="str">
        <f>"מערכות"</f>
        <v>מערכות</v>
      </c>
      <c r="S1615" t="str">
        <f>"007"</f>
        <v>007</v>
      </c>
      <c r="T1615" t="str">
        <f>"עמר ליגל"</f>
        <v>עמר ליגל</v>
      </c>
      <c r="U1615">
        <v>0</v>
      </c>
      <c r="V1615">
        <v>0</v>
      </c>
      <c r="W1615">
        <v>170</v>
      </c>
      <c r="X1615">
        <v>340</v>
      </c>
      <c r="Z1615" t="str">
        <f>"Y"</f>
        <v>Y</v>
      </c>
      <c r="AA1615">
        <v>0</v>
      </c>
      <c r="AC1615">
        <v>0</v>
      </c>
      <c r="AE1615">
        <v>0</v>
      </c>
      <c r="AF1615">
        <v>0</v>
      </c>
      <c r="AG1615">
        <v>550.63</v>
      </c>
      <c r="AH1615">
        <v>0</v>
      </c>
      <c r="AI1615" s="2">
        <v>1101.26</v>
      </c>
      <c r="AJ1615">
        <v>340</v>
      </c>
      <c r="AK1615">
        <v>340</v>
      </c>
      <c r="AL1615" t="str">
        <f>"$"</f>
        <v>$</v>
      </c>
    </row>
    <row r="1616" spans="1:38" x14ac:dyDescent="0.3">
      <c r="A1616" t="str">
        <f>"SO22000113"</f>
        <v>SO22000113</v>
      </c>
      <c r="B1616" t="str">
        <f>"E000360545"</f>
        <v>E000360545</v>
      </c>
      <c r="C1616" t="str">
        <f>"בוצעה"</f>
        <v>בוצעה</v>
      </c>
      <c r="E1616" s="3">
        <v>44641</v>
      </c>
      <c r="F1616" s="3">
        <v>44880</v>
      </c>
      <c r="G1616" t="str">
        <f>"700065"</f>
        <v>700065</v>
      </c>
      <c r="H1616" t="str">
        <f>"אלתא מערכות בע""מ"</f>
        <v>אלתא מערכות בע"מ</v>
      </c>
      <c r="I1616" t="str">
        <f>"רוני דידי"</f>
        <v>רוני דידי</v>
      </c>
      <c r="J1616" t="str">
        <f>"PD0248754"</f>
        <v>PD0248754</v>
      </c>
      <c r="K1616" s="1" t="str">
        <f>"מנוע הפעלה ABB T4-T5 220V"</f>
        <v>מנוע הפעלה ABB T4-T5 220V</v>
      </c>
      <c r="L1616">
        <v>2</v>
      </c>
      <c r="M1616" t="str">
        <f>"PR22000245"</f>
        <v>PR22000245</v>
      </c>
      <c r="N1616" t="str">
        <f>"E000360545"</f>
        <v>E000360545</v>
      </c>
      <c r="O1616">
        <v>0</v>
      </c>
      <c r="P1616" t="str">
        <f>"$"</f>
        <v>$</v>
      </c>
      <c r="Q1616" t="str">
        <f>"118"</f>
        <v>118</v>
      </c>
      <c r="R1616" t="str">
        <f>"מערכות"</f>
        <v>מערכות</v>
      </c>
      <c r="S1616" t="str">
        <f>"007"</f>
        <v>007</v>
      </c>
      <c r="T1616" t="str">
        <f>"עמר ליגל"</f>
        <v>עמר ליגל</v>
      </c>
      <c r="U1616">
        <v>0</v>
      </c>
      <c r="V1616">
        <v>0</v>
      </c>
      <c r="W1616">
        <v>0</v>
      </c>
      <c r="X1616">
        <v>0</v>
      </c>
      <c r="Z1616" t="str">
        <f>"Y"</f>
        <v>Y</v>
      </c>
      <c r="AA1616">
        <v>0</v>
      </c>
      <c r="AC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 t="str">
        <f>"$"</f>
        <v>$</v>
      </c>
    </row>
    <row r="1617" spans="1:38" x14ac:dyDescent="0.3">
      <c r="A1617" t="str">
        <f>"SO22000113"</f>
        <v>SO22000113</v>
      </c>
      <c r="B1617" t="str">
        <f>"E000360545"</f>
        <v>E000360545</v>
      </c>
      <c r="C1617" t="str">
        <f>"בוצעה"</f>
        <v>בוצעה</v>
      </c>
      <c r="E1617" s="3">
        <v>44641</v>
      </c>
      <c r="F1617" s="3">
        <v>44880</v>
      </c>
      <c r="G1617" t="str">
        <f>"700065"</f>
        <v>700065</v>
      </c>
      <c r="H1617" t="str">
        <f>"אלתא מערכות בע""מ"</f>
        <v>אלתא מערכות בע"מ</v>
      </c>
      <c r="I1617" t="str">
        <f>"רוני דידי"</f>
        <v>רוני דידי</v>
      </c>
      <c r="J1617" t="str">
        <f>"PS0300006"</f>
        <v>PS0300006</v>
      </c>
      <c r="K1617" s="1" t="str">
        <f>"TSI-EPC - 380Vac-Module BRAVO"</f>
        <v>TSI-EPC - 380Vac-Module BRAVO</v>
      </c>
      <c r="L1617">
        <v>13</v>
      </c>
      <c r="M1617" t="str">
        <f>"PR22000245"</f>
        <v>PR22000245</v>
      </c>
      <c r="N1617" t="str">
        <f>"E000360545"</f>
        <v>E000360545</v>
      </c>
      <c r="O1617" s="2">
        <v>1950</v>
      </c>
      <c r="P1617" t="str">
        <f>"$"</f>
        <v>$</v>
      </c>
      <c r="Q1617" t="str">
        <f>"118"</f>
        <v>118</v>
      </c>
      <c r="R1617" t="str">
        <f>"מערכות"</f>
        <v>מערכות</v>
      </c>
      <c r="S1617" t="str">
        <f>"007"</f>
        <v>007</v>
      </c>
      <c r="T1617" t="str">
        <f>"עמר ליגל"</f>
        <v>עמר ליגל</v>
      </c>
      <c r="U1617">
        <v>0</v>
      </c>
      <c r="V1617">
        <v>0</v>
      </c>
      <c r="W1617" s="2">
        <v>1950</v>
      </c>
      <c r="X1617" s="2">
        <v>25350</v>
      </c>
      <c r="Z1617" t="str">
        <f>"Y"</f>
        <v>Y</v>
      </c>
      <c r="AA1617">
        <v>0</v>
      </c>
      <c r="AC1617">
        <v>0</v>
      </c>
      <c r="AE1617">
        <v>0</v>
      </c>
      <c r="AF1617">
        <v>0</v>
      </c>
      <c r="AG1617" s="2">
        <v>6316.05</v>
      </c>
      <c r="AH1617">
        <v>0</v>
      </c>
      <c r="AI1617" s="2">
        <v>82108.649999999994</v>
      </c>
      <c r="AJ1617" s="2">
        <v>25350</v>
      </c>
      <c r="AK1617" s="2">
        <v>25350</v>
      </c>
      <c r="AL1617" t="str">
        <f>"$"</f>
        <v>$</v>
      </c>
    </row>
    <row r="1618" spans="1:38" x14ac:dyDescent="0.3">
      <c r="A1618" t="str">
        <f>"SO22000113"</f>
        <v>SO22000113</v>
      </c>
      <c r="B1618" t="str">
        <f>"E000360545"</f>
        <v>E000360545</v>
      </c>
      <c r="C1618" t="str">
        <f>"בוצעה"</f>
        <v>בוצעה</v>
      </c>
      <c r="E1618" s="3">
        <v>44641</v>
      </c>
      <c r="F1618" s="3">
        <v>44733</v>
      </c>
      <c r="G1618" t="str">
        <f>"700065"</f>
        <v>700065</v>
      </c>
      <c r="H1618" t="str">
        <f>"אלתא מערכות בע""מ"</f>
        <v>אלתא מערכות בע"מ</v>
      </c>
      <c r="I1618" t="str">
        <f>"רוני דידי"</f>
        <v>רוני דידי</v>
      </c>
      <c r="J1618" t="str">
        <f>"PS0300006"</f>
        <v>PS0300006</v>
      </c>
      <c r="K1618" s="1" t="str">
        <f>"TSI-EPC - 380Vac-Module BRAVO"</f>
        <v>TSI-EPC - 380Vac-Module BRAVO</v>
      </c>
      <c r="L1618">
        <v>3</v>
      </c>
      <c r="O1618">
        <v>0</v>
      </c>
      <c r="P1618" t="str">
        <f>"$"</f>
        <v>$</v>
      </c>
      <c r="Q1618" t="str">
        <f>"118"</f>
        <v>118</v>
      </c>
      <c r="R1618" t="str">
        <f>"מערכות"</f>
        <v>מערכות</v>
      </c>
      <c r="S1618" t="str">
        <f>"007"</f>
        <v>007</v>
      </c>
      <c r="T1618" t="str">
        <f>"עמר ליגל"</f>
        <v>עמר ליגל</v>
      </c>
      <c r="U1618">
        <v>0</v>
      </c>
      <c r="V1618">
        <v>0</v>
      </c>
      <c r="W1618">
        <v>0</v>
      </c>
      <c r="X1618">
        <v>0</v>
      </c>
      <c r="Z1618" t="str">
        <f>"Y"</f>
        <v>Y</v>
      </c>
      <c r="AA1618">
        <v>0</v>
      </c>
      <c r="AC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 t="str">
        <f>"$"</f>
        <v>$</v>
      </c>
    </row>
    <row r="1619" spans="1:38" x14ac:dyDescent="0.3">
      <c r="A1619" t="str">
        <f>"SO22000113"</f>
        <v>SO22000113</v>
      </c>
      <c r="B1619" t="str">
        <f>"E000360545"</f>
        <v>E000360545</v>
      </c>
      <c r="C1619" t="str">
        <f>"בוצעה"</f>
        <v>בוצעה</v>
      </c>
      <c r="E1619" s="3">
        <v>44641</v>
      </c>
      <c r="F1619" s="3">
        <v>44711</v>
      </c>
      <c r="G1619" t="str">
        <f>"700065"</f>
        <v>700065</v>
      </c>
      <c r="H1619" t="str">
        <f>"אלתא מערכות בע""מ"</f>
        <v>אלתא מערכות בע"מ</v>
      </c>
      <c r="I1619" t="str">
        <f>"רוני דידי"</f>
        <v>רוני דידי</v>
      </c>
      <c r="J1619" t="str">
        <f>"PS0200161"</f>
        <v>PS0200161</v>
      </c>
      <c r="K1619" s="1" t="str">
        <f>"ספק כח ווידמולר 1478150000 pro max 960W 24V 40A"</f>
        <v>ספק כח ווידמולר 1478150000 pro max 960W 24V 40A</v>
      </c>
      <c r="L1619">
        <v>5</v>
      </c>
      <c r="O1619">
        <v>0</v>
      </c>
      <c r="P1619" t="str">
        <f>"$"</f>
        <v>$</v>
      </c>
      <c r="Q1619" t="str">
        <f>"118"</f>
        <v>118</v>
      </c>
      <c r="R1619" t="str">
        <f>"מערכות"</f>
        <v>מערכות</v>
      </c>
      <c r="S1619" t="str">
        <f>"007"</f>
        <v>007</v>
      </c>
      <c r="T1619" t="str">
        <f>"עמר ליגל"</f>
        <v>עמר ליגל</v>
      </c>
      <c r="U1619">
        <v>0</v>
      </c>
      <c r="V1619">
        <v>0</v>
      </c>
      <c r="W1619">
        <v>0</v>
      </c>
      <c r="X1619">
        <v>0</v>
      </c>
      <c r="Z1619" t="str">
        <f>"Y"</f>
        <v>Y</v>
      </c>
      <c r="AA1619">
        <v>5</v>
      </c>
      <c r="AC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 t="str">
        <f>"$"</f>
        <v>$</v>
      </c>
    </row>
    <row r="1620" spans="1:38" x14ac:dyDescent="0.3">
      <c r="A1620" t="str">
        <f>"SO22000113"</f>
        <v>SO22000113</v>
      </c>
      <c r="B1620" t="str">
        <f>"E000360545"</f>
        <v>E000360545</v>
      </c>
      <c r="C1620" t="str">
        <f>"בוצעה"</f>
        <v>בוצעה</v>
      </c>
      <c r="E1620" s="3">
        <v>44641</v>
      </c>
      <c r="F1620" s="3">
        <v>44711</v>
      </c>
      <c r="G1620" t="str">
        <f>"700065"</f>
        <v>700065</v>
      </c>
      <c r="H1620" t="str">
        <f>"אלתא מערכות בע""מ"</f>
        <v>אלתא מערכות בע"מ</v>
      </c>
      <c r="I1620" t="str">
        <f>"רוני דידי"</f>
        <v>רוני דידי</v>
      </c>
      <c r="J1620" t="str">
        <f>"PD0300364"</f>
        <v>PD0300364</v>
      </c>
      <c r="K1620" s="1" t="str">
        <f>"כרטיס דיגיטלי יציאה לבקר סימנס 6ES7132-6BF01-0BA0"</f>
        <v>כרטיס דיגיטלי יציאה לבקר סימנס 6ES7132-6BF01-0BA0</v>
      </c>
      <c r="L1620">
        <v>1</v>
      </c>
      <c r="O1620">
        <v>130</v>
      </c>
      <c r="P1620" t="str">
        <f>"$"</f>
        <v>$</v>
      </c>
      <c r="Q1620" t="str">
        <f>"118"</f>
        <v>118</v>
      </c>
      <c r="R1620" t="str">
        <f>"מערכות"</f>
        <v>מערכות</v>
      </c>
      <c r="S1620" t="str">
        <f>"007"</f>
        <v>007</v>
      </c>
      <c r="T1620" t="str">
        <f>"עמר ליגל"</f>
        <v>עמר ליגל</v>
      </c>
      <c r="U1620">
        <v>0</v>
      </c>
      <c r="V1620">
        <v>0</v>
      </c>
      <c r="W1620">
        <v>130</v>
      </c>
      <c r="X1620">
        <v>130</v>
      </c>
      <c r="Z1620" t="str">
        <f>"Y"</f>
        <v>Y</v>
      </c>
      <c r="AA1620">
        <v>0</v>
      </c>
      <c r="AC1620">
        <v>0</v>
      </c>
      <c r="AE1620">
        <v>0</v>
      </c>
      <c r="AF1620">
        <v>0</v>
      </c>
      <c r="AG1620">
        <v>421.07</v>
      </c>
      <c r="AH1620">
        <v>0</v>
      </c>
      <c r="AI1620">
        <v>421.07</v>
      </c>
      <c r="AJ1620">
        <v>130</v>
      </c>
      <c r="AK1620">
        <v>130</v>
      </c>
      <c r="AL1620" t="str">
        <f>"$"</f>
        <v>$</v>
      </c>
    </row>
    <row r="1621" spans="1:38" x14ac:dyDescent="0.3">
      <c r="A1621" t="str">
        <f>"SO22000113"</f>
        <v>SO22000113</v>
      </c>
      <c r="B1621" t="str">
        <f>"E000360545"</f>
        <v>E000360545</v>
      </c>
      <c r="C1621" t="str">
        <f>"בוצעה"</f>
        <v>בוצעה</v>
      </c>
      <c r="E1621" s="3">
        <v>44641</v>
      </c>
      <c r="F1621" s="3">
        <v>44711</v>
      </c>
      <c r="G1621" t="str">
        <f>"700065"</f>
        <v>700065</v>
      </c>
      <c r="H1621" t="str">
        <f>"אלתא מערכות בע""מ"</f>
        <v>אלתא מערכות בע"מ</v>
      </c>
      <c r="I1621" t="str">
        <f>"רוני דידי"</f>
        <v>רוני דידי</v>
      </c>
      <c r="J1621" t="str">
        <f>"PD0300363"</f>
        <v>PD0300363</v>
      </c>
      <c r="K1621" s="1" t="str">
        <f>"כרטיס דיגיטלי כניס לבקר סימנס 6ES7131-6BF01-0BA0"</f>
        <v>כרטיס דיגיטלי כניס לבקר סימנס 6ES7131-6BF01-0BA0</v>
      </c>
      <c r="L1621">
        <v>1</v>
      </c>
      <c r="O1621">
        <v>115</v>
      </c>
      <c r="P1621" t="str">
        <f>"$"</f>
        <v>$</v>
      </c>
      <c r="Q1621" t="str">
        <f>"118"</f>
        <v>118</v>
      </c>
      <c r="R1621" t="str">
        <f>"מערכות"</f>
        <v>מערכות</v>
      </c>
      <c r="S1621" t="str">
        <f>"007"</f>
        <v>007</v>
      </c>
      <c r="T1621" t="str">
        <f>"עמר ליגל"</f>
        <v>עמר ליגל</v>
      </c>
      <c r="U1621">
        <v>0</v>
      </c>
      <c r="V1621">
        <v>0</v>
      </c>
      <c r="W1621">
        <v>115</v>
      </c>
      <c r="X1621">
        <v>115</v>
      </c>
      <c r="Z1621" t="str">
        <f>"Y"</f>
        <v>Y</v>
      </c>
      <c r="AA1621">
        <v>0</v>
      </c>
      <c r="AC1621">
        <v>0</v>
      </c>
      <c r="AE1621">
        <v>0</v>
      </c>
      <c r="AF1621">
        <v>0</v>
      </c>
      <c r="AG1621">
        <v>372.49</v>
      </c>
      <c r="AH1621">
        <v>0</v>
      </c>
      <c r="AI1621">
        <v>372.49</v>
      </c>
      <c r="AJ1621">
        <v>115</v>
      </c>
      <c r="AK1621">
        <v>115</v>
      </c>
      <c r="AL1621" t="str">
        <f>"$"</f>
        <v>$</v>
      </c>
    </row>
    <row r="1622" spans="1:38" x14ac:dyDescent="0.3">
      <c r="A1622" t="str">
        <f>"SO22000113"</f>
        <v>SO22000113</v>
      </c>
      <c r="B1622" t="str">
        <f>"E000360545"</f>
        <v>E000360545</v>
      </c>
      <c r="C1622" t="str">
        <f>"בוצעה"</f>
        <v>בוצעה</v>
      </c>
      <c r="E1622" s="3">
        <v>44641</v>
      </c>
      <c r="F1622" s="3">
        <v>44711</v>
      </c>
      <c r="G1622" t="str">
        <f>"700065"</f>
        <v>700065</v>
      </c>
      <c r="H1622" t="str">
        <f>"אלתא מערכות בע""מ"</f>
        <v>אלתא מערכות בע"מ</v>
      </c>
      <c r="I1622" t="str">
        <f>"רוני דידי"</f>
        <v>רוני דידי</v>
      </c>
      <c r="J1622" t="str">
        <f>"PD0300362"</f>
        <v>PD0300362</v>
      </c>
      <c r="K1622" s="1" t="str">
        <f>"כרטיס תקשורת לבקר סימנס 6ES7137-6AA00-0BA0"</f>
        <v>כרטיס תקשורת לבקר סימנס 6ES7137-6AA00-0BA0</v>
      </c>
      <c r="L1622">
        <v>1</v>
      </c>
      <c r="O1622">
        <v>608</v>
      </c>
      <c r="P1622" t="str">
        <f>"$"</f>
        <v>$</v>
      </c>
      <c r="Q1622" t="str">
        <f>"118"</f>
        <v>118</v>
      </c>
      <c r="R1622" t="str">
        <f>"מערכות"</f>
        <v>מערכות</v>
      </c>
      <c r="S1622" t="str">
        <f>"007"</f>
        <v>007</v>
      </c>
      <c r="T1622" t="str">
        <f>"עמר ליגל"</f>
        <v>עמר ליגל</v>
      </c>
      <c r="U1622">
        <v>0</v>
      </c>
      <c r="V1622">
        <v>0</v>
      </c>
      <c r="W1622">
        <v>608</v>
      </c>
      <c r="X1622">
        <v>608</v>
      </c>
      <c r="Z1622" t="str">
        <f>"Y"</f>
        <v>Y</v>
      </c>
      <c r="AA1622">
        <v>0</v>
      </c>
      <c r="AC1622">
        <v>0</v>
      </c>
      <c r="AE1622">
        <v>0</v>
      </c>
      <c r="AF1622">
        <v>0</v>
      </c>
      <c r="AG1622" s="2">
        <v>1969.31</v>
      </c>
      <c r="AH1622">
        <v>0</v>
      </c>
      <c r="AI1622" s="2">
        <v>1969.31</v>
      </c>
      <c r="AJ1622">
        <v>608</v>
      </c>
      <c r="AK1622">
        <v>608</v>
      </c>
      <c r="AL1622" t="str">
        <f>"$"</f>
        <v>$</v>
      </c>
    </row>
    <row r="1623" spans="1:38" x14ac:dyDescent="0.3">
      <c r="A1623" t="str">
        <f>"SO22000113"</f>
        <v>SO22000113</v>
      </c>
      <c r="B1623" t="str">
        <f>"E000360545"</f>
        <v>E000360545</v>
      </c>
      <c r="C1623" t="str">
        <f>"בוצעה"</f>
        <v>בוצעה</v>
      </c>
      <c r="E1623" s="3">
        <v>44641</v>
      </c>
      <c r="F1623" s="3">
        <v>44711</v>
      </c>
      <c r="G1623" t="str">
        <f>"700065"</f>
        <v>700065</v>
      </c>
      <c r="H1623" t="str">
        <f>"אלתא מערכות בע""מ"</f>
        <v>אלתא מערכות בע"מ</v>
      </c>
      <c r="I1623" t="str">
        <f>"רוני דידי"</f>
        <v>רוני דידי</v>
      </c>
      <c r="J1623" t="str">
        <f>"PD0300361"</f>
        <v>PD0300361</v>
      </c>
      <c r="K1623" s="1" t="str">
        <f>"כרטים אנלוגי לבקר סימנס 6ES7134-6GD01-0BA1"</f>
        <v>כרטים אנלוגי לבקר סימנס 6ES7134-6GD01-0BA1</v>
      </c>
      <c r="L1623">
        <v>1</v>
      </c>
      <c r="O1623">
        <v>398</v>
      </c>
      <c r="P1623" t="str">
        <f>"$"</f>
        <v>$</v>
      </c>
      <c r="Q1623" t="str">
        <f>"118"</f>
        <v>118</v>
      </c>
      <c r="R1623" t="str">
        <f>"מערכות"</f>
        <v>מערכות</v>
      </c>
      <c r="S1623" t="str">
        <f>"007"</f>
        <v>007</v>
      </c>
      <c r="T1623" t="str">
        <f>"עמר ליגל"</f>
        <v>עמר ליגל</v>
      </c>
      <c r="U1623">
        <v>0</v>
      </c>
      <c r="V1623">
        <v>0</v>
      </c>
      <c r="W1623">
        <v>398</v>
      </c>
      <c r="X1623">
        <v>398</v>
      </c>
      <c r="Z1623" t="str">
        <f>"Y"</f>
        <v>Y</v>
      </c>
      <c r="AA1623">
        <v>0</v>
      </c>
      <c r="AC1623">
        <v>0</v>
      </c>
      <c r="AE1623">
        <v>0</v>
      </c>
      <c r="AF1623">
        <v>0</v>
      </c>
      <c r="AG1623" s="2">
        <v>1289.1199999999999</v>
      </c>
      <c r="AH1623">
        <v>0</v>
      </c>
      <c r="AI1623" s="2">
        <v>1289.1199999999999</v>
      </c>
      <c r="AJ1623">
        <v>398</v>
      </c>
      <c r="AK1623">
        <v>398</v>
      </c>
      <c r="AL1623" t="str">
        <f>"$"</f>
        <v>$</v>
      </c>
    </row>
    <row r="1624" spans="1:38" x14ac:dyDescent="0.3">
      <c r="A1624" t="str">
        <f>"SO22000113"</f>
        <v>SO22000113</v>
      </c>
      <c r="B1624" t="str">
        <f>"E000360545"</f>
        <v>E000360545</v>
      </c>
      <c r="C1624" t="str">
        <f>"בוצעה"</f>
        <v>בוצעה</v>
      </c>
      <c r="E1624" s="3">
        <v>44641</v>
      </c>
      <c r="F1624" s="3">
        <v>44711</v>
      </c>
      <c r="G1624" t="str">
        <f>"700065"</f>
        <v>700065</v>
      </c>
      <c r="H1624" t="str">
        <f>"אלתא מערכות בע""מ"</f>
        <v>אלתא מערכות בע"מ</v>
      </c>
      <c r="I1624" t="str">
        <f>"רוני דידי"</f>
        <v>רוני דידי</v>
      </c>
      <c r="J1624" t="str">
        <f>"PD0248754"</f>
        <v>PD0248754</v>
      </c>
      <c r="K1624" s="1" t="str">
        <f>"מנוע הפעלה ABB T4-T5 220V"</f>
        <v>מנוע הפעלה ABB T4-T5 220V</v>
      </c>
      <c r="L1624">
        <v>2</v>
      </c>
      <c r="O1624">
        <v>390</v>
      </c>
      <c r="P1624" t="str">
        <f>"$"</f>
        <v>$</v>
      </c>
      <c r="Q1624" t="str">
        <f>"118"</f>
        <v>118</v>
      </c>
      <c r="R1624" t="str">
        <f>"מערכות"</f>
        <v>מערכות</v>
      </c>
      <c r="S1624" t="str">
        <f>"007"</f>
        <v>007</v>
      </c>
      <c r="T1624" t="str">
        <f>"עמר ליגל"</f>
        <v>עמר ליגל</v>
      </c>
      <c r="U1624">
        <v>0</v>
      </c>
      <c r="V1624">
        <v>0</v>
      </c>
      <c r="W1624">
        <v>390</v>
      </c>
      <c r="X1624">
        <v>780</v>
      </c>
      <c r="Z1624" t="str">
        <f>"Y"</f>
        <v>Y</v>
      </c>
      <c r="AA1624">
        <v>0</v>
      </c>
      <c r="AC1624">
        <v>0</v>
      </c>
      <c r="AE1624">
        <v>0</v>
      </c>
      <c r="AF1624">
        <v>0</v>
      </c>
      <c r="AG1624" s="2">
        <v>1263.21</v>
      </c>
      <c r="AH1624">
        <v>0</v>
      </c>
      <c r="AI1624" s="2">
        <v>2526.42</v>
      </c>
      <c r="AJ1624">
        <v>780</v>
      </c>
      <c r="AK1624">
        <v>780</v>
      </c>
      <c r="AL1624" t="str">
        <f>"$"</f>
        <v>$</v>
      </c>
    </row>
    <row r="1625" spans="1:38" x14ac:dyDescent="0.3">
      <c r="A1625" t="str">
        <f>"SO22000113"</f>
        <v>SO22000113</v>
      </c>
      <c r="B1625" t="str">
        <f>"E000360545"</f>
        <v>E000360545</v>
      </c>
      <c r="C1625" t="str">
        <f>"בוצעה"</f>
        <v>בוצעה</v>
      </c>
      <c r="E1625" s="3">
        <v>44641</v>
      </c>
      <c r="F1625" s="3">
        <v>44711</v>
      </c>
      <c r="G1625" t="str">
        <f>"700065"</f>
        <v>700065</v>
      </c>
      <c r="H1625" t="str">
        <f>"אלתא מערכות בע""מ"</f>
        <v>אלתא מערכות בע"מ</v>
      </c>
      <c r="I1625" t="str">
        <f>"רוני דידי"</f>
        <v>רוני דידי</v>
      </c>
      <c r="J1625" t="str">
        <f>"PS0200161"</f>
        <v>PS0200161</v>
      </c>
      <c r="K1625" s="1" t="str">
        <f>"ספק כח ווידמולר 1478150000 pro max 960W 24V 40A"</f>
        <v>ספק כח ווידמולר 1478150000 pro max 960W 24V 40A</v>
      </c>
      <c r="L1625">
        <v>6</v>
      </c>
      <c r="O1625">
        <v>630</v>
      </c>
      <c r="P1625" t="str">
        <f>"$"</f>
        <v>$</v>
      </c>
      <c r="Q1625" t="str">
        <f>"118"</f>
        <v>118</v>
      </c>
      <c r="R1625" t="str">
        <f>"מערכות"</f>
        <v>מערכות</v>
      </c>
      <c r="S1625" t="str">
        <f>"007"</f>
        <v>007</v>
      </c>
      <c r="T1625" t="str">
        <f>"עמר ליגל"</f>
        <v>עמר ליגל</v>
      </c>
      <c r="U1625">
        <v>0</v>
      </c>
      <c r="V1625">
        <v>0</v>
      </c>
      <c r="W1625">
        <v>630</v>
      </c>
      <c r="X1625" s="2">
        <v>3780</v>
      </c>
      <c r="Z1625" t="str">
        <f>"Y"</f>
        <v>Y</v>
      </c>
      <c r="AA1625">
        <v>1</v>
      </c>
      <c r="AC1625">
        <v>0</v>
      </c>
      <c r="AE1625">
        <v>0</v>
      </c>
      <c r="AF1625">
        <v>0</v>
      </c>
      <c r="AG1625" s="2">
        <v>2040.57</v>
      </c>
      <c r="AH1625">
        <v>0</v>
      </c>
      <c r="AI1625" s="2">
        <v>12243.42</v>
      </c>
      <c r="AJ1625" s="2">
        <v>3780</v>
      </c>
      <c r="AK1625" s="2">
        <v>3780</v>
      </c>
      <c r="AL1625" t="str">
        <f>"$"</f>
        <v>$</v>
      </c>
    </row>
    <row r="1626" spans="1:38" x14ac:dyDescent="0.3">
      <c r="A1626" t="str">
        <f>"SO22000113"</f>
        <v>SO22000113</v>
      </c>
      <c r="B1626" t="str">
        <f>"E000360545"</f>
        <v>E000360545</v>
      </c>
      <c r="C1626" t="str">
        <f>"בוצעה"</f>
        <v>בוצעה</v>
      </c>
      <c r="E1626" s="3">
        <v>44641</v>
      </c>
      <c r="F1626" s="3">
        <v>45031</v>
      </c>
      <c r="G1626" t="str">
        <f>"700065"</f>
        <v>700065</v>
      </c>
      <c r="H1626" t="str">
        <f>"אלתא מערכות בע""מ"</f>
        <v>אלתא מערכות בע"מ</v>
      </c>
      <c r="I1626" t="str">
        <f>"רוני דידי"</f>
        <v>רוני דידי</v>
      </c>
      <c r="J1626" t="str">
        <f>"PS9900057"</f>
        <v>PS9900057</v>
      </c>
      <c r="K1626" s="1" t="str">
        <f>"TSI-T2S-ETH-BRAVO-2C-HVDC"</f>
        <v>TSI-T2S-ETH-BRAVO-2C-HVDC</v>
      </c>
      <c r="L1626">
        <v>3</v>
      </c>
      <c r="O1626">
        <v>426</v>
      </c>
      <c r="P1626" t="str">
        <f>"$"</f>
        <v>$</v>
      </c>
      <c r="Q1626" t="str">
        <f>"118"</f>
        <v>118</v>
      </c>
      <c r="R1626" t="str">
        <f>"מערכות"</f>
        <v>מערכות</v>
      </c>
      <c r="S1626" t="str">
        <f>"007"</f>
        <v>007</v>
      </c>
      <c r="T1626" t="str">
        <f>"עמר ליגל"</f>
        <v>עמר ליגל</v>
      </c>
      <c r="U1626">
        <v>0</v>
      </c>
      <c r="V1626">
        <v>0</v>
      </c>
      <c r="W1626">
        <v>426</v>
      </c>
      <c r="X1626" s="2">
        <v>1278</v>
      </c>
      <c r="Z1626" t="str">
        <f>"Y"</f>
        <v>Y</v>
      </c>
      <c r="AA1626">
        <v>0</v>
      </c>
      <c r="AC1626">
        <v>0</v>
      </c>
      <c r="AE1626">
        <v>0</v>
      </c>
      <c r="AF1626">
        <v>0</v>
      </c>
      <c r="AG1626" s="2">
        <v>1379.81</v>
      </c>
      <c r="AH1626">
        <v>0</v>
      </c>
      <c r="AI1626" s="2">
        <v>4139.4399999999996</v>
      </c>
      <c r="AJ1626" s="2">
        <v>1278</v>
      </c>
      <c r="AK1626" s="2">
        <v>1278</v>
      </c>
      <c r="AL1626" t="str">
        <f>"$"</f>
        <v>$</v>
      </c>
    </row>
    <row r="1627" spans="1:38" x14ac:dyDescent="0.3">
      <c r="A1627" t="str">
        <f>"SO22000114"</f>
        <v>SO22000114</v>
      </c>
      <c r="B1627" t="str">
        <f>"E000360381"</f>
        <v>E000360381</v>
      </c>
      <c r="C1627" t="str">
        <f>"בסיום הרכבה"</f>
        <v>בסיום הרכבה</v>
      </c>
      <c r="E1627" s="3">
        <v>44641</v>
      </c>
      <c r="F1627" s="3">
        <v>44712</v>
      </c>
      <c r="G1627" t="str">
        <f>"700065"</f>
        <v>700065</v>
      </c>
      <c r="H1627" t="str">
        <f>"אלתא מערכות בע""מ"</f>
        <v>אלתא מערכות בע"מ</v>
      </c>
      <c r="I1627" t="str">
        <f>"רחמים זרוק"</f>
        <v>רחמים זרוק</v>
      </c>
      <c r="J1627" t="str">
        <f>"OP-AR03040"</f>
        <v>OP-AR03040</v>
      </c>
      <c r="K1627" s="1" t="str">
        <f>"2222B150-001   CABLE ASSY ORW100"</f>
        <v>2222B150-001   CABLE ASSY ORW100</v>
      </c>
      <c r="L1627">
        <v>1</v>
      </c>
      <c r="M1627" t="str">
        <f>"PR22000244"</f>
        <v>PR22000244</v>
      </c>
      <c r="N1627" t="str">
        <f>"ORW100 CABLE ASSY"</f>
        <v>ORW100 CABLE ASSY</v>
      </c>
      <c r="O1627" s="2">
        <v>1050.5</v>
      </c>
      <c r="P1627" t="str">
        <f>"$"</f>
        <v>$</v>
      </c>
      <c r="Q1627" t="str">
        <f>"117"</f>
        <v>117</v>
      </c>
      <c r="R1627" t="str">
        <f>"רתמות"</f>
        <v>רתמות</v>
      </c>
      <c r="S1627" t="str">
        <f>"040"</f>
        <v>040</v>
      </c>
      <c r="T1627" t="str">
        <f>"עמר ליגל"</f>
        <v>עמר ליגל</v>
      </c>
      <c r="U1627">
        <v>0</v>
      </c>
      <c r="V1627">
        <v>0</v>
      </c>
      <c r="W1627" s="2">
        <v>1050.5</v>
      </c>
      <c r="X1627" s="2">
        <v>1050.5</v>
      </c>
      <c r="Z1627" t="str">
        <f>"Y"</f>
        <v>Y</v>
      </c>
      <c r="AA1627">
        <v>0</v>
      </c>
      <c r="AC1627">
        <v>0</v>
      </c>
      <c r="AE1627">
        <v>0</v>
      </c>
      <c r="AF1627">
        <v>0</v>
      </c>
      <c r="AG1627" s="2">
        <v>3402.57</v>
      </c>
      <c r="AH1627">
        <v>0</v>
      </c>
      <c r="AI1627" s="2">
        <v>3402.57</v>
      </c>
      <c r="AJ1627" s="2">
        <v>1050.5</v>
      </c>
      <c r="AK1627" s="2">
        <v>1050.5</v>
      </c>
      <c r="AL1627" t="str">
        <f>"$"</f>
        <v>$</v>
      </c>
    </row>
    <row r="1628" spans="1:38" x14ac:dyDescent="0.3">
      <c r="A1628" t="str">
        <f>"SO22000114"</f>
        <v>SO22000114</v>
      </c>
      <c r="B1628" t="str">
        <f>"E000360381"</f>
        <v>E000360381</v>
      </c>
      <c r="C1628" t="str">
        <f>"בסיום הרכבה"</f>
        <v>בסיום הרכבה</v>
      </c>
      <c r="E1628" s="3">
        <v>44641</v>
      </c>
      <c r="F1628" s="3">
        <v>44742</v>
      </c>
      <c r="G1628" t="str">
        <f>"700065"</f>
        <v>700065</v>
      </c>
      <c r="H1628" t="str">
        <f>"אלתא מערכות בע""מ"</f>
        <v>אלתא מערכות בע"מ</v>
      </c>
      <c r="I1628" t="str">
        <f>"רחמים זרוק"</f>
        <v>רחמים זרוק</v>
      </c>
      <c r="J1628" t="str">
        <f>"OP-AR03041"</f>
        <v>OP-AR03041</v>
      </c>
      <c r="K1628" s="1" t="str">
        <f>"2222B152-001   CABLE ASSY ORW101"</f>
        <v>2222B152-001   CABLE ASSY ORW101</v>
      </c>
      <c r="L1628">
        <v>1</v>
      </c>
      <c r="M1628" t="str">
        <f>"PR22000244"</f>
        <v>PR22000244</v>
      </c>
      <c r="N1628" t="str">
        <f>"ORW100 CABLE ASSY"</f>
        <v>ORW100 CABLE ASSY</v>
      </c>
      <c r="O1628">
        <v>728.3</v>
      </c>
      <c r="P1628" t="str">
        <f>"$"</f>
        <v>$</v>
      </c>
      <c r="Q1628" t="str">
        <f>"117"</f>
        <v>117</v>
      </c>
      <c r="R1628" t="str">
        <f>"רתמות"</f>
        <v>רתמות</v>
      </c>
      <c r="S1628" t="str">
        <f>"040"</f>
        <v>040</v>
      </c>
      <c r="T1628" t="str">
        <f>"עמר ליגל"</f>
        <v>עמר ליגל</v>
      </c>
      <c r="U1628">
        <v>0</v>
      </c>
      <c r="V1628">
        <v>0</v>
      </c>
      <c r="W1628">
        <v>728.3</v>
      </c>
      <c r="X1628">
        <v>728.3</v>
      </c>
      <c r="Z1628" t="str">
        <f>"Y"</f>
        <v>Y</v>
      </c>
      <c r="AA1628">
        <v>0</v>
      </c>
      <c r="AC1628">
        <v>0</v>
      </c>
      <c r="AE1628">
        <v>0</v>
      </c>
      <c r="AF1628">
        <v>0</v>
      </c>
      <c r="AG1628" s="2">
        <v>2358.96</v>
      </c>
      <c r="AH1628">
        <v>0</v>
      </c>
      <c r="AI1628" s="2">
        <v>2358.96</v>
      </c>
      <c r="AJ1628">
        <v>728.3</v>
      </c>
      <c r="AK1628">
        <v>728.3</v>
      </c>
      <c r="AL1628" t="str">
        <f>"$"</f>
        <v>$</v>
      </c>
    </row>
    <row r="1629" spans="1:38" x14ac:dyDescent="0.3">
      <c r="A1629" t="str">
        <f>"SO22000114"</f>
        <v>SO22000114</v>
      </c>
      <c r="B1629" t="str">
        <f>"E000360381"</f>
        <v>E000360381</v>
      </c>
      <c r="C1629" t="str">
        <f>"בסיום הרכבה"</f>
        <v>בסיום הרכבה</v>
      </c>
      <c r="E1629" s="3">
        <v>44641</v>
      </c>
      <c r="F1629" s="3">
        <v>44712</v>
      </c>
      <c r="G1629" t="str">
        <f>"700065"</f>
        <v>700065</v>
      </c>
      <c r="H1629" t="str">
        <f>"אלתא מערכות בע""מ"</f>
        <v>אלתא מערכות בע"מ</v>
      </c>
      <c r="I1629" t="str">
        <f>"רחמים זרוק"</f>
        <v>רחמים זרוק</v>
      </c>
      <c r="J1629" t="str">
        <f>"OP-AR03042"</f>
        <v>OP-AR03042</v>
      </c>
      <c r="K1629" s="1" t="str">
        <f>"2222B154-001   CABLE ASSY ORW102"</f>
        <v>2222B154-001   CABLE ASSY ORW102</v>
      </c>
      <c r="L1629">
        <v>1</v>
      </c>
      <c r="M1629" t="str">
        <f>"PR22000244"</f>
        <v>PR22000244</v>
      </c>
      <c r="N1629" t="str">
        <f>"ORW100 CABLE ASSY"</f>
        <v>ORW100 CABLE ASSY</v>
      </c>
      <c r="O1629">
        <v>825.15</v>
      </c>
      <c r="P1629" t="str">
        <f>"$"</f>
        <v>$</v>
      </c>
      <c r="Q1629" t="str">
        <f>"117"</f>
        <v>117</v>
      </c>
      <c r="R1629" t="str">
        <f>"רתמות"</f>
        <v>רתמות</v>
      </c>
      <c r="S1629" t="str">
        <f>"040"</f>
        <v>040</v>
      </c>
      <c r="T1629" t="str">
        <f>"עמר ליגל"</f>
        <v>עמר ליגל</v>
      </c>
      <c r="U1629">
        <v>0</v>
      </c>
      <c r="V1629">
        <v>0</v>
      </c>
      <c r="W1629">
        <v>825.15</v>
      </c>
      <c r="X1629">
        <v>825.15</v>
      </c>
      <c r="Z1629" t="str">
        <f>"Y"</f>
        <v>Y</v>
      </c>
      <c r="AA1629">
        <v>0</v>
      </c>
      <c r="AC1629">
        <v>0</v>
      </c>
      <c r="AE1629">
        <v>0</v>
      </c>
      <c r="AF1629">
        <v>0</v>
      </c>
      <c r="AG1629" s="2">
        <v>2672.66</v>
      </c>
      <c r="AH1629">
        <v>0</v>
      </c>
      <c r="AI1629" s="2">
        <v>2672.66</v>
      </c>
      <c r="AJ1629">
        <v>825.15</v>
      </c>
      <c r="AK1629">
        <v>825.15</v>
      </c>
      <c r="AL1629" t="str">
        <f>"$"</f>
        <v>$</v>
      </c>
    </row>
    <row r="1630" spans="1:38" x14ac:dyDescent="0.3">
      <c r="A1630" t="str">
        <f>"SO22000114"</f>
        <v>SO22000114</v>
      </c>
      <c r="B1630" t="str">
        <f>"E000360381"</f>
        <v>E000360381</v>
      </c>
      <c r="C1630" t="str">
        <f>"בסיום הרכבה"</f>
        <v>בסיום הרכבה</v>
      </c>
      <c r="E1630" s="3">
        <v>44641</v>
      </c>
      <c r="F1630" s="3">
        <v>44775</v>
      </c>
      <c r="G1630" t="str">
        <f>"700065"</f>
        <v>700065</v>
      </c>
      <c r="H1630" t="str">
        <f>"אלתא מערכות בע""מ"</f>
        <v>אלתא מערכות בע"מ</v>
      </c>
      <c r="I1630" t="str">
        <f>"רחמים זרוק"</f>
        <v>רחמים זרוק</v>
      </c>
      <c r="J1630" t="str">
        <f>"OP-AR03043"</f>
        <v>OP-AR03043</v>
      </c>
      <c r="K1630" s="1" t="str">
        <f>"2222B156-001   CABLE ASSY ORW103"</f>
        <v>2222B156-001   CABLE ASSY ORW103</v>
      </c>
      <c r="L1630">
        <v>1</v>
      </c>
      <c r="M1630" t="str">
        <f>"PR22000244"</f>
        <v>PR22000244</v>
      </c>
      <c r="N1630" t="str">
        <f>"ORW100 CABLE ASSY"</f>
        <v>ORW100 CABLE ASSY</v>
      </c>
      <c r="O1630" s="2">
        <v>1357.01</v>
      </c>
      <c r="P1630" t="str">
        <f>"$"</f>
        <v>$</v>
      </c>
      <c r="Q1630" t="str">
        <f>"117"</f>
        <v>117</v>
      </c>
      <c r="R1630" t="str">
        <f>"רתמות"</f>
        <v>רתמות</v>
      </c>
      <c r="S1630" t="str">
        <f>"040"</f>
        <v>040</v>
      </c>
      <c r="T1630" t="str">
        <f>"עמר ליגל"</f>
        <v>עמר ליגל</v>
      </c>
      <c r="U1630">
        <v>0</v>
      </c>
      <c r="V1630">
        <v>0</v>
      </c>
      <c r="W1630" s="2">
        <v>1357.01</v>
      </c>
      <c r="X1630" s="2">
        <v>1357.01</v>
      </c>
      <c r="Z1630" t="str">
        <f>"Y"</f>
        <v>Y</v>
      </c>
      <c r="AA1630">
        <v>0</v>
      </c>
      <c r="AC1630">
        <v>0</v>
      </c>
      <c r="AE1630">
        <v>0</v>
      </c>
      <c r="AF1630">
        <v>0</v>
      </c>
      <c r="AG1630" s="2">
        <v>4395.3599999999997</v>
      </c>
      <c r="AH1630">
        <v>0</v>
      </c>
      <c r="AI1630" s="2">
        <v>4395.3599999999997</v>
      </c>
      <c r="AJ1630" s="2">
        <v>1357.01</v>
      </c>
      <c r="AK1630" s="2">
        <v>1357.01</v>
      </c>
      <c r="AL1630" t="str">
        <f>"$"</f>
        <v>$</v>
      </c>
    </row>
    <row r="1631" spans="1:38" x14ac:dyDescent="0.3">
      <c r="A1631" t="str">
        <f>"SO22000114"</f>
        <v>SO22000114</v>
      </c>
      <c r="B1631" t="str">
        <f>"E000360381"</f>
        <v>E000360381</v>
      </c>
      <c r="C1631" t="str">
        <f>"בסיום הרכבה"</f>
        <v>בסיום הרכבה</v>
      </c>
      <c r="E1631" s="3">
        <v>44641</v>
      </c>
      <c r="F1631" s="3">
        <v>44775</v>
      </c>
      <c r="G1631" t="str">
        <f>"700065"</f>
        <v>700065</v>
      </c>
      <c r="H1631" t="str">
        <f>"אלתא מערכות בע""מ"</f>
        <v>אלתא מערכות בע"מ</v>
      </c>
      <c r="I1631" t="str">
        <f>"רחמים זרוק"</f>
        <v>רחמים זרוק</v>
      </c>
      <c r="J1631" t="str">
        <f>"OP-AR03044"</f>
        <v>OP-AR03044</v>
      </c>
      <c r="K1631" s="1" t="str">
        <f>"2222B158-001   CABLE ASSY ORW104"</f>
        <v>2222B158-001   CABLE ASSY ORW104</v>
      </c>
      <c r="L1631">
        <v>1</v>
      </c>
      <c r="M1631" t="str">
        <f>"PR22000244"</f>
        <v>PR22000244</v>
      </c>
      <c r="N1631" t="str">
        <f>"ORW100 CABLE ASSY"</f>
        <v>ORW100 CABLE ASSY</v>
      </c>
      <c r="O1631" s="2">
        <v>1952.33</v>
      </c>
      <c r="P1631" t="str">
        <f>"$"</f>
        <v>$</v>
      </c>
      <c r="Q1631" t="str">
        <f>"117"</f>
        <v>117</v>
      </c>
      <c r="R1631" t="str">
        <f>"רתמות"</f>
        <v>רתמות</v>
      </c>
      <c r="S1631" t="str">
        <f>"040"</f>
        <v>040</v>
      </c>
      <c r="T1631" t="str">
        <f>"עמר ליגל"</f>
        <v>עמר ליגל</v>
      </c>
      <c r="U1631">
        <v>0</v>
      </c>
      <c r="V1631">
        <v>0</v>
      </c>
      <c r="W1631" s="2">
        <v>1952.33</v>
      </c>
      <c r="X1631" s="2">
        <v>1952.33</v>
      </c>
      <c r="Z1631" t="str">
        <f>"Y"</f>
        <v>Y</v>
      </c>
      <c r="AA1631">
        <v>0</v>
      </c>
      <c r="AC1631">
        <v>0</v>
      </c>
      <c r="AE1631">
        <v>0</v>
      </c>
      <c r="AF1631">
        <v>0</v>
      </c>
      <c r="AG1631" s="2">
        <v>6323.6</v>
      </c>
      <c r="AH1631">
        <v>0</v>
      </c>
      <c r="AI1631" s="2">
        <v>6323.6</v>
      </c>
      <c r="AJ1631" s="2">
        <v>1952.33</v>
      </c>
      <c r="AK1631" s="2">
        <v>1952.33</v>
      </c>
      <c r="AL1631" t="str">
        <f>"$"</f>
        <v>$</v>
      </c>
    </row>
    <row r="1632" spans="1:38" x14ac:dyDescent="0.3">
      <c r="A1632" t="str">
        <f>"SO22000114"</f>
        <v>SO22000114</v>
      </c>
      <c r="B1632" t="str">
        <f>"E000360381"</f>
        <v>E000360381</v>
      </c>
      <c r="C1632" t="str">
        <f>"בסיום הרכבה"</f>
        <v>בסיום הרכבה</v>
      </c>
      <c r="E1632" s="3">
        <v>44641</v>
      </c>
      <c r="F1632" s="3">
        <v>44775</v>
      </c>
      <c r="G1632" t="str">
        <f>"700065"</f>
        <v>700065</v>
      </c>
      <c r="H1632" t="str">
        <f>"אלתא מערכות בע""מ"</f>
        <v>אלתא מערכות בע"מ</v>
      </c>
      <c r="I1632" t="str">
        <f>"רחמים זרוק"</f>
        <v>רחמים זרוק</v>
      </c>
      <c r="J1632" t="str">
        <f>"OP-AR03045"</f>
        <v>OP-AR03045</v>
      </c>
      <c r="K1632" s="1" t="str">
        <f>"2222B160-001   CABLE ASSY ORW105"</f>
        <v>2222B160-001   CABLE ASSY ORW105</v>
      </c>
      <c r="L1632">
        <v>1</v>
      </c>
      <c r="M1632" t="str">
        <f>"PR22000244"</f>
        <v>PR22000244</v>
      </c>
      <c r="N1632" t="str">
        <f>"ORW100 CABLE ASSY"</f>
        <v>ORW100 CABLE ASSY</v>
      </c>
      <c r="O1632" s="2">
        <v>1430.51</v>
      </c>
      <c r="P1632" t="str">
        <f>"$"</f>
        <v>$</v>
      </c>
      <c r="Q1632" t="str">
        <f>"117"</f>
        <v>117</v>
      </c>
      <c r="R1632" t="str">
        <f>"רתמות"</f>
        <v>רתמות</v>
      </c>
      <c r="S1632" t="str">
        <f>"040"</f>
        <v>040</v>
      </c>
      <c r="T1632" t="str">
        <f>"עמר ליגל"</f>
        <v>עמר ליגל</v>
      </c>
      <c r="U1632">
        <v>0</v>
      </c>
      <c r="V1632">
        <v>0</v>
      </c>
      <c r="W1632" s="2">
        <v>1430.51</v>
      </c>
      <c r="X1632" s="2">
        <v>1430.51</v>
      </c>
      <c r="Z1632" t="str">
        <f>"Y"</f>
        <v>Y</v>
      </c>
      <c r="AA1632">
        <v>0</v>
      </c>
      <c r="AC1632">
        <v>0</v>
      </c>
      <c r="AE1632">
        <v>0</v>
      </c>
      <c r="AF1632">
        <v>0</v>
      </c>
      <c r="AG1632" s="2">
        <v>4633.42</v>
      </c>
      <c r="AH1632">
        <v>0</v>
      </c>
      <c r="AI1632" s="2">
        <v>4633.42</v>
      </c>
      <c r="AJ1632" s="2">
        <v>1430.51</v>
      </c>
      <c r="AK1632" s="2">
        <v>1430.51</v>
      </c>
      <c r="AL1632" t="str">
        <f>"$"</f>
        <v>$</v>
      </c>
    </row>
    <row r="1633" spans="1:38" x14ac:dyDescent="0.3">
      <c r="A1633" t="str">
        <f>"SO22000118"</f>
        <v>SO22000118</v>
      </c>
      <c r="B1633" t="str">
        <f>"E000360845"</f>
        <v>E000360845</v>
      </c>
      <c r="C1633" t="str">
        <f>"בוצעה"</f>
        <v>בוצעה</v>
      </c>
      <c r="E1633" s="3">
        <v>44644</v>
      </c>
      <c r="F1633" s="3">
        <v>44742</v>
      </c>
      <c r="G1633" t="str">
        <f>"700065"</f>
        <v>700065</v>
      </c>
      <c r="H1633" t="str">
        <f>"אלתא מערכות בע""מ"</f>
        <v>אלתא מערכות בע"מ</v>
      </c>
      <c r="I1633" t="str">
        <f>"רוני דידי"</f>
        <v>רוני דידי</v>
      </c>
      <c r="J1633" t="str">
        <f>"OP-ML00117"</f>
        <v>OP-ML00117</v>
      </c>
      <c r="K1633" s="1" t="str">
        <f>"PDU 1U 110VAC 1PH"</f>
        <v>PDU 1U 110VAC 1PH</v>
      </c>
      <c r="L1633">
        <v>1</v>
      </c>
      <c r="M1633" t="str">
        <f>"PR21000839"</f>
        <v>PR21000839</v>
      </c>
      <c r="N1633" t="str">
        <f>"PDU 1U 110VAC 1PH"</f>
        <v>PDU 1U 110VAC 1PH</v>
      </c>
      <c r="O1633" s="2">
        <v>3332</v>
      </c>
      <c r="P1633" t="str">
        <f>"$"</f>
        <v>$</v>
      </c>
      <c r="Q1633" t="str">
        <f>"118"</f>
        <v>118</v>
      </c>
      <c r="R1633" t="str">
        <f>"מערכות"</f>
        <v>מערכות</v>
      </c>
      <c r="S1633" t="str">
        <f>"007"</f>
        <v>007</v>
      </c>
      <c r="T1633" t="str">
        <f>"עמר ליגל"</f>
        <v>עמר ליגל</v>
      </c>
      <c r="U1633">
        <v>0</v>
      </c>
      <c r="V1633">
        <v>0</v>
      </c>
      <c r="W1633" s="2">
        <v>3332</v>
      </c>
      <c r="X1633" s="2">
        <v>3332</v>
      </c>
      <c r="Z1633" t="str">
        <f>"Y"</f>
        <v>Y</v>
      </c>
      <c r="AA1633">
        <v>0</v>
      </c>
      <c r="AC1633">
        <v>0</v>
      </c>
      <c r="AE1633">
        <v>0</v>
      </c>
      <c r="AF1633">
        <v>0</v>
      </c>
      <c r="AG1633" s="2">
        <v>10732.37</v>
      </c>
      <c r="AH1633">
        <v>0</v>
      </c>
      <c r="AI1633" s="2">
        <v>10732.37</v>
      </c>
      <c r="AJ1633" s="2">
        <v>3332</v>
      </c>
      <c r="AK1633" s="2">
        <v>3332</v>
      </c>
      <c r="AL1633" t="str">
        <f>"$"</f>
        <v>$</v>
      </c>
    </row>
    <row r="1634" spans="1:38" x14ac:dyDescent="0.3">
      <c r="A1634" t="str">
        <f>"SO22000118"</f>
        <v>SO22000118</v>
      </c>
      <c r="B1634" t="str">
        <f>"E000360845"</f>
        <v>E000360845</v>
      </c>
      <c r="C1634" t="str">
        <f>"בוצעה"</f>
        <v>בוצעה</v>
      </c>
      <c r="E1634" s="3">
        <v>44644</v>
      </c>
      <c r="F1634" s="3">
        <v>44742</v>
      </c>
      <c r="G1634" t="str">
        <f>"700065"</f>
        <v>700065</v>
      </c>
      <c r="H1634" t="str">
        <f>"אלתא מערכות בע""מ"</f>
        <v>אלתא מערכות בע"מ</v>
      </c>
      <c r="I1634" t="str">
        <f>"רוני דידי"</f>
        <v>רוני דידי</v>
      </c>
      <c r="J1634" t="str">
        <f>"OP-ML00117"</f>
        <v>OP-ML00117</v>
      </c>
      <c r="K1634" s="1" t="str">
        <f>"PDU 1U 110VAC 1PH"</f>
        <v>PDU 1U 110VAC 1PH</v>
      </c>
      <c r="L1634">
        <v>1</v>
      </c>
      <c r="M1634" t="str">
        <f>"PR21000839"</f>
        <v>PR21000839</v>
      </c>
      <c r="N1634" t="str">
        <f>"PDU 1U 110VAC 1PH"</f>
        <v>PDU 1U 110VAC 1PH</v>
      </c>
      <c r="O1634" s="2">
        <v>3332</v>
      </c>
      <c r="P1634" t="str">
        <f>"$"</f>
        <v>$</v>
      </c>
      <c r="Q1634" t="str">
        <f>"118"</f>
        <v>118</v>
      </c>
      <c r="R1634" t="str">
        <f>"מערכות"</f>
        <v>מערכות</v>
      </c>
      <c r="S1634" t="str">
        <f>"007"</f>
        <v>007</v>
      </c>
      <c r="T1634" t="str">
        <f>"עמר ליגל"</f>
        <v>עמר ליגל</v>
      </c>
      <c r="U1634">
        <v>0</v>
      </c>
      <c r="V1634">
        <v>0</v>
      </c>
      <c r="W1634" s="2">
        <v>3332</v>
      </c>
      <c r="X1634" s="2">
        <v>3332</v>
      </c>
      <c r="Z1634" t="str">
        <f>"Y"</f>
        <v>Y</v>
      </c>
      <c r="AA1634">
        <v>0</v>
      </c>
      <c r="AC1634">
        <v>0</v>
      </c>
      <c r="AE1634">
        <v>0</v>
      </c>
      <c r="AF1634">
        <v>0</v>
      </c>
      <c r="AG1634" s="2">
        <v>10732.37</v>
      </c>
      <c r="AH1634">
        <v>0</v>
      </c>
      <c r="AI1634" s="2">
        <v>10732.37</v>
      </c>
      <c r="AJ1634" s="2">
        <v>3332</v>
      </c>
      <c r="AK1634" s="2">
        <v>3332</v>
      </c>
      <c r="AL1634" t="str">
        <f>"$"</f>
        <v>$</v>
      </c>
    </row>
    <row r="1635" spans="1:38" x14ac:dyDescent="0.3">
      <c r="A1635" t="str">
        <f>"SO22000118"</f>
        <v>SO22000118</v>
      </c>
      <c r="B1635" t="str">
        <f>"E000360845"</f>
        <v>E000360845</v>
      </c>
      <c r="C1635" t="str">
        <f>"בוצעה"</f>
        <v>בוצעה</v>
      </c>
      <c r="E1635" s="3">
        <v>44644</v>
      </c>
      <c r="F1635" s="3">
        <v>44713</v>
      </c>
      <c r="G1635" t="str">
        <f>"700065"</f>
        <v>700065</v>
      </c>
      <c r="H1635" t="str">
        <f>"אלתא מערכות בע""מ"</f>
        <v>אלתא מערכות בע"מ</v>
      </c>
      <c r="I1635" t="str">
        <f>"רוני דידי"</f>
        <v>רוני דידי</v>
      </c>
      <c r="J1635" t="str">
        <f>"000"</f>
        <v>000</v>
      </c>
      <c r="K1635" s="1" t="str">
        <f>"פריט כללי"</f>
        <v>פריט כללי</v>
      </c>
      <c r="L1635">
        <v>3</v>
      </c>
      <c r="M1635" t="str">
        <f>"PR21000839"</f>
        <v>PR21000839</v>
      </c>
      <c r="N1635" t="str">
        <f>"PDU 1U 110VAC 1PH"</f>
        <v>PDU 1U 110VAC 1PH</v>
      </c>
      <c r="O1635">
        <v>0</v>
      </c>
      <c r="P1635" t="str">
        <f>"$"</f>
        <v>$</v>
      </c>
      <c r="Q1635" t="str">
        <f>"118"</f>
        <v>118</v>
      </c>
      <c r="R1635" t="str">
        <f>"מערכות"</f>
        <v>מערכות</v>
      </c>
      <c r="S1635" t="str">
        <f>"007"</f>
        <v>007</v>
      </c>
      <c r="T1635" t="str">
        <f>"עמר ליגל"</f>
        <v>עמר ליגל</v>
      </c>
      <c r="U1635">
        <v>0</v>
      </c>
      <c r="V1635">
        <v>0</v>
      </c>
      <c r="W1635">
        <v>0</v>
      </c>
      <c r="X1635">
        <v>0</v>
      </c>
      <c r="Z1635" t="str">
        <f>"Y"</f>
        <v>Y</v>
      </c>
      <c r="AA1635">
        <v>3</v>
      </c>
      <c r="AC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 t="str">
        <f>"$"</f>
        <v>$</v>
      </c>
    </row>
    <row r="1636" spans="1:38" x14ac:dyDescent="0.3">
      <c r="A1636" t="str">
        <f>"SO22000120"</f>
        <v>SO22000120</v>
      </c>
      <c r="B1636" t="str">
        <f>"E000361090"</f>
        <v>E000361090</v>
      </c>
      <c r="C1636" t="str">
        <f>"בסיום הרכבה"</f>
        <v>בסיום הרכבה</v>
      </c>
      <c r="E1636" s="3">
        <v>44648</v>
      </c>
      <c r="F1636" s="3">
        <v>44772</v>
      </c>
      <c r="G1636" t="str">
        <f>"700065"</f>
        <v>700065</v>
      </c>
      <c r="H1636" t="str">
        <f>"אלתא מערכות בע""מ"</f>
        <v>אלתא מערכות בע"מ</v>
      </c>
      <c r="I1636" t="str">
        <f>"רחמים זרוק"</f>
        <v>רחמים זרוק</v>
      </c>
      <c r="J1636" t="str">
        <f>"OP-AR02904"</f>
        <v>OP-AR02904</v>
      </c>
      <c r="K1636" s="1" t="str">
        <f>"1037N601-001    GU PS CABLE"</f>
        <v>1037N601-001    GU PS CABLE</v>
      </c>
      <c r="L1636">
        <v>1</v>
      </c>
      <c r="M1636" t="str">
        <f>"PR22000269"</f>
        <v>PR22000269</v>
      </c>
      <c r="N1636" t="str">
        <f>"1037N601-001"</f>
        <v>1037N601-001</v>
      </c>
      <c r="O1636">
        <v>631.02</v>
      </c>
      <c r="P1636" t="str">
        <f>"$"</f>
        <v>$</v>
      </c>
      <c r="Q1636" t="str">
        <f>"117"</f>
        <v>117</v>
      </c>
      <c r="R1636" t="str">
        <f>"רתמות"</f>
        <v>רתמות</v>
      </c>
      <c r="S1636" t="str">
        <f>"040"</f>
        <v>040</v>
      </c>
      <c r="T1636" t="str">
        <f>"עמר ליגל"</f>
        <v>עמר ליגל</v>
      </c>
      <c r="U1636">
        <v>0</v>
      </c>
      <c r="V1636">
        <v>0</v>
      </c>
      <c r="W1636">
        <v>631.02</v>
      </c>
      <c r="X1636">
        <v>631.02</v>
      </c>
      <c r="Z1636" t="str">
        <f>"Y"</f>
        <v>Y</v>
      </c>
      <c r="AA1636">
        <v>0</v>
      </c>
      <c r="AC1636">
        <v>0</v>
      </c>
      <c r="AE1636">
        <v>0</v>
      </c>
      <c r="AF1636">
        <v>0</v>
      </c>
      <c r="AG1636" s="2">
        <v>2033.15</v>
      </c>
      <c r="AH1636">
        <v>0</v>
      </c>
      <c r="AI1636" s="2">
        <v>2033.15</v>
      </c>
      <c r="AJ1636">
        <v>631.02</v>
      </c>
      <c r="AK1636">
        <v>631.02</v>
      </c>
      <c r="AL1636" t="str">
        <f>"$"</f>
        <v>$</v>
      </c>
    </row>
    <row r="1637" spans="1:38" x14ac:dyDescent="0.3">
      <c r="A1637" t="str">
        <f>"SO22000120"</f>
        <v>SO22000120</v>
      </c>
      <c r="B1637" t="str">
        <f>"E000361090"</f>
        <v>E000361090</v>
      </c>
      <c r="C1637" t="str">
        <f>"בסיום הרכבה"</f>
        <v>בסיום הרכבה</v>
      </c>
      <c r="E1637" s="3">
        <v>44648</v>
      </c>
      <c r="F1637" s="3">
        <v>44772</v>
      </c>
      <c r="G1637" t="str">
        <f>"700065"</f>
        <v>700065</v>
      </c>
      <c r="H1637" t="str">
        <f>"אלתא מערכות בע""מ"</f>
        <v>אלתא מערכות בע"מ</v>
      </c>
      <c r="I1637" t="str">
        <f>"רחמים זרוק"</f>
        <v>רחמים זרוק</v>
      </c>
      <c r="J1637" t="str">
        <f>"OP-AR02906"</f>
        <v>OP-AR02906</v>
      </c>
      <c r="K1637" s="1" t="str">
        <f>"1037N606-001    GU MB1 LOOPBACK PLUG"</f>
        <v>1037N606-001    GU MB1 LOOPBACK PLUG</v>
      </c>
      <c r="L1637">
        <v>1</v>
      </c>
      <c r="M1637" t="str">
        <f>"PR22000269"</f>
        <v>PR22000269</v>
      </c>
      <c r="N1637" t="str">
        <f>"1037N601-001"</f>
        <v>1037N601-001</v>
      </c>
      <c r="O1637">
        <v>224.39</v>
      </c>
      <c r="P1637" t="str">
        <f>"$"</f>
        <v>$</v>
      </c>
      <c r="Q1637" t="str">
        <f>"117"</f>
        <v>117</v>
      </c>
      <c r="R1637" t="str">
        <f>"רתמות"</f>
        <v>רתמות</v>
      </c>
      <c r="S1637" t="str">
        <f>"040"</f>
        <v>040</v>
      </c>
      <c r="T1637" t="str">
        <f>"עמר ליגל"</f>
        <v>עמר ליגל</v>
      </c>
      <c r="U1637">
        <v>0</v>
      </c>
      <c r="V1637">
        <v>0</v>
      </c>
      <c r="W1637">
        <v>224.39</v>
      </c>
      <c r="X1637">
        <v>224.39</v>
      </c>
      <c r="Z1637" t="str">
        <f>"Y"</f>
        <v>Y</v>
      </c>
      <c r="AA1637">
        <v>0</v>
      </c>
      <c r="AC1637">
        <v>0</v>
      </c>
      <c r="AE1637">
        <v>0</v>
      </c>
      <c r="AF1637">
        <v>0</v>
      </c>
      <c r="AG1637">
        <v>722.98</v>
      </c>
      <c r="AH1637">
        <v>0</v>
      </c>
      <c r="AI1637">
        <v>722.98</v>
      </c>
      <c r="AJ1637">
        <v>224.39</v>
      </c>
      <c r="AK1637">
        <v>224.39</v>
      </c>
      <c r="AL1637" t="str">
        <f>"$"</f>
        <v>$</v>
      </c>
    </row>
    <row r="1638" spans="1:38" x14ac:dyDescent="0.3">
      <c r="A1638" t="str">
        <f>"SO22000120"</f>
        <v>SO22000120</v>
      </c>
      <c r="B1638" t="str">
        <f>"E000361090"</f>
        <v>E000361090</v>
      </c>
      <c r="C1638" t="str">
        <f>"בסיום הרכבה"</f>
        <v>בסיום הרכבה</v>
      </c>
      <c r="E1638" s="3">
        <v>44648</v>
      </c>
      <c r="F1638" s="3">
        <v>44772</v>
      </c>
      <c r="G1638" t="str">
        <f>"700065"</f>
        <v>700065</v>
      </c>
      <c r="H1638" t="str">
        <f>"אלתא מערכות בע""מ"</f>
        <v>אלתא מערכות בע"מ</v>
      </c>
      <c r="I1638" t="str">
        <f>"רחמים זרוק"</f>
        <v>רחמים זרוק</v>
      </c>
      <c r="J1638" t="str">
        <f>"OP-AR02912"</f>
        <v>OP-AR02912</v>
      </c>
      <c r="K1638" s="1" t="str">
        <f>"1038A608-001    GU (VR9/MCM) TEST CABLE"</f>
        <v>1038A608-001    GU (VR9/MCM) TEST CABLE</v>
      </c>
      <c r="L1638">
        <v>1</v>
      </c>
      <c r="M1638" t="str">
        <f>"PR22000269"</f>
        <v>PR22000269</v>
      </c>
      <c r="N1638" t="str">
        <f>"1037N601-001"</f>
        <v>1037N601-001</v>
      </c>
      <c r="O1638">
        <v>714.27</v>
      </c>
      <c r="P1638" t="str">
        <f>"$"</f>
        <v>$</v>
      </c>
      <c r="Q1638" t="str">
        <f>"117"</f>
        <v>117</v>
      </c>
      <c r="R1638" t="str">
        <f>"רתמות"</f>
        <v>רתמות</v>
      </c>
      <c r="S1638" t="str">
        <f>"040"</f>
        <v>040</v>
      </c>
      <c r="T1638" t="str">
        <f>"עמר ליגל"</f>
        <v>עמר ליגל</v>
      </c>
      <c r="U1638">
        <v>0</v>
      </c>
      <c r="V1638">
        <v>0</v>
      </c>
      <c r="W1638">
        <v>714.27</v>
      </c>
      <c r="X1638">
        <v>714.27</v>
      </c>
      <c r="Z1638" t="str">
        <f>"Y"</f>
        <v>Y</v>
      </c>
      <c r="AA1638">
        <v>0</v>
      </c>
      <c r="AC1638">
        <v>0</v>
      </c>
      <c r="AE1638">
        <v>0</v>
      </c>
      <c r="AF1638">
        <v>0</v>
      </c>
      <c r="AG1638" s="2">
        <v>2301.38</v>
      </c>
      <c r="AH1638">
        <v>0</v>
      </c>
      <c r="AI1638" s="2">
        <v>2301.38</v>
      </c>
      <c r="AJ1638">
        <v>714.27</v>
      </c>
      <c r="AK1638">
        <v>714.27</v>
      </c>
      <c r="AL1638" t="str">
        <f>"$"</f>
        <v>$</v>
      </c>
    </row>
    <row r="1639" spans="1:38" x14ac:dyDescent="0.3">
      <c r="A1639" t="str">
        <f>"SO22000123"</f>
        <v>SO22000123</v>
      </c>
      <c r="B1639" t="str">
        <f>"E000361298"</f>
        <v>E000361298</v>
      </c>
      <c r="C1639" t="str">
        <f>"בוצעה"</f>
        <v>בוצעה</v>
      </c>
      <c r="E1639" s="3">
        <v>44651</v>
      </c>
      <c r="F1639" s="3">
        <v>44772</v>
      </c>
      <c r="G1639" t="str">
        <f>"700065"</f>
        <v>700065</v>
      </c>
      <c r="H1639" t="str">
        <f>"אלתא מערכות בע""מ"</f>
        <v>אלתא מערכות בע"מ</v>
      </c>
      <c r="I1639" t="str">
        <f>"ערן שלו"</f>
        <v>ערן שלו</v>
      </c>
      <c r="J1639" t="str">
        <f>"OP-AR00468"</f>
        <v>OP-AR00468</v>
      </c>
      <c r="K1639" s="1" t="str">
        <f>"208V/25A/3PH AC PCU CONTROL BOX"</f>
        <v>208V/25A/3PH AC PCU CONTROL BOX</v>
      </c>
      <c r="L1639">
        <v>1</v>
      </c>
      <c r="M1639" t="str">
        <f>"PR22000268"</f>
        <v>PR22000268</v>
      </c>
      <c r="N1639" t="str">
        <f>"208V/25A/3PH AC PCU CONTROL BOX"</f>
        <v>208V/25A/3PH AC PCU CONTROL BOX</v>
      </c>
      <c r="O1639" s="2">
        <v>4350</v>
      </c>
      <c r="P1639" t="str">
        <f>"$"</f>
        <v>$</v>
      </c>
      <c r="Q1639" t="str">
        <f>"118"</f>
        <v>118</v>
      </c>
      <c r="R1639" t="str">
        <f>"מערכות"</f>
        <v>מערכות</v>
      </c>
      <c r="S1639" t="str">
        <f>"034"</f>
        <v>034</v>
      </c>
      <c r="T1639" t="str">
        <f>"עמר ליגל"</f>
        <v>עמר ליגל</v>
      </c>
      <c r="U1639">
        <v>0</v>
      </c>
      <c r="V1639">
        <v>0</v>
      </c>
      <c r="W1639" s="2">
        <v>4350</v>
      </c>
      <c r="X1639" s="2">
        <v>4350</v>
      </c>
      <c r="Z1639" t="str">
        <f>"Y"</f>
        <v>Y</v>
      </c>
      <c r="AA1639">
        <v>0</v>
      </c>
      <c r="AC1639">
        <v>0</v>
      </c>
      <c r="AE1639">
        <v>0</v>
      </c>
      <c r="AF1639">
        <v>0</v>
      </c>
      <c r="AG1639" s="2">
        <v>13815.6</v>
      </c>
      <c r="AH1639">
        <v>0</v>
      </c>
      <c r="AI1639" s="2">
        <v>13815.6</v>
      </c>
      <c r="AJ1639" s="2">
        <v>4350</v>
      </c>
      <c r="AK1639" s="2">
        <v>4350</v>
      </c>
      <c r="AL1639" t="str">
        <f>"$"</f>
        <v>$</v>
      </c>
    </row>
    <row r="1640" spans="1:38" x14ac:dyDescent="0.3">
      <c r="A1640" t="str">
        <f>"SO22000128"</f>
        <v>SO22000128</v>
      </c>
      <c r="C1640" t="str">
        <f>"מאושרת לחיוב"</f>
        <v>מאושרת לחיוב</v>
      </c>
      <c r="E1640" s="3">
        <v>44658</v>
      </c>
      <c r="F1640" s="3">
        <v>44658</v>
      </c>
      <c r="G1640" t="str">
        <f>"700065"</f>
        <v>700065</v>
      </c>
      <c r="H1640" t="str">
        <f>"אלתא מערכות בע""מ"</f>
        <v>אלתא מערכות בע"מ</v>
      </c>
      <c r="J1640" t="str">
        <f>"PA0300103"</f>
        <v>PA0300103</v>
      </c>
      <c r="K1640" s="1" t="str">
        <f>"Pushbutton Switches 1241.6824.1112000"</f>
        <v>Pushbutton Switches 1241.6824.1112000</v>
      </c>
      <c r="L1640">
        <v>1</v>
      </c>
      <c r="O1640">
        <v>0</v>
      </c>
      <c r="P1640" t="str">
        <f>"$"</f>
        <v>$</v>
      </c>
      <c r="Q1640" t="str">
        <f>"070"</f>
        <v>070</v>
      </c>
      <c r="R1640" t="str">
        <f>"הזמנה פנימית"</f>
        <v>הזמנה פנימית</v>
      </c>
      <c r="T1640" t="str">
        <f>"גנם הודיה"</f>
        <v>גנם הודיה</v>
      </c>
      <c r="U1640">
        <v>0</v>
      </c>
      <c r="V1640">
        <v>0</v>
      </c>
      <c r="W1640">
        <v>0</v>
      </c>
      <c r="X1640">
        <v>0</v>
      </c>
      <c r="AA1640">
        <v>1</v>
      </c>
      <c r="AC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 t="str">
        <f>"$"</f>
        <v>$</v>
      </c>
    </row>
    <row r="1641" spans="1:38" x14ac:dyDescent="0.3">
      <c r="A1641" t="str">
        <f>"SO22000129"</f>
        <v>SO22000129</v>
      </c>
      <c r="B1641" t="str">
        <f>"E000362081"</f>
        <v>E000362081</v>
      </c>
      <c r="C1641" t="str">
        <f>"בוצעה"</f>
        <v>בוצעה</v>
      </c>
      <c r="E1641" s="3">
        <v>44661</v>
      </c>
      <c r="F1641" s="3">
        <v>44742</v>
      </c>
      <c r="G1641" t="str">
        <f>"700065"</f>
        <v>700065</v>
      </c>
      <c r="H1641" t="str">
        <f>"אלתא מערכות בע""מ"</f>
        <v>אלתא מערכות בע"מ</v>
      </c>
      <c r="I1641" t="str">
        <f>"ערן שלו"</f>
        <v>ערן שלו</v>
      </c>
      <c r="J1641" t="str">
        <f>"cust001283"</f>
        <v>cust001283</v>
      </c>
      <c r="K1641" s="1" t="str">
        <f>"ELTA BATTERY BOX 1039V520-001"</f>
        <v>ELTA BATTERY BOX 1039V520-001</v>
      </c>
      <c r="L1641">
        <v>1</v>
      </c>
      <c r="M1641" t="str">
        <f>"PR22000286"</f>
        <v>PR22000286</v>
      </c>
      <c r="N1641" t="str">
        <f>"שדרוג  BATTERY BOX 1039V520-001"</f>
        <v>שדרוג  BATTERY BOX 1039V520-001</v>
      </c>
      <c r="O1641">
        <v>0.1</v>
      </c>
      <c r="P1641" t="str">
        <f>"$"</f>
        <v>$</v>
      </c>
      <c r="Q1641" t="str">
        <f>"118"</f>
        <v>118</v>
      </c>
      <c r="R1641" t="str">
        <f>"מערכות"</f>
        <v>מערכות</v>
      </c>
      <c r="S1641" t="str">
        <f>"034"</f>
        <v>034</v>
      </c>
      <c r="T1641" t="str">
        <f>"עמר ליגל"</f>
        <v>עמר ליגל</v>
      </c>
      <c r="U1641">
        <v>0</v>
      </c>
      <c r="V1641">
        <v>0</v>
      </c>
      <c r="W1641">
        <v>0.1</v>
      </c>
      <c r="X1641">
        <v>0.1</v>
      </c>
      <c r="Z1641" t="str">
        <f>"Y"</f>
        <v>Y</v>
      </c>
      <c r="AA1641">
        <v>0</v>
      </c>
      <c r="AC1641">
        <v>0</v>
      </c>
      <c r="AE1641">
        <v>0</v>
      </c>
      <c r="AF1641">
        <v>0</v>
      </c>
      <c r="AG1641">
        <v>0.32</v>
      </c>
      <c r="AH1641">
        <v>0</v>
      </c>
      <c r="AI1641">
        <v>0.32</v>
      </c>
      <c r="AJ1641">
        <v>0.1</v>
      </c>
      <c r="AK1641">
        <v>0.1</v>
      </c>
      <c r="AL1641" t="str">
        <f>"$"</f>
        <v>$</v>
      </c>
    </row>
    <row r="1642" spans="1:38" x14ac:dyDescent="0.3">
      <c r="A1642" t="str">
        <f>"SO22000129"</f>
        <v>SO22000129</v>
      </c>
      <c r="B1642" t="str">
        <f>"E000362081"</f>
        <v>E000362081</v>
      </c>
      <c r="C1642" t="str">
        <f>"בוצעה"</f>
        <v>בוצעה</v>
      </c>
      <c r="E1642" s="3">
        <v>44661</v>
      </c>
      <c r="F1642" s="3">
        <v>44742</v>
      </c>
      <c r="G1642" t="str">
        <f>"700065"</f>
        <v>700065</v>
      </c>
      <c r="H1642" t="str">
        <f>"אלתא מערכות בע""מ"</f>
        <v>אלתא מערכות בע"מ</v>
      </c>
      <c r="I1642" t="str">
        <f>"ערן שלו"</f>
        <v>ערן שלו</v>
      </c>
      <c r="J1642" t="str">
        <f>"cust001283"</f>
        <v>cust001283</v>
      </c>
      <c r="K1642" s="1" t="str">
        <f>"ELTA BATTERY BOX 1039V520-001"</f>
        <v>ELTA BATTERY BOX 1039V520-001</v>
      </c>
      <c r="L1642">
        <v>1</v>
      </c>
      <c r="M1642" t="str">
        <f>"PR22000286"</f>
        <v>PR22000286</v>
      </c>
      <c r="N1642" t="str">
        <f>"שדרוג  BATTERY BOX 1039V520-001"</f>
        <v>שדרוג  BATTERY BOX 1039V520-001</v>
      </c>
      <c r="O1642">
        <v>0.1</v>
      </c>
      <c r="P1642" t="str">
        <f>"$"</f>
        <v>$</v>
      </c>
      <c r="Q1642" t="str">
        <f>"118"</f>
        <v>118</v>
      </c>
      <c r="R1642" t="str">
        <f>"מערכות"</f>
        <v>מערכות</v>
      </c>
      <c r="S1642" t="str">
        <f>"034"</f>
        <v>034</v>
      </c>
      <c r="T1642" t="str">
        <f>"עמר ליגל"</f>
        <v>עמר ליגל</v>
      </c>
      <c r="U1642">
        <v>0</v>
      </c>
      <c r="V1642">
        <v>0</v>
      </c>
      <c r="W1642">
        <v>0.1</v>
      </c>
      <c r="X1642">
        <v>0.1</v>
      </c>
      <c r="Z1642" t="str">
        <f>"Y"</f>
        <v>Y</v>
      </c>
      <c r="AA1642">
        <v>0</v>
      </c>
      <c r="AC1642">
        <v>0</v>
      </c>
      <c r="AE1642">
        <v>0</v>
      </c>
      <c r="AF1642">
        <v>0</v>
      </c>
      <c r="AG1642">
        <v>0.32</v>
      </c>
      <c r="AH1642">
        <v>0</v>
      </c>
      <c r="AI1642">
        <v>0.32</v>
      </c>
      <c r="AJ1642">
        <v>0.1</v>
      </c>
      <c r="AK1642">
        <v>0.1</v>
      </c>
      <c r="AL1642" t="str">
        <f>"$"</f>
        <v>$</v>
      </c>
    </row>
    <row r="1643" spans="1:38" x14ac:dyDescent="0.3">
      <c r="A1643" t="str">
        <f>"SO22000131"</f>
        <v>SO22000131</v>
      </c>
      <c r="B1643" t="str">
        <f>"E000362567"</f>
        <v>E000362567</v>
      </c>
      <c r="C1643" t="str">
        <f>"בוצעה"</f>
        <v>בוצעה</v>
      </c>
      <c r="E1643" s="3">
        <v>44662</v>
      </c>
      <c r="F1643" s="3">
        <v>44696</v>
      </c>
      <c r="G1643" t="str">
        <f>"700065"</f>
        <v>700065</v>
      </c>
      <c r="H1643" t="str">
        <f>"אלתא מערכות בע""מ"</f>
        <v>אלתא מערכות בע"מ</v>
      </c>
      <c r="I1643" t="str">
        <f>"רוני דידי"</f>
        <v>רוני דידי</v>
      </c>
      <c r="J1643" t="str">
        <f>"OP-AR03030"</f>
        <v>OP-AR03030</v>
      </c>
      <c r="K1643" s="1" t="str">
        <f>"1040U430-001 CABLE ASSY WP305  - LRIR"</f>
        <v>1040U430-001 CABLE ASSY WP305  - LRIR</v>
      </c>
      <c r="L1643">
        <v>1</v>
      </c>
      <c r="M1643" t="str">
        <f>"PR22000210"</f>
        <v>PR22000210</v>
      </c>
      <c r="N1643" t="str">
        <f>"כבלים מכולת כיול"</f>
        <v>כבלים מכולת כיול</v>
      </c>
      <c r="O1643">
        <v>855</v>
      </c>
      <c r="P1643" t="str">
        <f>"$"</f>
        <v>$</v>
      </c>
      <c r="Q1643" t="str">
        <f>"117"</f>
        <v>117</v>
      </c>
      <c r="R1643" t="str">
        <f>"רתמות"</f>
        <v>רתמות</v>
      </c>
      <c r="S1643" t="str">
        <f>"007"</f>
        <v>007</v>
      </c>
      <c r="T1643" t="str">
        <f>"עמר ליגל"</f>
        <v>עמר ליגל</v>
      </c>
      <c r="U1643">
        <v>0</v>
      </c>
      <c r="V1643">
        <v>0</v>
      </c>
      <c r="W1643">
        <v>855</v>
      </c>
      <c r="X1643">
        <v>855</v>
      </c>
      <c r="Z1643" t="str">
        <f>"Y"</f>
        <v>Y</v>
      </c>
      <c r="AA1643">
        <v>0</v>
      </c>
      <c r="AC1643">
        <v>0</v>
      </c>
      <c r="AE1643">
        <v>0</v>
      </c>
      <c r="AF1643">
        <v>0</v>
      </c>
      <c r="AG1643" s="2">
        <v>2745.41</v>
      </c>
      <c r="AH1643">
        <v>0</v>
      </c>
      <c r="AI1643" s="2">
        <v>2745.41</v>
      </c>
      <c r="AJ1643">
        <v>855</v>
      </c>
      <c r="AK1643">
        <v>855</v>
      </c>
      <c r="AL1643" t="str">
        <f>"$"</f>
        <v>$</v>
      </c>
    </row>
    <row r="1644" spans="1:38" x14ac:dyDescent="0.3">
      <c r="A1644" t="str">
        <f>"SO22000131"</f>
        <v>SO22000131</v>
      </c>
      <c r="B1644" t="str">
        <f>"E000362567"</f>
        <v>E000362567</v>
      </c>
      <c r="C1644" t="str">
        <f>"בוצעה"</f>
        <v>בוצעה</v>
      </c>
      <c r="E1644" s="3">
        <v>44662</v>
      </c>
      <c r="F1644" s="3">
        <v>44696</v>
      </c>
      <c r="G1644" t="str">
        <f>"700065"</f>
        <v>700065</v>
      </c>
      <c r="H1644" t="str">
        <f>"אלתא מערכות בע""מ"</f>
        <v>אלתא מערכות בע"מ</v>
      </c>
      <c r="I1644" t="str">
        <f>"רוני דידי"</f>
        <v>רוני דידי</v>
      </c>
      <c r="J1644" t="str">
        <f>"OP-AR03031"</f>
        <v>OP-AR03031</v>
      </c>
      <c r="K1644" s="1" t="str">
        <f>"1040U431-001 CABLE ASSY WP306  - LRIR"</f>
        <v>1040U431-001 CABLE ASSY WP306  - LRIR</v>
      </c>
      <c r="L1644">
        <v>1</v>
      </c>
      <c r="M1644" t="str">
        <f>"PR22000210"</f>
        <v>PR22000210</v>
      </c>
      <c r="N1644" t="str">
        <f>"כבלים מכולת כיול"</f>
        <v>כבלים מכולת כיול</v>
      </c>
      <c r="O1644">
        <v>965</v>
      </c>
      <c r="P1644" t="str">
        <f>"$"</f>
        <v>$</v>
      </c>
      <c r="Q1644" t="str">
        <f>"117"</f>
        <v>117</v>
      </c>
      <c r="R1644" t="str">
        <f>"רתמות"</f>
        <v>רתמות</v>
      </c>
      <c r="S1644" t="str">
        <f>"007"</f>
        <v>007</v>
      </c>
      <c r="T1644" t="str">
        <f>"עמר ליגל"</f>
        <v>עמר ליגל</v>
      </c>
      <c r="U1644">
        <v>0</v>
      </c>
      <c r="V1644">
        <v>0</v>
      </c>
      <c r="W1644">
        <v>965</v>
      </c>
      <c r="X1644">
        <v>965</v>
      </c>
      <c r="Z1644" t="str">
        <f>"Y"</f>
        <v>Y</v>
      </c>
      <c r="AA1644">
        <v>0</v>
      </c>
      <c r="AC1644">
        <v>0</v>
      </c>
      <c r="AE1644">
        <v>0</v>
      </c>
      <c r="AF1644">
        <v>0</v>
      </c>
      <c r="AG1644" s="2">
        <v>3098.62</v>
      </c>
      <c r="AH1644">
        <v>0</v>
      </c>
      <c r="AI1644" s="2">
        <v>3098.62</v>
      </c>
      <c r="AJ1644">
        <v>965</v>
      </c>
      <c r="AK1644">
        <v>965</v>
      </c>
      <c r="AL1644" t="str">
        <f>"$"</f>
        <v>$</v>
      </c>
    </row>
    <row r="1645" spans="1:38" x14ac:dyDescent="0.3">
      <c r="A1645" t="str">
        <f>"SO22000131"</f>
        <v>SO22000131</v>
      </c>
      <c r="B1645" t="str">
        <f>"E000362567"</f>
        <v>E000362567</v>
      </c>
      <c r="C1645" t="str">
        <f>"בוצעה"</f>
        <v>בוצעה</v>
      </c>
      <c r="E1645" s="3">
        <v>44662</v>
      </c>
      <c r="F1645" s="3">
        <v>44696</v>
      </c>
      <c r="G1645" t="str">
        <f>"700065"</f>
        <v>700065</v>
      </c>
      <c r="H1645" t="str">
        <f>"אלתא מערכות בע""מ"</f>
        <v>אלתא מערכות בע"מ</v>
      </c>
      <c r="I1645" t="str">
        <f>"רוני דידי"</f>
        <v>רוני דידי</v>
      </c>
      <c r="J1645" t="str">
        <f>"OP-AR03014"</f>
        <v>OP-AR03014</v>
      </c>
      <c r="K1645" s="1" t="str">
        <f>"כבל WR204 באורך 70 מטר 1040U439-001"</f>
        <v>כבל WR204 באורך 70 מטר 1040U439-001</v>
      </c>
      <c r="L1645">
        <v>1</v>
      </c>
      <c r="M1645" t="str">
        <f>"PR22000210"</f>
        <v>PR22000210</v>
      </c>
      <c r="N1645" t="str">
        <f>"כבלים מכולת כיול"</f>
        <v>כבלים מכולת כיול</v>
      </c>
      <c r="O1645" s="2">
        <v>2680</v>
      </c>
      <c r="P1645" t="str">
        <f>"$"</f>
        <v>$</v>
      </c>
      <c r="Q1645" t="str">
        <f>"117"</f>
        <v>117</v>
      </c>
      <c r="R1645" t="str">
        <f>"רתמות"</f>
        <v>רתמות</v>
      </c>
      <c r="S1645" t="str">
        <f>"007"</f>
        <v>007</v>
      </c>
      <c r="T1645" t="str">
        <f>"עמר ליגל"</f>
        <v>עמר ליגל</v>
      </c>
      <c r="U1645">
        <v>0</v>
      </c>
      <c r="V1645">
        <v>0</v>
      </c>
      <c r="W1645" s="2">
        <v>2680</v>
      </c>
      <c r="X1645" s="2">
        <v>2680</v>
      </c>
      <c r="Z1645" t="str">
        <f>"Y"</f>
        <v>Y</v>
      </c>
      <c r="AA1645">
        <v>0</v>
      </c>
      <c r="AC1645">
        <v>0</v>
      </c>
      <c r="AE1645">
        <v>0</v>
      </c>
      <c r="AF1645">
        <v>0</v>
      </c>
      <c r="AG1645" s="2">
        <v>8605.48</v>
      </c>
      <c r="AH1645">
        <v>0</v>
      </c>
      <c r="AI1645" s="2">
        <v>8605.48</v>
      </c>
      <c r="AJ1645" s="2">
        <v>2680</v>
      </c>
      <c r="AK1645" s="2">
        <v>2680</v>
      </c>
      <c r="AL1645" t="str">
        <f>"$"</f>
        <v>$</v>
      </c>
    </row>
    <row r="1646" spans="1:38" x14ac:dyDescent="0.3">
      <c r="A1646" t="str">
        <f>"SO22000131"</f>
        <v>SO22000131</v>
      </c>
      <c r="B1646" t="str">
        <f>"E000362567"</f>
        <v>E000362567</v>
      </c>
      <c r="C1646" t="str">
        <f>"בוצעה"</f>
        <v>בוצעה</v>
      </c>
      <c r="E1646" s="3">
        <v>44662</v>
      </c>
      <c r="F1646" s="3">
        <v>44696</v>
      </c>
      <c r="G1646" t="str">
        <f>"700065"</f>
        <v>700065</v>
      </c>
      <c r="H1646" t="str">
        <f>"אלתא מערכות בע""מ"</f>
        <v>אלתא מערכות בע"מ</v>
      </c>
      <c r="I1646" t="str">
        <f>"רוני דידי"</f>
        <v>רוני דידי</v>
      </c>
      <c r="J1646" t="str">
        <f>"OP-AR03012"</f>
        <v>OP-AR03012</v>
      </c>
      <c r="K1646" s="1" t="str">
        <f>"כבל WR202 באורך 70 מטר 1040U438-001"</f>
        <v>כבל WR202 באורך 70 מטר 1040U438-001</v>
      </c>
      <c r="L1646">
        <v>1</v>
      </c>
      <c r="M1646" t="str">
        <f>"PR22000210"</f>
        <v>PR22000210</v>
      </c>
      <c r="N1646" t="str">
        <f>"כבלים מכולת כיול"</f>
        <v>כבלים מכולת כיול</v>
      </c>
      <c r="O1646" s="2">
        <v>2680</v>
      </c>
      <c r="P1646" t="str">
        <f>"$"</f>
        <v>$</v>
      </c>
      <c r="Q1646" t="str">
        <f>"117"</f>
        <v>117</v>
      </c>
      <c r="R1646" t="str">
        <f>"רתמות"</f>
        <v>רתמות</v>
      </c>
      <c r="S1646" t="str">
        <f>"007"</f>
        <v>007</v>
      </c>
      <c r="T1646" t="str">
        <f>"עמר ליגל"</f>
        <v>עמר ליגל</v>
      </c>
      <c r="U1646">
        <v>0</v>
      </c>
      <c r="V1646">
        <v>0</v>
      </c>
      <c r="W1646" s="2">
        <v>2680</v>
      </c>
      <c r="X1646" s="2">
        <v>2680</v>
      </c>
      <c r="Z1646" t="str">
        <f>"Y"</f>
        <v>Y</v>
      </c>
      <c r="AA1646">
        <v>0</v>
      </c>
      <c r="AC1646">
        <v>0</v>
      </c>
      <c r="AE1646">
        <v>0</v>
      </c>
      <c r="AF1646">
        <v>0</v>
      </c>
      <c r="AG1646" s="2">
        <v>8605.48</v>
      </c>
      <c r="AH1646">
        <v>0</v>
      </c>
      <c r="AI1646" s="2">
        <v>8605.48</v>
      </c>
      <c r="AJ1646" s="2">
        <v>2680</v>
      </c>
      <c r="AK1646" s="2">
        <v>2680</v>
      </c>
      <c r="AL1646" t="str">
        <f>"$"</f>
        <v>$</v>
      </c>
    </row>
    <row r="1647" spans="1:38" x14ac:dyDescent="0.3">
      <c r="A1647" t="str">
        <f>"SO22000131"</f>
        <v>SO22000131</v>
      </c>
      <c r="B1647" t="str">
        <f>"E000362567"</f>
        <v>E000362567</v>
      </c>
      <c r="C1647" t="str">
        <f>"בוצעה"</f>
        <v>בוצעה</v>
      </c>
      <c r="E1647" s="3">
        <v>44662</v>
      </c>
      <c r="F1647" s="3">
        <v>44696</v>
      </c>
      <c r="G1647" t="str">
        <f>"700065"</f>
        <v>700065</v>
      </c>
      <c r="H1647" t="str">
        <f>"אלתא מערכות בע""מ"</f>
        <v>אלתא מערכות בע"מ</v>
      </c>
      <c r="I1647" t="str">
        <f>"רוני דידי"</f>
        <v>רוני דידי</v>
      </c>
      <c r="J1647" t="str">
        <f>"OP-AR03015"</f>
        <v>OP-AR03015</v>
      </c>
      <c r="K1647" s="1" t="str">
        <f>"כבל WR302 באורך של 3.5 מטר 1040U437-001"</f>
        <v>כבל WR302 באורך של 3.5 מטר 1040U437-001</v>
      </c>
      <c r="L1647">
        <v>1</v>
      </c>
      <c r="M1647" t="str">
        <f>"PR22000210"</f>
        <v>PR22000210</v>
      </c>
      <c r="N1647" t="str">
        <f>"כבלים מכולת כיול"</f>
        <v>כבלים מכולת כיול</v>
      </c>
      <c r="O1647">
        <v>535</v>
      </c>
      <c r="P1647" t="str">
        <f>"$"</f>
        <v>$</v>
      </c>
      <c r="Q1647" t="str">
        <f>"117"</f>
        <v>117</v>
      </c>
      <c r="R1647" t="str">
        <f>"רתמות"</f>
        <v>רתמות</v>
      </c>
      <c r="S1647" t="str">
        <f>"007"</f>
        <v>007</v>
      </c>
      <c r="T1647" t="str">
        <f>"עמר ליגל"</f>
        <v>עמר ליגל</v>
      </c>
      <c r="U1647">
        <v>0</v>
      </c>
      <c r="V1647">
        <v>0</v>
      </c>
      <c r="W1647">
        <v>535</v>
      </c>
      <c r="X1647">
        <v>535</v>
      </c>
      <c r="Z1647" t="str">
        <f>"Y"</f>
        <v>Y</v>
      </c>
      <c r="AA1647">
        <v>0</v>
      </c>
      <c r="AC1647">
        <v>0</v>
      </c>
      <c r="AE1647">
        <v>0</v>
      </c>
      <c r="AF1647">
        <v>0</v>
      </c>
      <c r="AG1647" s="2">
        <v>1717.89</v>
      </c>
      <c r="AH1647">
        <v>0</v>
      </c>
      <c r="AI1647" s="2">
        <v>1717.89</v>
      </c>
      <c r="AJ1647">
        <v>535</v>
      </c>
      <c r="AK1647">
        <v>535</v>
      </c>
      <c r="AL1647" t="str">
        <f>"$"</f>
        <v>$</v>
      </c>
    </row>
    <row r="1648" spans="1:38" x14ac:dyDescent="0.3">
      <c r="A1648" t="str">
        <f>"SO22000131"</f>
        <v>SO22000131</v>
      </c>
      <c r="B1648" t="str">
        <f>"E000362567"</f>
        <v>E000362567</v>
      </c>
      <c r="C1648" t="str">
        <f>"בוצעה"</f>
        <v>בוצעה</v>
      </c>
      <c r="E1648" s="3">
        <v>44662</v>
      </c>
      <c r="F1648" s="3">
        <v>44696</v>
      </c>
      <c r="G1648" t="str">
        <f>"700065"</f>
        <v>700065</v>
      </c>
      <c r="H1648" t="str">
        <f>"אלתא מערכות בע""מ"</f>
        <v>אלתא מערכות בע"מ</v>
      </c>
      <c r="I1648" t="str">
        <f>"רוני דידי"</f>
        <v>רוני דידי</v>
      </c>
      <c r="J1648" t="str">
        <f>"OP-AR03029"</f>
        <v>OP-AR03029</v>
      </c>
      <c r="K1648" s="1" t="str">
        <f>"כבל WR304 באורך של 3.5 מטר 1040U436-001"</f>
        <v>כבל WR304 באורך של 3.5 מטר 1040U436-001</v>
      </c>
      <c r="L1648">
        <v>1</v>
      </c>
      <c r="M1648" t="str">
        <f>"PR22000210"</f>
        <v>PR22000210</v>
      </c>
      <c r="N1648" t="str">
        <f>"כבלים מכולת כיול"</f>
        <v>כבלים מכולת כיול</v>
      </c>
      <c r="O1648">
        <v>535</v>
      </c>
      <c r="P1648" t="str">
        <f>"$"</f>
        <v>$</v>
      </c>
      <c r="Q1648" t="str">
        <f>"117"</f>
        <v>117</v>
      </c>
      <c r="R1648" t="str">
        <f>"רתמות"</f>
        <v>רתמות</v>
      </c>
      <c r="S1648" t="str">
        <f>"007"</f>
        <v>007</v>
      </c>
      <c r="T1648" t="str">
        <f>"עמר ליגל"</f>
        <v>עמר ליגל</v>
      </c>
      <c r="U1648">
        <v>0</v>
      </c>
      <c r="V1648">
        <v>0</v>
      </c>
      <c r="W1648">
        <v>535</v>
      </c>
      <c r="X1648">
        <v>535</v>
      </c>
      <c r="Z1648" t="str">
        <f>"Y"</f>
        <v>Y</v>
      </c>
      <c r="AA1648">
        <v>0</v>
      </c>
      <c r="AC1648">
        <v>0</v>
      </c>
      <c r="AE1648">
        <v>0</v>
      </c>
      <c r="AF1648">
        <v>0</v>
      </c>
      <c r="AG1648" s="2">
        <v>1717.89</v>
      </c>
      <c r="AH1648">
        <v>0</v>
      </c>
      <c r="AI1648" s="2">
        <v>1717.89</v>
      </c>
      <c r="AJ1648">
        <v>535</v>
      </c>
      <c r="AK1648">
        <v>535</v>
      </c>
      <c r="AL1648" t="str">
        <f>"$"</f>
        <v>$</v>
      </c>
    </row>
    <row r="1649" spans="1:38" x14ac:dyDescent="0.3">
      <c r="A1649" t="str">
        <f>"SO22000131"</f>
        <v>SO22000131</v>
      </c>
      <c r="B1649" t="str">
        <f>"E000362567"</f>
        <v>E000362567</v>
      </c>
      <c r="C1649" t="str">
        <f>"בוצעה"</f>
        <v>בוצעה</v>
      </c>
      <c r="E1649" s="3">
        <v>44662</v>
      </c>
      <c r="F1649" s="3">
        <v>44696</v>
      </c>
      <c r="G1649" t="str">
        <f>"700065"</f>
        <v>700065</v>
      </c>
      <c r="H1649" t="str">
        <f>"אלתא מערכות בע""מ"</f>
        <v>אלתא מערכות בע"מ</v>
      </c>
      <c r="I1649" t="str">
        <f>"רוני דידי"</f>
        <v>רוני דידי</v>
      </c>
      <c r="J1649" t="str">
        <f>"OP-AR03028"</f>
        <v>OP-AR03028</v>
      </c>
      <c r="K1649" s="1" t="str">
        <f>"כבל WR303 באורך של 3.5 מטר 1040U435-001"</f>
        <v>כבל WR303 באורך של 3.5 מטר 1040U435-001</v>
      </c>
      <c r="L1649">
        <v>1</v>
      </c>
      <c r="M1649" t="str">
        <f>"PR22000210"</f>
        <v>PR22000210</v>
      </c>
      <c r="N1649" t="str">
        <f>"כבלים מכולת כיול"</f>
        <v>כבלים מכולת כיול</v>
      </c>
      <c r="O1649">
        <v>535</v>
      </c>
      <c r="P1649" t="str">
        <f>"$"</f>
        <v>$</v>
      </c>
      <c r="Q1649" t="str">
        <f>"117"</f>
        <v>117</v>
      </c>
      <c r="R1649" t="str">
        <f>"רתמות"</f>
        <v>רתמות</v>
      </c>
      <c r="S1649" t="str">
        <f>"007"</f>
        <v>007</v>
      </c>
      <c r="T1649" t="str">
        <f>"עמר ליגל"</f>
        <v>עמר ליגל</v>
      </c>
      <c r="U1649">
        <v>0</v>
      </c>
      <c r="V1649">
        <v>0</v>
      </c>
      <c r="W1649">
        <v>535</v>
      </c>
      <c r="X1649">
        <v>535</v>
      </c>
      <c r="Z1649" t="str">
        <f>"Y"</f>
        <v>Y</v>
      </c>
      <c r="AA1649">
        <v>0</v>
      </c>
      <c r="AC1649">
        <v>0</v>
      </c>
      <c r="AE1649">
        <v>0</v>
      </c>
      <c r="AF1649">
        <v>0</v>
      </c>
      <c r="AG1649" s="2">
        <v>1717.89</v>
      </c>
      <c r="AH1649">
        <v>0</v>
      </c>
      <c r="AI1649" s="2">
        <v>1717.89</v>
      </c>
      <c r="AJ1649">
        <v>535</v>
      </c>
      <c r="AK1649">
        <v>535</v>
      </c>
      <c r="AL1649" t="str">
        <f>"$"</f>
        <v>$</v>
      </c>
    </row>
    <row r="1650" spans="1:38" x14ac:dyDescent="0.3">
      <c r="A1650" t="str">
        <f>"SO22000131"</f>
        <v>SO22000131</v>
      </c>
      <c r="B1650" t="str">
        <f>"E000362567"</f>
        <v>E000362567</v>
      </c>
      <c r="C1650" t="str">
        <f>"בוצעה"</f>
        <v>בוצעה</v>
      </c>
      <c r="E1650" s="3">
        <v>44662</v>
      </c>
      <c r="F1650" s="3">
        <v>44696</v>
      </c>
      <c r="G1650" t="str">
        <f>"700065"</f>
        <v>700065</v>
      </c>
      <c r="H1650" t="str">
        <f>"אלתא מערכות בע""מ"</f>
        <v>אלתא מערכות בע"מ</v>
      </c>
      <c r="I1650" t="str">
        <f>"רוני דידי"</f>
        <v>רוני דידי</v>
      </c>
      <c r="J1650" t="str">
        <f>"OP-AR03033"</f>
        <v>OP-AR03033</v>
      </c>
      <c r="K1650" s="1" t="str">
        <f>"1040U434-001 CABLE ASSY WG302  - LRIR"</f>
        <v>1040U434-001 CABLE ASSY WG302  - LRIR</v>
      </c>
      <c r="L1650">
        <v>1</v>
      </c>
      <c r="M1650" t="str">
        <f>"PR22000210"</f>
        <v>PR22000210</v>
      </c>
      <c r="N1650" t="str">
        <f>"כבלים מכולת כיול"</f>
        <v>כבלים מכולת כיול</v>
      </c>
      <c r="O1650">
        <v>150</v>
      </c>
      <c r="P1650" t="str">
        <f>"$"</f>
        <v>$</v>
      </c>
      <c r="Q1650" t="str">
        <f>"117"</f>
        <v>117</v>
      </c>
      <c r="R1650" t="str">
        <f>"רתמות"</f>
        <v>רתמות</v>
      </c>
      <c r="S1650" t="str">
        <f>"007"</f>
        <v>007</v>
      </c>
      <c r="T1650" t="str">
        <f>"עמר ליגל"</f>
        <v>עמר ליגל</v>
      </c>
      <c r="U1650">
        <v>0</v>
      </c>
      <c r="V1650">
        <v>0</v>
      </c>
      <c r="W1650">
        <v>150</v>
      </c>
      <c r="X1650">
        <v>150</v>
      </c>
      <c r="Z1650" t="str">
        <f>"Y"</f>
        <v>Y</v>
      </c>
      <c r="AA1650">
        <v>0</v>
      </c>
      <c r="AC1650">
        <v>0</v>
      </c>
      <c r="AE1650">
        <v>0</v>
      </c>
      <c r="AF1650">
        <v>0</v>
      </c>
      <c r="AG1650">
        <v>481.65</v>
      </c>
      <c r="AH1650">
        <v>0</v>
      </c>
      <c r="AI1650">
        <v>481.65</v>
      </c>
      <c r="AJ1650">
        <v>150</v>
      </c>
      <c r="AK1650">
        <v>150</v>
      </c>
      <c r="AL1650" t="str">
        <f>"$"</f>
        <v>$</v>
      </c>
    </row>
    <row r="1651" spans="1:38" x14ac:dyDescent="0.3">
      <c r="A1651" t="str">
        <f>"SO22000131"</f>
        <v>SO22000131</v>
      </c>
      <c r="B1651" t="str">
        <f>"E000362567"</f>
        <v>E000362567</v>
      </c>
      <c r="C1651" t="str">
        <f>"בוצעה"</f>
        <v>בוצעה</v>
      </c>
      <c r="E1651" s="3">
        <v>44662</v>
      </c>
      <c r="F1651" s="3">
        <v>44696</v>
      </c>
      <c r="G1651" t="str">
        <f>"700065"</f>
        <v>700065</v>
      </c>
      <c r="H1651" t="str">
        <f>"אלתא מערכות בע""מ"</f>
        <v>אלתא מערכות בע"מ</v>
      </c>
      <c r="I1651" t="str">
        <f>"רוני דידי"</f>
        <v>רוני דידי</v>
      </c>
      <c r="J1651" t="str">
        <f>"OP-AR03032"</f>
        <v>OP-AR03032</v>
      </c>
      <c r="K1651" s="1" t="str">
        <f>"1040U433-001 CABLE ASSY WP207  - LRIR"</f>
        <v>1040U433-001 CABLE ASSY WP207  - LRIR</v>
      </c>
      <c r="L1651">
        <v>1</v>
      </c>
      <c r="M1651" t="str">
        <f>"PR22000210"</f>
        <v>PR22000210</v>
      </c>
      <c r="N1651" t="str">
        <f>"כבלים מכולת כיול"</f>
        <v>כבלים מכולת כיול</v>
      </c>
      <c r="O1651" s="2">
        <v>3980</v>
      </c>
      <c r="P1651" t="str">
        <f>"$"</f>
        <v>$</v>
      </c>
      <c r="Q1651" t="str">
        <f>"117"</f>
        <v>117</v>
      </c>
      <c r="R1651" t="str">
        <f>"רתמות"</f>
        <v>רתמות</v>
      </c>
      <c r="S1651" t="str">
        <f>"007"</f>
        <v>007</v>
      </c>
      <c r="T1651" t="str">
        <f>"עמר ליגל"</f>
        <v>עמר ליגל</v>
      </c>
      <c r="U1651">
        <v>0</v>
      </c>
      <c r="V1651">
        <v>0</v>
      </c>
      <c r="W1651" s="2">
        <v>3980</v>
      </c>
      <c r="X1651" s="2">
        <v>3980</v>
      </c>
      <c r="Z1651" t="str">
        <f>"Y"</f>
        <v>Y</v>
      </c>
      <c r="AA1651">
        <v>0</v>
      </c>
      <c r="AC1651">
        <v>0</v>
      </c>
      <c r="AE1651">
        <v>0</v>
      </c>
      <c r="AF1651">
        <v>0</v>
      </c>
      <c r="AG1651" s="2">
        <v>12779.78</v>
      </c>
      <c r="AH1651">
        <v>0</v>
      </c>
      <c r="AI1651" s="2">
        <v>12779.78</v>
      </c>
      <c r="AJ1651" s="2">
        <v>3980</v>
      </c>
      <c r="AK1651" s="2">
        <v>3980</v>
      </c>
      <c r="AL1651" t="str">
        <f>"$"</f>
        <v>$</v>
      </c>
    </row>
    <row r="1652" spans="1:38" x14ac:dyDescent="0.3">
      <c r="A1652" t="str">
        <f>"SO22000131"</f>
        <v>SO22000131</v>
      </c>
      <c r="B1652" t="str">
        <f>"E000362567"</f>
        <v>E000362567</v>
      </c>
      <c r="C1652" t="str">
        <f>"בוצעה"</f>
        <v>בוצעה</v>
      </c>
      <c r="E1652" s="3">
        <v>44662</v>
      </c>
      <c r="F1652" s="3">
        <v>44696</v>
      </c>
      <c r="G1652" t="str">
        <f>"700065"</f>
        <v>700065</v>
      </c>
      <c r="H1652" t="str">
        <f>"אלתא מערכות בע""מ"</f>
        <v>אלתא מערכות בע"מ</v>
      </c>
      <c r="I1652" t="str">
        <f>"רוני דידי"</f>
        <v>רוני דידי</v>
      </c>
      <c r="J1652" t="str">
        <f>"OP-AR03013"</f>
        <v>OP-AR03013</v>
      </c>
      <c r="K1652" s="1" t="str">
        <f>"כבל WR203 באורך של 70 מטר 1040U432-001"</f>
        <v>כבל WR203 באורך של 70 מטר 1040U432-001</v>
      </c>
      <c r="L1652">
        <v>1</v>
      </c>
      <c r="M1652" t="str">
        <f>"PR22000210"</f>
        <v>PR22000210</v>
      </c>
      <c r="N1652" t="str">
        <f>"כבלים מכולת כיול"</f>
        <v>כבלים מכולת כיול</v>
      </c>
      <c r="O1652" s="2">
        <v>2680</v>
      </c>
      <c r="P1652" t="str">
        <f>"$"</f>
        <v>$</v>
      </c>
      <c r="Q1652" t="str">
        <f>"117"</f>
        <v>117</v>
      </c>
      <c r="R1652" t="str">
        <f>"רתמות"</f>
        <v>רתמות</v>
      </c>
      <c r="S1652" t="str">
        <f>"007"</f>
        <v>007</v>
      </c>
      <c r="T1652" t="str">
        <f>"עמר ליגל"</f>
        <v>עמר ליגל</v>
      </c>
      <c r="U1652">
        <v>0</v>
      </c>
      <c r="V1652">
        <v>0</v>
      </c>
      <c r="W1652" s="2">
        <v>2680</v>
      </c>
      <c r="X1652" s="2">
        <v>2680</v>
      </c>
      <c r="Z1652" t="str">
        <f>"Y"</f>
        <v>Y</v>
      </c>
      <c r="AA1652">
        <v>0</v>
      </c>
      <c r="AC1652">
        <v>0</v>
      </c>
      <c r="AE1652">
        <v>0</v>
      </c>
      <c r="AF1652">
        <v>0</v>
      </c>
      <c r="AG1652" s="2">
        <v>8605.48</v>
      </c>
      <c r="AH1652">
        <v>0</v>
      </c>
      <c r="AI1652" s="2">
        <v>8605.48</v>
      </c>
      <c r="AJ1652" s="2">
        <v>2680</v>
      </c>
      <c r="AK1652" s="2">
        <v>2680</v>
      </c>
      <c r="AL1652" t="str">
        <f>"$"</f>
        <v>$</v>
      </c>
    </row>
    <row r="1653" spans="1:38" x14ac:dyDescent="0.3">
      <c r="A1653" t="str">
        <f>"SO22000133"</f>
        <v>SO22000133</v>
      </c>
      <c r="B1653" t="str">
        <f>"E000361934"</f>
        <v>E000361934</v>
      </c>
      <c r="C1653" t="str">
        <f>"בוצעה"</f>
        <v>בוצעה</v>
      </c>
      <c r="E1653" s="3">
        <v>44664</v>
      </c>
      <c r="F1653" s="3">
        <v>44769</v>
      </c>
      <c r="G1653" t="str">
        <f>"700065"</f>
        <v>700065</v>
      </c>
      <c r="H1653" t="str">
        <f>"אלתא מערכות בע""מ"</f>
        <v>אלתא מערכות בע"מ</v>
      </c>
      <c r="I1653" t="str">
        <f>"רוני דידי"</f>
        <v>רוני דידי</v>
      </c>
      <c r="J1653" t="str">
        <f>"SH0100029"</f>
        <v>SH0100029</v>
      </c>
      <c r="K1653" s="1" t="str">
        <f>"שנאי 150KAV לפי מפרט מצורף קומפלט"</f>
        <v>שנאי 150KAV לפי מפרט מצורף קומפלט</v>
      </c>
      <c r="L1653">
        <v>2</v>
      </c>
      <c r="M1653" t="str">
        <f>"PR22000315"</f>
        <v>PR22000315</v>
      </c>
      <c r="N1653" t="str">
        <f>"אספקת שנאי ללקוח"</f>
        <v>אספקת שנאי ללקוח</v>
      </c>
      <c r="O1653" s="2">
        <v>18395</v>
      </c>
      <c r="P1653" t="str">
        <f>"$"</f>
        <v>$</v>
      </c>
      <c r="Q1653" t="str">
        <f>"118"</f>
        <v>118</v>
      </c>
      <c r="R1653" t="str">
        <f>"מערכות"</f>
        <v>מערכות</v>
      </c>
      <c r="S1653" t="str">
        <f>"007"</f>
        <v>007</v>
      </c>
      <c r="T1653" t="str">
        <f>"עמר ליגל"</f>
        <v>עמר ליגל</v>
      </c>
      <c r="U1653">
        <v>0</v>
      </c>
      <c r="V1653">
        <v>0</v>
      </c>
      <c r="W1653" s="2">
        <v>18395</v>
      </c>
      <c r="X1653" s="2">
        <v>36790</v>
      </c>
      <c r="Z1653" t="str">
        <f>"Y"</f>
        <v>Y</v>
      </c>
      <c r="AA1653">
        <v>0</v>
      </c>
      <c r="AC1653">
        <v>0</v>
      </c>
      <c r="AE1653">
        <v>0</v>
      </c>
      <c r="AF1653">
        <v>0</v>
      </c>
      <c r="AG1653" s="2">
        <v>58992.77</v>
      </c>
      <c r="AH1653">
        <v>0</v>
      </c>
      <c r="AI1653" s="2">
        <v>117985.53</v>
      </c>
      <c r="AJ1653" s="2">
        <v>36790</v>
      </c>
      <c r="AK1653" s="2">
        <v>36790</v>
      </c>
      <c r="AL1653" t="str">
        <f>"$"</f>
        <v>$</v>
      </c>
    </row>
    <row r="1654" spans="1:38" x14ac:dyDescent="0.3">
      <c r="A1654" t="str">
        <f>"SO22000145"</f>
        <v>SO22000145</v>
      </c>
      <c r="B1654" t="str">
        <f>"E000359811"</f>
        <v>E000359811</v>
      </c>
      <c r="C1654" t="str">
        <f>"הרכבה חלקית"</f>
        <v>הרכבה חלקית</v>
      </c>
      <c r="E1654" s="3">
        <v>44675</v>
      </c>
      <c r="F1654" s="3">
        <v>44819</v>
      </c>
      <c r="G1654" t="str">
        <f>"700065"</f>
        <v>700065</v>
      </c>
      <c r="H1654" t="str">
        <f>"אלתא מערכות בע""מ"</f>
        <v>אלתא מערכות בע"מ</v>
      </c>
      <c r="I1654" t="str">
        <f>"רחמים זרוק"</f>
        <v>רחמים זרוק</v>
      </c>
      <c r="J1654" t="str">
        <f>"OP-AR03049"</f>
        <v>OP-AR03049</v>
      </c>
      <c r="K1654" s="1" t="str">
        <f>"1023M216-002    CABLE ASSY W202"</f>
        <v>1023M216-002    CABLE ASSY W202</v>
      </c>
      <c r="L1654">
        <v>8</v>
      </c>
      <c r="M1654" t="str">
        <f>"PR22000316"</f>
        <v>PR22000316</v>
      </c>
      <c r="N1654" t="str">
        <f>"w201 CABLE ASSY W202"</f>
        <v>w201 CABLE ASSY W202</v>
      </c>
      <c r="O1654" s="2">
        <v>1423.84</v>
      </c>
      <c r="P1654" t="str">
        <f>"$"</f>
        <v>$</v>
      </c>
      <c r="Q1654" t="str">
        <f>"117"</f>
        <v>117</v>
      </c>
      <c r="R1654" t="str">
        <f>"רתמות"</f>
        <v>רתמות</v>
      </c>
      <c r="S1654" t="str">
        <f>"040"</f>
        <v>040</v>
      </c>
      <c r="T1654" t="str">
        <f>"עמר ליגל"</f>
        <v>עמר ליגל</v>
      </c>
      <c r="U1654">
        <v>0</v>
      </c>
      <c r="V1654">
        <v>0</v>
      </c>
      <c r="W1654" s="2">
        <v>1423.84</v>
      </c>
      <c r="X1654" s="2">
        <v>11390.72</v>
      </c>
      <c r="Z1654" t="str">
        <f>"Y"</f>
        <v>Y</v>
      </c>
      <c r="AA1654">
        <v>0</v>
      </c>
      <c r="AC1654">
        <v>0</v>
      </c>
      <c r="AE1654">
        <v>0</v>
      </c>
      <c r="AF1654">
        <v>0</v>
      </c>
      <c r="AG1654" s="2">
        <v>4580.49</v>
      </c>
      <c r="AH1654">
        <v>0</v>
      </c>
      <c r="AI1654" s="2">
        <v>36643.949999999997</v>
      </c>
      <c r="AJ1654" s="2">
        <v>11390.72</v>
      </c>
      <c r="AK1654" s="2">
        <v>11390.72</v>
      </c>
      <c r="AL1654" t="str">
        <f>"$"</f>
        <v>$</v>
      </c>
    </row>
    <row r="1655" spans="1:38" x14ac:dyDescent="0.3">
      <c r="A1655" t="str">
        <f>"SO22000145"</f>
        <v>SO22000145</v>
      </c>
      <c r="B1655" t="str">
        <f>"E000359811"</f>
        <v>E000359811</v>
      </c>
      <c r="C1655" t="str">
        <f>"הרכבה חלקית"</f>
        <v>הרכבה חלקית</v>
      </c>
      <c r="E1655" s="3">
        <v>44675</v>
      </c>
      <c r="F1655" s="3">
        <v>44849</v>
      </c>
      <c r="G1655" t="str">
        <f>"700065"</f>
        <v>700065</v>
      </c>
      <c r="H1655" t="str">
        <f>"אלתא מערכות בע""מ"</f>
        <v>אלתא מערכות בע"מ</v>
      </c>
      <c r="I1655" t="str">
        <f>"רחמים זרוק"</f>
        <v>רחמים זרוק</v>
      </c>
      <c r="J1655" t="str">
        <f>"OP-AR03049"</f>
        <v>OP-AR03049</v>
      </c>
      <c r="K1655" s="1" t="str">
        <f>"1023M216-002    CABLE ASSY W202"</f>
        <v>1023M216-002    CABLE ASSY W202</v>
      </c>
      <c r="L1655">
        <v>34</v>
      </c>
      <c r="M1655" t="str">
        <f>"PR22000316"</f>
        <v>PR22000316</v>
      </c>
      <c r="N1655" t="str">
        <f>"w201 CABLE ASSY W202"</f>
        <v>w201 CABLE ASSY W202</v>
      </c>
      <c r="O1655" s="2">
        <v>1423.84</v>
      </c>
      <c r="P1655" t="str">
        <f>"$"</f>
        <v>$</v>
      </c>
      <c r="Q1655" t="str">
        <f>"117"</f>
        <v>117</v>
      </c>
      <c r="R1655" t="str">
        <f>"רתמות"</f>
        <v>רתמות</v>
      </c>
      <c r="S1655" t="str">
        <f>"040"</f>
        <v>040</v>
      </c>
      <c r="T1655" t="str">
        <f>"עמר ליגל"</f>
        <v>עמר ליגל</v>
      </c>
      <c r="U1655">
        <v>0</v>
      </c>
      <c r="V1655">
        <v>0</v>
      </c>
      <c r="W1655" s="2">
        <v>1423.84</v>
      </c>
      <c r="X1655" s="2">
        <v>48410.559999999998</v>
      </c>
      <c r="AA1655">
        <v>10</v>
      </c>
      <c r="AC1655">
        <v>0</v>
      </c>
      <c r="AE1655">
        <v>0</v>
      </c>
      <c r="AF1655">
        <v>0</v>
      </c>
      <c r="AG1655" s="2">
        <v>4580.49</v>
      </c>
      <c r="AH1655">
        <v>0</v>
      </c>
      <c r="AI1655" s="2">
        <v>155736.76999999999</v>
      </c>
      <c r="AJ1655" s="2">
        <v>48410.559999999998</v>
      </c>
      <c r="AK1655" s="2">
        <v>48410.559999999998</v>
      </c>
      <c r="AL1655" t="str">
        <f>"$"</f>
        <v>$</v>
      </c>
    </row>
    <row r="1656" spans="1:38" x14ac:dyDescent="0.3">
      <c r="A1656" t="str">
        <f>"SO22000145"</f>
        <v>SO22000145</v>
      </c>
      <c r="B1656" t="str">
        <f>"E000359811"</f>
        <v>E000359811</v>
      </c>
      <c r="C1656" t="str">
        <f>"הרכבה חלקית"</f>
        <v>הרכבה חלקית</v>
      </c>
      <c r="E1656" s="3">
        <v>44675</v>
      </c>
      <c r="F1656" s="3">
        <v>44819</v>
      </c>
      <c r="G1656" t="str">
        <f>"700065"</f>
        <v>700065</v>
      </c>
      <c r="H1656" t="str">
        <f>"אלתא מערכות בע""מ"</f>
        <v>אלתא מערכות בע"מ</v>
      </c>
      <c r="I1656" t="str">
        <f>"רחמים זרוק"</f>
        <v>רחמים זרוק</v>
      </c>
      <c r="J1656" t="str">
        <f>"OP-AR03050"</f>
        <v>OP-AR03050</v>
      </c>
      <c r="K1656" s="1" t="str">
        <f>"1023M218-001    CABLE ASSY W201"</f>
        <v>1023M218-001    CABLE ASSY W201</v>
      </c>
      <c r="L1656">
        <v>8</v>
      </c>
      <c r="M1656" t="str">
        <f>"PR22000316"</f>
        <v>PR22000316</v>
      </c>
      <c r="N1656" t="str">
        <f>"w201 CABLE ASSY W202"</f>
        <v>w201 CABLE ASSY W202</v>
      </c>
      <c r="O1656">
        <v>628.54</v>
      </c>
      <c r="P1656" t="str">
        <f>"$"</f>
        <v>$</v>
      </c>
      <c r="Q1656" t="str">
        <f>"117"</f>
        <v>117</v>
      </c>
      <c r="R1656" t="str">
        <f>"רתמות"</f>
        <v>רתמות</v>
      </c>
      <c r="S1656" t="str">
        <f>"040"</f>
        <v>040</v>
      </c>
      <c r="T1656" t="str">
        <f>"עמר ליגל"</f>
        <v>עמר ליגל</v>
      </c>
      <c r="U1656">
        <v>0</v>
      </c>
      <c r="V1656">
        <v>0</v>
      </c>
      <c r="W1656">
        <v>628.54</v>
      </c>
      <c r="X1656" s="2">
        <v>5028.32</v>
      </c>
      <c r="Z1656" t="str">
        <f>"Y"</f>
        <v>Y</v>
      </c>
      <c r="AA1656">
        <v>-14</v>
      </c>
      <c r="AC1656">
        <v>0</v>
      </c>
      <c r="AE1656">
        <v>0</v>
      </c>
      <c r="AF1656">
        <v>0</v>
      </c>
      <c r="AG1656" s="2">
        <v>2022.01</v>
      </c>
      <c r="AH1656">
        <v>0</v>
      </c>
      <c r="AI1656" s="2">
        <v>16176.11</v>
      </c>
      <c r="AJ1656" s="2">
        <v>5028.32</v>
      </c>
      <c r="AK1656" s="2">
        <v>5028.32</v>
      </c>
      <c r="AL1656" t="str">
        <f>"$"</f>
        <v>$</v>
      </c>
    </row>
    <row r="1657" spans="1:38" x14ac:dyDescent="0.3">
      <c r="A1657" t="str">
        <f>"SO22000145"</f>
        <v>SO22000145</v>
      </c>
      <c r="B1657" t="str">
        <f>"E000359811"</f>
        <v>E000359811</v>
      </c>
      <c r="C1657" t="str">
        <f>"הרכבה חלקית"</f>
        <v>הרכבה חלקית</v>
      </c>
      <c r="E1657" s="3">
        <v>44675</v>
      </c>
      <c r="F1657" s="3">
        <v>44849</v>
      </c>
      <c r="G1657" t="str">
        <f>"700065"</f>
        <v>700065</v>
      </c>
      <c r="H1657" t="str">
        <f>"אלתא מערכות בע""מ"</f>
        <v>אלתא מערכות בע"מ</v>
      </c>
      <c r="I1657" t="str">
        <f>"רחמים זרוק"</f>
        <v>רחמים זרוק</v>
      </c>
      <c r="J1657" t="str">
        <f>"OP-AR03050"</f>
        <v>OP-AR03050</v>
      </c>
      <c r="K1657" s="1" t="str">
        <f>"1023M218-001    CABLE ASSY W201"</f>
        <v>1023M218-001    CABLE ASSY W201</v>
      </c>
      <c r="L1657">
        <v>34</v>
      </c>
      <c r="M1657" t="str">
        <f>"PR22000316"</f>
        <v>PR22000316</v>
      </c>
      <c r="N1657" t="str">
        <f>"w201 CABLE ASSY W202"</f>
        <v>w201 CABLE ASSY W202</v>
      </c>
      <c r="O1657">
        <v>628.54</v>
      </c>
      <c r="P1657" t="str">
        <f>"$"</f>
        <v>$</v>
      </c>
      <c r="Q1657" t="str">
        <f>"117"</f>
        <v>117</v>
      </c>
      <c r="R1657" t="str">
        <f>"רתמות"</f>
        <v>רתמות</v>
      </c>
      <c r="S1657" t="str">
        <f>"040"</f>
        <v>040</v>
      </c>
      <c r="T1657" t="str">
        <f>"עמר ליגל"</f>
        <v>עמר ליגל</v>
      </c>
      <c r="U1657">
        <v>0</v>
      </c>
      <c r="V1657">
        <v>0</v>
      </c>
      <c r="W1657">
        <v>628.54</v>
      </c>
      <c r="X1657" s="2">
        <v>21370.36</v>
      </c>
      <c r="Z1657" t="str">
        <f>"Y"</f>
        <v>Y</v>
      </c>
      <c r="AA1657">
        <v>14</v>
      </c>
      <c r="AC1657">
        <v>0</v>
      </c>
      <c r="AE1657">
        <v>0</v>
      </c>
      <c r="AF1657">
        <v>0</v>
      </c>
      <c r="AG1657" s="2">
        <v>2022.01</v>
      </c>
      <c r="AH1657">
        <v>0</v>
      </c>
      <c r="AI1657" s="2">
        <v>68748.45</v>
      </c>
      <c r="AJ1657" s="2">
        <v>21370.36</v>
      </c>
      <c r="AK1657" s="2">
        <v>21370.36</v>
      </c>
      <c r="AL1657" t="str">
        <f>"$"</f>
        <v>$</v>
      </c>
    </row>
    <row r="1658" spans="1:38" x14ac:dyDescent="0.3">
      <c r="A1658" t="str">
        <f>"SO22000145"</f>
        <v>SO22000145</v>
      </c>
      <c r="B1658" t="str">
        <f>"E000359811"</f>
        <v>E000359811</v>
      </c>
      <c r="C1658" t="str">
        <f>"הרכבה חלקית"</f>
        <v>הרכבה חלקית</v>
      </c>
      <c r="E1658" s="3">
        <v>44675</v>
      </c>
      <c r="F1658" s="3">
        <v>44923</v>
      </c>
      <c r="G1658" t="str">
        <f>"700065"</f>
        <v>700065</v>
      </c>
      <c r="H1658" t="str">
        <f>"אלתא מערכות בע""מ"</f>
        <v>אלתא מערכות בע"מ</v>
      </c>
      <c r="I1658" t="str">
        <f>"רחמים זרוק"</f>
        <v>רחמים זרוק</v>
      </c>
      <c r="J1658" t="str">
        <f>"ZV9900130"</f>
        <v>ZV9900130</v>
      </c>
      <c r="K1658" s="1" t="str">
        <f>"1020H238-001/G - ייצור בורג SCREW  0.086-56 UNC L/14.6"</f>
        <v>1020H238-001/G - ייצור בורג SCREW  0.086-56 UNC L/14.6</v>
      </c>
      <c r="L1658">
        <v>84</v>
      </c>
      <c r="O1658">
        <v>0</v>
      </c>
      <c r="P1658" t="str">
        <f>"$"</f>
        <v>$</v>
      </c>
      <c r="Q1658" t="str">
        <f>"117"</f>
        <v>117</v>
      </c>
      <c r="R1658" t="str">
        <f>"רתמות"</f>
        <v>רתמות</v>
      </c>
      <c r="S1658" t="str">
        <f>"040"</f>
        <v>040</v>
      </c>
      <c r="T1658" t="str">
        <f>"עמר ליגל"</f>
        <v>עמר ליגל</v>
      </c>
      <c r="U1658">
        <v>0</v>
      </c>
      <c r="V1658">
        <v>0</v>
      </c>
      <c r="W1658">
        <v>0</v>
      </c>
      <c r="X1658">
        <v>0</v>
      </c>
      <c r="Z1658" t="str">
        <f>"Y"</f>
        <v>Y</v>
      </c>
      <c r="AA1658">
        <v>0</v>
      </c>
      <c r="AC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 t="str">
        <f>"$"</f>
        <v>$</v>
      </c>
    </row>
    <row r="1659" spans="1:38" x14ac:dyDescent="0.3">
      <c r="A1659" t="str">
        <f>"SO22000145"</f>
        <v>SO22000145</v>
      </c>
      <c r="B1659" t="str">
        <f>"E000359811"</f>
        <v>E000359811</v>
      </c>
      <c r="C1659" t="str">
        <f>"הרכבה חלקית"</f>
        <v>הרכבה חלקית</v>
      </c>
      <c r="E1659" s="3">
        <v>44675</v>
      </c>
      <c r="F1659" s="3">
        <v>44923</v>
      </c>
      <c r="G1659" t="str">
        <f>"700065"</f>
        <v>700065</v>
      </c>
      <c r="H1659" t="str">
        <f>"אלתא מערכות בע""מ"</f>
        <v>אלתא מערכות בע"מ</v>
      </c>
      <c r="I1659" t="str">
        <f>"רחמים זרוק"</f>
        <v>רחמים זרוק</v>
      </c>
      <c r="J1659" t="str">
        <f>"ZV9980162"</f>
        <v>ZV9980162</v>
      </c>
      <c r="K1659" s="1" t="str">
        <f>"1023M231002 BACKSHELL CONN MDM 51 PIN"</f>
        <v>1023M231002 BACKSHELL CONN MDM 51 PIN</v>
      </c>
      <c r="L1659">
        <v>1</v>
      </c>
      <c r="O1659">
        <v>0</v>
      </c>
      <c r="P1659" t="str">
        <f>"$"</f>
        <v>$</v>
      </c>
      <c r="Q1659" t="str">
        <f>"117"</f>
        <v>117</v>
      </c>
      <c r="R1659" t="str">
        <f>"רתמות"</f>
        <v>רתמות</v>
      </c>
      <c r="S1659" t="str">
        <f>"040"</f>
        <v>040</v>
      </c>
      <c r="T1659" t="str">
        <f>"עמר ליגל"</f>
        <v>עמר ליגל</v>
      </c>
      <c r="U1659">
        <v>0</v>
      </c>
      <c r="V1659">
        <v>0</v>
      </c>
      <c r="W1659">
        <v>0</v>
      </c>
      <c r="X1659">
        <v>0</v>
      </c>
      <c r="Z1659" t="str">
        <f>"Y"</f>
        <v>Y</v>
      </c>
      <c r="AA1659">
        <v>0</v>
      </c>
      <c r="AC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 t="str">
        <f>"$"</f>
        <v>$</v>
      </c>
    </row>
    <row r="1660" spans="1:38" x14ac:dyDescent="0.3">
      <c r="A1660" t="str">
        <f>"SO22000163"</f>
        <v>SO22000163</v>
      </c>
      <c r="B1660" t="str">
        <f>"E000362059"</f>
        <v>E000362059</v>
      </c>
      <c r="C1660" t="str">
        <f>"בסיום הרכבה"</f>
        <v>בסיום הרכבה</v>
      </c>
      <c r="E1660" s="3">
        <v>44683</v>
      </c>
      <c r="F1660" s="3">
        <v>44722</v>
      </c>
      <c r="G1660" t="str">
        <f>"700065"</f>
        <v>700065</v>
      </c>
      <c r="H1660" t="str">
        <f>"אלתא מערכות בע""מ"</f>
        <v>אלתא מערכות בע"מ</v>
      </c>
      <c r="I1660" t="str">
        <f>"רחמים זרוק"</f>
        <v>רחמים זרוק</v>
      </c>
      <c r="J1660" t="str">
        <f>"OP-AR03129"</f>
        <v>OP-AR03129</v>
      </c>
      <c r="K1660" s="1" t="str">
        <f>"1021M123-002    CABLE ASSY W23"</f>
        <v>1021M123-002    CABLE ASSY W23</v>
      </c>
      <c r="L1660">
        <v>2</v>
      </c>
      <c r="M1660" t="str">
        <f>"PR22000344"</f>
        <v>PR22000344</v>
      </c>
      <c r="N1660" t="str">
        <f>"HARNESS 1021M123-002"</f>
        <v>HARNESS 1021M123-002</v>
      </c>
      <c r="O1660">
        <v>351.99</v>
      </c>
      <c r="P1660" t="str">
        <f>"$"</f>
        <v>$</v>
      </c>
      <c r="Q1660" t="str">
        <f>"117"</f>
        <v>117</v>
      </c>
      <c r="R1660" t="str">
        <f>"רתמות"</f>
        <v>רתמות</v>
      </c>
      <c r="S1660" t="str">
        <f>"040"</f>
        <v>040</v>
      </c>
      <c r="T1660" t="str">
        <f>"עמר ליגל"</f>
        <v>עמר ליגל</v>
      </c>
      <c r="U1660">
        <v>0</v>
      </c>
      <c r="V1660">
        <v>0</v>
      </c>
      <c r="W1660">
        <v>351.99</v>
      </c>
      <c r="X1660">
        <v>703.98</v>
      </c>
      <c r="Z1660" t="str">
        <f>"Y"</f>
        <v>Y</v>
      </c>
      <c r="AA1660">
        <v>0</v>
      </c>
      <c r="AC1660">
        <v>0</v>
      </c>
      <c r="AE1660">
        <v>0</v>
      </c>
      <c r="AF1660">
        <v>0</v>
      </c>
      <c r="AG1660" s="2">
        <v>1179.8699999999999</v>
      </c>
      <c r="AH1660">
        <v>0</v>
      </c>
      <c r="AI1660" s="2">
        <v>2359.7399999999998</v>
      </c>
      <c r="AJ1660">
        <v>703.98</v>
      </c>
      <c r="AK1660">
        <v>703.98</v>
      </c>
      <c r="AL1660" t="str">
        <f>"$"</f>
        <v>$</v>
      </c>
    </row>
    <row r="1661" spans="1:38" x14ac:dyDescent="0.3">
      <c r="A1661" t="str">
        <f>"SO22000168"</f>
        <v>SO22000168</v>
      </c>
      <c r="B1661" t="str">
        <f>"E000364201"</f>
        <v>E000364201</v>
      </c>
      <c r="C1661" t="str">
        <f>"בוצעה"</f>
        <v>בוצעה</v>
      </c>
      <c r="E1661" s="3">
        <v>44689</v>
      </c>
      <c r="F1661" s="3">
        <v>44925</v>
      </c>
      <c r="G1661" t="str">
        <f>"700065"</f>
        <v>700065</v>
      </c>
      <c r="H1661" t="str">
        <f>"אלתא מערכות בע""מ"</f>
        <v>אלתא מערכות בע"מ</v>
      </c>
      <c r="I1661" t="str">
        <f>"רוני דידי"</f>
        <v>רוני דידי</v>
      </c>
      <c r="J1661" t="str">
        <f>"000"</f>
        <v>000</v>
      </c>
      <c r="K1661" s="1" t="str">
        <f>"צוות טכנאים בצ'כיה - נסיעה I"</f>
        <v>צוות טכנאים בצ'כיה - נסיעה I</v>
      </c>
      <c r="L1661">
        <v>1</v>
      </c>
      <c r="O1661" s="2">
        <v>14610.86</v>
      </c>
      <c r="P1661" t="str">
        <f>"$"</f>
        <v>$</v>
      </c>
      <c r="Q1661" t="str">
        <f>"111"</f>
        <v>111</v>
      </c>
      <c r="R1661" t="str">
        <f>"מכירה"</f>
        <v>מכירה</v>
      </c>
      <c r="S1661" t="str">
        <f>"007"</f>
        <v>007</v>
      </c>
      <c r="T1661" t="str">
        <f>"עמר ליגל"</f>
        <v>עמר ליגל</v>
      </c>
      <c r="U1661">
        <v>0</v>
      </c>
      <c r="V1661">
        <v>0</v>
      </c>
      <c r="W1661" s="2">
        <v>14610.86</v>
      </c>
      <c r="X1661" s="2">
        <v>14610.86</v>
      </c>
      <c r="Z1661" t="str">
        <f>"Y"</f>
        <v>Y</v>
      </c>
      <c r="AA1661">
        <v>1</v>
      </c>
      <c r="AC1661">
        <v>0</v>
      </c>
      <c r="AE1661">
        <v>0</v>
      </c>
      <c r="AF1661">
        <v>0</v>
      </c>
      <c r="AG1661" s="2">
        <v>49954.53</v>
      </c>
      <c r="AH1661">
        <v>0</v>
      </c>
      <c r="AI1661" s="2">
        <v>49954.53</v>
      </c>
      <c r="AJ1661" s="2">
        <v>14610.86</v>
      </c>
      <c r="AK1661" s="2">
        <v>14610.86</v>
      </c>
      <c r="AL1661" t="str">
        <f>"$"</f>
        <v>$</v>
      </c>
    </row>
    <row r="1662" spans="1:38" x14ac:dyDescent="0.3">
      <c r="A1662" t="str">
        <f>"SO22000168"</f>
        <v>SO22000168</v>
      </c>
      <c r="B1662" t="str">
        <f>"E000364201"</f>
        <v>E000364201</v>
      </c>
      <c r="C1662" t="str">
        <f>"בוצעה"</f>
        <v>בוצעה</v>
      </c>
      <c r="E1662" s="3">
        <v>44689</v>
      </c>
      <c r="F1662" s="3">
        <v>44925</v>
      </c>
      <c r="G1662" t="str">
        <f>"700065"</f>
        <v>700065</v>
      </c>
      <c r="H1662" t="str">
        <f>"אלתא מערכות בע""מ"</f>
        <v>אלתא מערכות בע"מ</v>
      </c>
      <c r="I1662" t="str">
        <f>"רוני דידי"</f>
        <v>רוני דידי</v>
      </c>
      <c r="J1662" t="str">
        <f>"000"</f>
        <v>000</v>
      </c>
      <c r="K1662" s="1" t="str">
        <f>"צוות טכנאים בצ'כיה - נסיעה II"</f>
        <v>צוות טכנאים בצ'כיה - נסיעה II</v>
      </c>
      <c r="L1662">
        <v>1</v>
      </c>
      <c r="O1662" s="2">
        <v>14610.89</v>
      </c>
      <c r="P1662" t="str">
        <f>"$"</f>
        <v>$</v>
      </c>
      <c r="Q1662" t="str">
        <f>"111"</f>
        <v>111</v>
      </c>
      <c r="R1662" t="str">
        <f>"מכירה"</f>
        <v>מכירה</v>
      </c>
      <c r="S1662" t="str">
        <f>"007"</f>
        <v>007</v>
      </c>
      <c r="T1662" t="str">
        <f>"עמר ליגל"</f>
        <v>עמר ליגל</v>
      </c>
      <c r="U1662">
        <v>0</v>
      </c>
      <c r="V1662">
        <v>0</v>
      </c>
      <c r="W1662" s="2">
        <v>14610.89</v>
      </c>
      <c r="X1662" s="2">
        <v>14610.89</v>
      </c>
      <c r="Z1662" t="str">
        <f>"Y"</f>
        <v>Y</v>
      </c>
      <c r="AA1662">
        <v>1</v>
      </c>
      <c r="AC1662">
        <v>0</v>
      </c>
      <c r="AE1662">
        <v>0</v>
      </c>
      <c r="AF1662">
        <v>0</v>
      </c>
      <c r="AG1662" s="2">
        <v>49954.63</v>
      </c>
      <c r="AH1662">
        <v>0</v>
      </c>
      <c r="AI1662" s="2">
        <v>49954.63</v>
      </c>
      <c r="AJ1662" s="2">
        <v>14610.89</v>
      </c>
      <c r="AK1662" s="2">
        <v>14610.89</v>
      </c>
      <c r="AL1662" t="str">
        <f>"$"</f>
        <v>$</v>
      </c>
    </row>
    <row r="1663" spans="1:38" x14ac:dyDescent="0.3">
      <c r="A1663" t="str">
        <f>"SO22000170"</f>
        <v>SO22000170</v>
      </c>
      <c r="B1663" t="str">
        <f>"E000364006"</f>
        <v>E000364006</v>
      </c>
      <c r="C1663" t="str">
        <f>"בסיום הרכבה"</f>
        <v>בסיום הרכבה</v>
      </c>
      <c r="E1663" s="3">
        <v>44691</v>
      </c>
      <c r="F1663" s="3">
        <v>44757</v>
      </c>
      <c r="G1663" t="str">
        <f>"700065"</f>
        <v>700065</v>
      </c>
      <c r="H1663" t="str">
        <f>"אלתא מערכות בע""מ"</f>
        <v>אלתא מערכות בע"מ</v>
      </c>
      <c r="I1663" t="str">
        <f>"רחמים זרוק"</f>
        <v>רחמים זרוק</v>
      </c>
      <c r="J1663" t="str">
        <f>"OP-AR03130"</f>
        <v>OP-AR03130</v>
      </c>
      <c r="K1663" s="1" t="str">
        <f>"3033L225-001   HARNESS W011 - AVIONIC INTERFACE/RFI-FILTER"</f>
        <v>3033L225-001   HARNESS W011 - AVIONIC INTERFACE/RFI-FILTER</v>
      </c>
      <c r="L1663">
        <v>1</v>
      </c>
      <c r="M1663" t="str">
        <f>"PR22000343"</f>
        <v>PR22000343</v>
      </c>
      <c r="N1663" t="str">
        <f>"3033L225-001"</f>
        <v>3033L225-001</v>
      </c>
      <c r="O1663">
        <v>565.87</v>
      </c>
      <c r="P1663" t="str">
        <f>"$"</f>
        <v>$</v>
      </c>
      <c r="Q1663" t="str">
        <f>"117"</f>
        <v>117</v>
      </c>
      <c r="R1663" t="str">
        <f>"רתמות"</f>
        <v>רתמות</v>
      </c>
      <c r="S1663" t="str">
        <f>"040"</f>
        <v>040</v>
      </c>
      <c r="T1663" t="str">
        <f>"עמר ליגל"</f>
        <v>עמר ליגל</v>
      </c>
      <c r="U1663">
        <v>0</v>
      </c>
      <c r="V1663">
        <v>0</v>
      </c>
      <c r="W1663">
        <v>565.87</v>
      </c>
      <c r="X1663">
        <v>565.87</v>
      </c>
      <c r="Z1663" t="str">
        <f>"Y"</f>
        <v>Y</v>
      </c>
      <c r="AA1663">
        <v>0</v>
      </c>
      <c r="AC1663">
        <v>0</v>
      </c>
      <c r="AE1663">
        <v>0</v>
      </c>
      <c r="AF1663">
        <v>0</v>
      </c>
      <c r="AG1663" s="2">
        <v>1959.61</v>
      </c>
      <c r="AH1663">
        <v>0</v>
      </c>
      <c r="AI1663" s="2">
        <v>1959.61</v>
      </c>
      <c r="AJ1663">
        <v>565.87</v>
      </c>
      <c r="AK1663">
        <v>565.87</v>
      </c>
      <c r="AL1663" t="str">
        <f>"$"</f>
        <v>$</v>
      </c>
    </row>
    <row r="1664" spans="1:38" x14ac:dyDescent="0.3">
      <c r="A1664" t="str">
        <f>"SO22000170"</f>
        <v>SO22000170</v>
      </c>
      <c r="B1664" t="str">
        <f>"E000364006"</f>
        <v>E000364006</v>
      </c>
      <c r="C1664" t="str">
        <f>"בסיום הרכבה"</f>
        <v>בסיום הרכבה</v>
      </c>
      <c r="E1664" s="3">
        <v>44691</v>
      </c>
      <c r="F1664" s="3">
        <v>44865</v>
      </c>
      <c r="G1664" t="str">
        <f>"700065"</f>
        <v>700065</v>
      </c>
      <c r="H1664" t="str">
        <f>"אלתא מערכות בע""מ"</f>
        <v>אלתא מערכות בע"מ</v>
      </c>
      <c r="I1664" t="str">
        <f>"רחמים זרוק"</f>
        <v>רחמים זרוק</v>
      </c>
      <c r="J1664" t="str">
        <f>"OP-AR03130"</f>
        <v>OP-AR03130</v>
      </c>
      <c r="K1664" s="1" t="str">
        <f>"3033L225-001   HARNESS W011 - AVIONIC INTERFACE/RFI-FILTER"</f>
        <v>3033L225-001   HARNESS W011 - AVIONIC INTERFACE/RFI-FILTER</v>
      </c>
      <c r="L1664">
        <v>57</v>
      </c>
      <c r="M1664" t="str">
        <f>"PR22000343"</f>
        <v>PR22000343</v>
      </c>
      <c r="N1664" t="str">
        <f>"3033L225-001"</f>
        <v>3033L225-001</v>
      </c>
      <c r="O1664">
        <v>565.87</v>
      </c>
      <c r="P1664" t="str">
        <f>"$"</f>
        <v>$</v>
      </c>
      <c r="Q1664" t="str">
        <f>"117"</f>
        <v>117</v>
      </c>
      <c r="R1664" t="str">
        <f>"רתמות"</f>
        <v>רתמות</v>
      </c>
      <c r="S1664" t="str">
        <f>"040"</f>
        <v>040</v>
      </c>
      <c r="T1664" t="str">
        <f>"עמר ליגל"</f>
        <v>עמר ליגל</v>
      </c>
      <c r="U1664">
        <v>0</v>
      </c>
      <c r="V1664">
        <v>0</v>
      </c>
      <c r="W1664">
        <v>565.87</v>
      </c>
      <c r="X1664" s="2">
        <v>32254.59</v>
      </c>
      <c r="Z1664" t="str">
        <f>"Y"</f>
        <v>Y</v>
      </c>
      <c r="AA1664">
        <v>0</v>
      </c>
      <c r="AC1664">
        <v>0</v>
      </c>
      <c r="AE1664">
        <v>0</v>
      </c>
      <c r="AF1664">
        <v>0</v>
      </c>
      <c r="AG1664" s="2">
        <v>1959.61</v>
      </c>
      <c r="AH1664">
        <v>0</v>
      </c>
      <c r="AI1664" s="2">
        <v>111697.65</v>
      </c>
      <c r="AJ1664" s="2">
        <v>32254.59</v>
      </c>
      <c r="AK1664" s="2">
        <v>32254.59</v>
      </c>
      <c r="AL1664" t="str">
        <f>"$"</f>
        <v>$</v>
      </c>
    </row>
    <row r="1665" spans="1:38" x14ac:dyDescent="0.3">
      <c r="A1665" t="str">
        <f>"SO22000180"</f>
        <v>SO22000180</v>
      </c>
      <c r="B1665" t="str">
        <f>"E000364014"</f>
        <v>E000364014</v>
      </c>
      <c r="C1665" t="str">
        <f>"בוצעה"</f>
        <v>בוצעה</v>
      </c>
      <c r="E1665" s="3">
        <v>44696</v>
      </c>
      <c r="F1665" s="3">
        <v>44772</v>
      </c>
      <c r="G1665" t="str">
        <f>"700065"</f>
        <v>700065</v>
      </c>
      <c r="H1665" t="str">
        <f>"אלתא מערכות בע""מ"</f>
        <v>אלתא מערכות בע"מ</v>
      </c>
      <c r="I1665" t="str">
        <f>"רחמים זרוק"</f>
        <v>רחמים זרוק</v>
      </c>
      <c r="J1665" t="str">
        <f>"OP-AR03131"</f>
        <v>OP-AR03131</v>
      </c>
      <c r="K1665" s="1" t="str">
        <f>"4043B120-001   HARNESS W120 - SATCOM M-C CABLE"</f>
        <v>4043B120-001   HARNESS W120 - SATCOM M-C CABLE</v>
      </c>
      <c r="L1665">
        <v>2</v>
      </c>
      <c r="M1665" t="str">
        <f>"PR22000356"</f>
        <v>PR22000356</v>
      </c>
      <c r="N1665" t="str">
        <f>"4043B120-001"</f>
        <v>4043B120-001</v>
      </c>
      <c r="O1665" s="2">
        <v>1006.78</v>
      </c>
      <c r="P1665" t="str">
        <f>"$"</f>
        <v>$</v>
      </c>
      <c r="Q1665" t="str">
        <f>"117"</f>
        <v>117</v>
      </c>
      <c r="R1665" t="str">
        <f>"רתמות"</f>
        <v>רתמות</v>
      </c>
      <c r="S1665" t="str">
        <f>"040"</f>
        <v>040</v>
      </c>
      <c r="T1665" t="str">
        <f>"עמר ליגל"</f>
        <v>עמר ליגל</v>
      </c>
      <c r="U1665">
        <v>0</v>
      </c>
      <c r="V1665">
        <v>0</v>
      </c>
      <c r="W1665" s="2">
        <v>1006.78</v>
      </c>
      <c r="X1665" s="2">
        <v>2013.56</v>
      </c>
      <c r="Z1665" t="str">
        <f>"Y"</f>
        <v>Y</v>
      </c>
      <c r="AA1665">
        <v>-6</v>
      </c>
      <c r="AC1665">
        <v>0</v>
      </c>
      <c r="AE1665">
        <v>0</v>
      </c>
      <c r="AF1665">
        <v>0</v>
      </c>
      <c r="AG1665" s="2">
        <v>3435.13</v>
      </c>
      <c r="AH1665">
        <v>0</v>
      </c>
      <c r="AI1665" s="2">
        <v>6870.27</v>
      </c>
      <c r="AJ1665" s="2">
        <v>2013.56</v>
      </c>
      <c r="AK1665" s="2">
        <v>2013.56</v>
      </c>
      <c r="AL1665" t="str">
        <f>"$"</f>
        <v>$</v>
      </c>
    </row>
    <row r="1666" spans="1:38" x14ac:dyDescent="0.3">
      <c r="A1666" t="str">
        <f>"SO22000180"</f>
        <v>SO22000180</v>
      </c>
      <c r="B1666" t="str">
        <f>"E000364014"</f>
        <v>E000364014</v>
      </c>
      <c r="C1666" t="str">
        <f>"בוצעה"</f>
        <v>בוצעה</v>
      </c>
      <c r="E1666" s="3">
        <v>44696</v>
      </c>
      <c r="F1666" s="3">
        <v>44772</v>
      </c>
      <c r="G1666" t="str">
        <f>"700065"</f>
        <v>700065</v>
      </c>
      <c r="H1666" t="str">
        <f>"אלתא מערכות בע""מ"</f>
        <v>אלתא מערכות בע"מ</v>
      </c>
      <c r="I1666" t="str">
        <f>"רחמים זרוק"</f>
        <v>רחמים זרוק</v>
      </c>
      <c r="J1666" t="str">
        <f>"OP-AR03131"</f>
        <v>OP-AR03131</v>
      </c>
      <c r="K1666" s="1" t="str">
        <f>"4043B120-001   HARNESS W120 - SATCOM M-C CABLE"</f>
        <v>4043B120-001   HARNESS W120 - SATCOM M-C CABLE</v>
      </c>
      <c r="L1666">
        <v>10</v>
      </c>
      <c r="M1666" t="str">
        <f>"PR22000356"</f>
        <v>PR22000356</v>
      </c>
      <c r="N1666" t="str">
        <f>"4043B120-001"</f>
        <v>4043B120-001</v>
      </c>
      <c r="O1666" s="2">
        <v>1006.78</v>
      </c>
      <c r="P1666" t="str">
        <f>"$"</f>
        <v>$</v>
      </c>
      <c r="Q1666" t="str">
        <f>"117"</f>
        <v>117</v>
      </c>
      <c r="R1666" t="str">
        <f>"רתמות"</f>
        <v>רתמות</v>
      </c>
      <c r="S1666" t="str">
        <f>"040"</f>
        <v>040</v>
      </c>
      <c r="T1666" t="str">
        <f>"עמר ליגל"</f>
        <v>עמר ליגל</v>
      </c>
      <c r="U1666">
        <v>0</v>
      </c>
      <c r="V1666">
        <v>0</v>
      </c>
      <c r="W1666" s="2">
        <v>1006.78</v>
      </c>
      <c r="X1666" s="2">
        <v>10067.799999999999</v>
      </c>
      <c r="Z1666" t="str">
        <f>"Y"</f>
        <v>Y</v>
      </c>
      <c r="AA1666">
        <v>1</v>
      </c>
      <c r="AC1666">
        <v>0</v>
      </c>
      <c r="AE1666">
        <v>0</v>
      </c>
      <c r="AF1666">
        <v>0</v>
      </c>
      <c r="AG1666" s="2">
        <v>3435.13</v>
      </c>
      <c r="AH1666">
        <v>0</v>
      </c>
      <c r="AI1666" s="2">
        <v>34351.33</v>
      </c>
      <c r="AJ1666" s="2">
        <v>10067.799999999999</v>
      </c>
      <c r="AK1666" s="2">
        <v>10067.799999999999</v>
      </c>
      <c r="AL1666" t="str">
        <f>"$"</f>
        <v>$</v>
      </c>
    </row>
    <row r="1667" spans="1:38" x14ac:dyDescent="0.3">
      <c r="A1667" t="str">
        <f>"SO22000180"</f>
        <v>SO22000180</v>
      </c>
      <c r="B1667" t="str">
        <f>"E000364014"</f>
        <v>E000364014</v>
      </c>
      <c r="C1667" t="str">
        <f>"בוצעה"</f>
        <v>בוצעה</v>
      </c>
      <c r="E1667" s="3">
        <v>44696</v>
      </c>
      <c r="F1667" s="3">
        <v>44803</v>
      </c>
      <c r="G1667" t="str">
        <f>"700065"</f>
        <v>700065</v>
      </c>
      <c r="H1667" t="str">
        <f>"אלתא מערכות בע""מ"</f>
        <v>אלתא מערכות בע"מ</v>
      </c>
      <c r="I1667" t="str">
        <f>"רחמים זרוק"</f>
        <v>רחמים זרוק</v>
      </c>
      <c r="J1667" t="str">
        <f>"OP-AR03131"</f>
        <v>OP-AR03131</v>
      </c>
      <c r="K1667" s="1" t="str">
        <f>"4043B120-001   HARNESS W120 - SATCOM M-C CABLE"</f>
        <v>4043B120-001   HARNESS W120 - SATCOM M-C CABLE</v>
      </c>
      <c r="L1667">
        <v>10</v>
      </c>
      <c r="M1667" t="str">
        <f>"PR22000356"</f>
        <v>PR22000356</v>
      </c>
      <c r="N1667" t="str">
        <f>"4043B120-001"</f>
        <v>4043B120-001</v>
      </c>
      <c r="O1667" s="2">
        <v>1006.78</v>
      </c>
      <c r="P1667" t="str">
        <f>"$"</f>
        <v>$</v>
      </c>
      <c r="Q1667" t="str">
        <f>"117"</f>
        <v>117</v>
      </c>
      <c r="R1667" t="str">
        <f>"רתמות"</f>
        <v>רתמות</v>
      </c>
      <c r="S1667" t="str">
        <f>"040"</f>
        <v>040</v>
      </c>
      <c r="T1667" t="str">
        <f>"עמר ליגל"</f>
        <v>עמר ליגל</v>
      </c>
      <c r="U1667">
        <v>0</v>
      </c>
      <c r="V1667">
        <v>0</v>
      </c>
      <c r="W1667" s="2">
        <v>1006.78</v>
      </c>
      <c r="X1667" s="2">
        <v>10067.799999999999</v>
      </c>
      <c r="Z1667" t="str">
        <f>"Y"</f>
        <v>Y</v>
      </c>
      <c r="AA1667">
        <v>0</v>
      </c>
      <c r="AC1667">
        <v>0</v>
      </c>
      <c r="AE1667">
        <v>0</v>
      </c>
      <c r="AF1667">
        <v>0</v>
      </c>
      <c r="AG1667" s="2">
        <v>3435.13</v>
      </c>
      <c r="AH1667">
        <v>0</v>
      </c>
      <c r="AI1667" s="2">
        <v>34351.33</v>
      </c>
      <c r="AJ1667" s="2">
        <v>10067.799999999999</v>
      </c>
      <c r="AK1667" s="2">
        <v>10067.799999999999</v>
      </c>
      <c r="AL1667" t="str">
        <f>"$"</f>
        <v>$</v>
      </c>
    </row>
    <row r="1668" spans="1:38" x14ac:dyDescent="0.3">
      <c r="A1668" t="str">
        <f>"SO22000180"</f>
        <v>SO22000180</v>
      </c>
      <c r="B1668" t="str">
        <f>"E000364014"</f>
        <v>E000364014</v>
      </c>
      <c r="C1668" t="str">
        <f>"בוצעה"</f>
        <v>בוצעה</v>
      </c>
      <c r="E1668" s="3">
        <v>44696</v>
      </c>
      <c r="F1668" s="3">
        <v>44829</v>
      </c>
      <c r="G1668" t="str">
        <f>"700065"</f>
        <v>700065</v>
      </c>
      <c r="H1668" t="str">
        <f>"אלתא מערכות בע""מ"</f>
        <v>אלתא מערכות בע"מ</v>
      </c>
      <c r="I1668" t="str">
        <f>"רחמים זרוק"</f>
        <v>רחמים זרוק</v>
      </c>
      <c r="J1668" t="str">
        <f>"OP-AR03131"</f>
        <v>OP-AR03131</v>
      </c>
      <c r="K1668" s="1" t="str">
        <f>"4043B120-001   HARNESS W120 - SATCOM M-C CABLE"</f>
        <v>4043B120-001   HARNESS W120 - SATCOM M-C CABLE</v>
      </c>
      <c r="L1668">
        <v>10</v>
      </c>
      <c r="M1668" t="str">
        <f>"PR22000356"</f>
        <v>PR22000356</v>
      </c>
      <c r="N1668" t="str">
        <f>"4043B120-001"</f>
        <v>4043B120-001</v>
      </c>
      <c r="O1668" s="2">
        <v>1006.78</v>
      </c>
      <c r="P1668" t="str">
        <f>"$"</f>
        <v>$</v>
      </c>
      <c r="Q1668" t="str">
        <f>"117"</f>
        <v>117</v>
      </c>
      <c r="R1668" t="str">
        <f>"רתמות"</f>
        <v>רתמות</v>
      </c>
      <c r="S1668" t="str">
        <f>"040"</f>
        <v>040</v>
      </c>
      <c r="T1668" t="str">
        <f>"עמר ליגל"</f>
        <v>עמר ליגל</v>
      </c>
      <c r="U1668">
        <v>0</v>
      </c>
      <c r="V1668">
        <v>0</v>
      </c>
      <c r="W1668" s="2">
        <v>1006.78</v>
      </c>
      <c r="X1668" s="2">
        <v>10067.799999999999</v>
      </c>
      <c r="Z1668" t="str">
        <f>"Y"</f>
        <v>Y</v>
      </c>
      <c r="AA1668">
        <v>5</v>
      </c>
      <c r="AC1668">
        <v>0</v>
      </c>
      <c r="AE1668">
        <v>0</v>
      </c>
      <c r="AF1668">
        <v>0</v>
      </c>
      <c r="AG1668" s="2">
        <v>3435.13</v>
      </c>
      <c r="AH1668">
        <v>0</v>
      </c>
      <c r="AI1668" s="2">
        <v>34351.33</v>
      </c>
      <c r="AJ1668" s="2">
        <v>10067.799999999999</v>
      </c>
      <c r="AK1668" s="2">
        <v>10067.799999999999</v>
      </c>
      <c r="AL1668" t="str">
        <f>"$"</f>
        <v>$</v>
      </c>
    </row>
    <row r="1669" spans="1:38" x14ac:dyDescent="0.3">
      <c r="A1669" t="str">
        <f>"SO22000181"</f>
        <v>SO22000181</v>
      </c>
      <c r="B1669" t="str">
        <f>"E000362815"</f>
        <v>E000362815</v>
      </c>
      <c r="C1669" t="str">
        <f>"הרכבה חלקית"</f>
        <v>הרכבה חלקית</v>
      </c>
      <c r="E1669" s="3">
        <v>44696</v>
      </c>
      <c r="F1669" s="3">
        <v>45047</v>
      </c>
      <c r="G1669" t="str">
        <f>"700065"</f>
        <v>700065</v>
      </c>
      <c r="H1669" t="str">
        <f>"אלתא מערכות בע""מ"</f>
        <v>אלתא מערכות בע"מ</v>
      </c>
      <c r="I1669" t="str">
        <f>"ערן שלו"</f>
        <v>ערן שלו</v>
      </c>
      <c r="J1669" t="str">
        <f>"OP-ML00217"</f>
        <v>OP-ML00217</v>
      </c>
      <c r="K1669" s="1" t="str">
        <f>"1042A920-001 COMPUTER RACK"</f>
        <v>1042A920-001 COMPUTER RACK</v>
      </c>
      <c r="L1669">
        <v>1</v>
      </c>
      <c r="M1669" t="str">
        <f>"PR22000360"</f>
        <v>PR22000360</v>
      </c>
      <c r="N1669" t="str">
        <f>"1-4 1042A921-001 COMPUTER RACK"</f>
        <v>1-4 1042A921-001 COMPUTER RACK</v>
      </c>
      <c r="O1669" s="2">
        <v>36500</v>
      </c>
      <c r="P1669" t="str">
        <f>"$"</f>
        <v>$</v>
      </c>
      <c r="Q1669" t="str">
        <f>"118"</f>
        <v>118</v>
      </c>
      <c r="R1669" t="str">
        <f>"מערכות"</f>
        <v>מערכות</v>
      </c>
      <c r="S1669" t="str">
        <f>"034"</f>
        <v>034</v>
      </c>
      <c r="T1669" t="str">
        <f>"עמר ליגל"</f>
        <v>עמר ליגל</v>
      </c>
      <c r="U1669">
        <v>0</v>
      </c>
      <c r="V1669">
        <v>0</v>
      </c>
      <c r="W1669" s="2">
        <v>36500</v>
      </c>
      <c r="X1669" s="2">
        <v>36500</v>
      </c>
      <c r="Z1669" t="str">
        <f>"Y"</f>
        <v>Y</v>
      </c>
      <c r="AA1669">
        <v>0</v>
      </c>
      <c r="AC1669">
        <v>0</v>
      </c>
      <c r="AE1669">
        <v>0</v>
      </c>
      <c r="AF1669">
        <v>0</v>
      </c>
      <c r="AG1669" s="2">
        <v>124538</v>
      </c>
      <c r="AH1669">
        <v>0</v>
      </c>
      <c r="AI1669" s="2">
        <v>124538</v>
      </c>
      <c r="AJ1669" s="2">
        <v>36500</v>
      </c>
      <c r="AK1669" s="2">
        <v>36500</v>
      </c>
      <c r="AL1669" t="str">
        <f>"$"</f>
        <v>$</v>
      </c>
    </row>
    <row r="1670" spans="1:38" x14ac:dyDescent="0.3">
      <c r="A1670" t="str">
        <f>"SO22000181"</f>
        <v>SO22000181</v>
      </c>
      <c r="B1670" t="str">
        <f>"E000362815"</f>
        <v>E000362815</v>
      </c>
      <c r="C1670" t="str">
        <f>"הרכבה חלקית"</f>
        <v>הרכבה חלקית</v>
      </c>
      <c r="E1670" s="3">
        <v>44696</v>
      </c>
      <c r="F1670" s="3">
        <v>45047</v>
      </c>
      <c r="G1670" t="str">
        <f>"700065"</f>
        <v>700065</v>
      </c>
      <c r="H1670" t="str">
        <f>"אלתא מערכות בע""מ"</f>
        <v>אלתא מערכות בע"מ</v>
      </c>
      <c r="I1670" t="str">
        <f>"ערן שלו"</f>
        <v>ערן שלו</v>
      </c>
      <c r="J1670" t="str">
        <f>"OP-ML00217"</f>
        <v>OP-ML00217</v>
      </c>
      <c r="K1670" s="1" t="str">
        <f>"1042A920-001 COMPUTER RACK"</f>
        <v>1042A920-001 COMPUTER RACK</v>
      </c>
      <c r="L1670">
        <v>1</v>
      </c>
      <c r="M1670" t="str">
        <f>"PR22000360"</f>
        <v>PR22000360</v>
      </c>
      <c r="N1670" t="str">
        <f>"1-4 1042A921-001 COMPUTER RACK"</f>
        <v>1-4 1042A921-001 COMPUTER RACK</v>
      </c>
      <c r="O1670" s="2">
        <v>36500</v>
      </c>
      <c r="P1670" t="str">
        <f>"$"</f>
        <v>$</v>
      </c>
      <c r="Q1670" t="str">
        <f>"118"</f>
        <v>118</v>
      </c>
      <c r="R1670" t="str">
        <f>"מערכות"</f>
        <v>מערכות</v>
      </c>
      <c r="S1670" t="str">
        <f>"034"</f>
        <v>034</v>
      </c>
      <c r="T1670" t="str">
        <f>"עמר ליגל"</f>
        <v>עמר ליגל</v>
      </c>
      <c r="U1670">
        <v>0</v>
      </c>
      <c r="V1670">
        <v>0</v>
      </c>
      <c r="W1670" s="2">
        <v>36500</v>
      </c>
      <c r="X1670" s="2">
        <v>36500</v>
      </c>
      <c r="Z1670" t="str">
        <f>"Y"</f>
        <v>Y</v>
      </c>
      <c r="AA1670">
        <v>0</v>
      </c>
      <c r="AC1670">
        <v>0</v>
      </c>
      <c r="AE1670">
        <v>0</v>
      </c>
      <c r="AF1670">
        <v>0</v>
      </c>
      <c r="AG1670" s="2">
        <v>124538</v>
      </c>
      <c r="AH1670">
        <v>0</v>
      </c>
      <c r="AI1670" s="2">
        <v>124538</v>
      </c>
      <c r="AJ1670" s="2">
        <v>36500</v>
      </c>
      <c r="AK1670" s="2">
        <v>36500</v>
      </c>
      <c r="AL1670" t="str">
        <f>"$"</f>
        <v>$</v>
      </c>
    </row>
    <row r="1671" spans="1:38" x14ac:dyDescent="0.3">
      <c r="A1671" t="str">
        <f>"SO22000181"</f>
        <v>SO22000181</v>
      </c>
      <c r="B1671" t="str">
        <f>"E000362815"</f>
        <v>E000362815</v>
      </c>
      <c r="C1671" t="str">
        <f>"הרכבה חלקית"</f>
        <v>הרכבה חלקית</v>
      </c>
      <c r="E1671" s="3">
        <v>44696</v>
      </c>
      <c r="F1671" s="3">
        <v>45047</v>
      </c>
      <c r="G1671" t="str">
        <f>"700065"</f>
        <v>700065</v>
      </c>
      <c r="H1671" t="str">
        <f>"אלתא מערכות בע""מ"</f>
        <v>אלתא מערכות בע"מ</v>
      </c>
      <c r="I1671" t="str">
        <f>"ערן שלו"</f>
        <v>ערן שלו</v>
      </c>
      <c r="J1671" t="str">
        <f>"OP-ML00217"</f>
        <v>OP-ML00217</v>
      </c>
      <c r="K1671" s="1" t="str">
        <f>"1042A920-001 COMPUTER RACK"</f>
        <v>1042A920-001 COMPUTER RACK</v>
      </c>
      <c r="L1671">
        <v>1</v>
      </c>
      <c r="M1671" t="str">
        <f>"PR22000360"</f>
        <v>PR22000360</v>
      </c>
      <c r="N1671" t="str">
        <f>"1-4 1042A921-001 COMPUTER RACK"</f>
        <v>1-4 1042A921-001 COMPUTER RACK</v>
      </c>
      <c r="O1671" s="2">
        <v>36500</v>
      </c>
      <c r="P1671" t="str">
        <f>"$"</f>
        <v>$</v>
      </c>
      <c r="Q1671" t="str">
        <f>"118"</f>
        <v>118</v>
      </c>
      <c r="R1671" t="str">
        <f>"מערכות"</f>
        <v>מערכות</v>
      </c>
      <c r="S1671" t="str">
        <f>"034"</f>
        <v>034</v>
      </c>
      <c r="T1671" t="str">
        <f>"עמר ליגל"</f>
        <v>עמר ליגל</v>
      </c>
      <c r="U1671">
        <v>0</v>
      </c>
      <c r="V1671">
        <v>0</v>
      </c>
      <c r="W1671" s="2">
        <v>36500</v>
      </c>
      <c r="X1671" s="2">
        <v>36500</v>
      </c>
      <c r="Z1671" t="str">
        <f>"Y"</f>
        <v>Y</v>
      </c>
      <c r="AA1671">
        <v>0</v>
      </c>
      <c r="AC1671">
        <v>0</v>
      </c>
      <c r="AE1671">
        <v>0</v>
      </c>
      <c r="AF1671">
        <v>0</v>
      </c>
      <c r="AG1671" s="2">
        <v>124538</v>
      </c>
      <c r="AH1671">
        <v>0</v>
      </c>
      <c r="AI1671" s="2">
        <v>124538</v>
      </c>
      <c r="AJ1671" s="2">
        <v>36500</v>
      </c>
      <c r="AK1671" s="2">
        <v>36500</v>
      </c>
      <c r="AL1671" t="str">
        <f>"$"</f>
        <v>$</v>
      </c>
    </row>
    <row r="1672" spans="1:38" x14ac:dyDescent="0.3">
      <c r="A1672" t="str">
        <f>"SO22000181"</f>
        <v>SO22000181</v>
      </c>
      <c r="B1672" t="str">
        <f>"E000362815"</f>
        <v>E000362815</v>
      </c>
      <c r="C1672" t="str">
        <f>"הרכבה חלקית"</f>
        <v>הרכבה חלקית</v>
      </c>
      <c r="E1672" s="3">
        <v>44696</v>
      </c>
      <c r="F1672" s="3">
        <v>45013</v>
      </c>
      <c r="G1672" t="str">
        <f>"700065"</f>
        <v>700065</v>
      </c>
      <c r="H1672" t="str">
        <f>"אלתא מערכות בע""מ"</f>
        <v>אלתא מערכות בע"מ</v>
      </c>
      <c r="I1672" t="str">
        <f>"ערן שלו"</f>
        <v>ערן שלו</v>
      </c>
      <c r="J1672" t="str">
        <f>"OP-ML00217"</f>
        <v>OP-ML00217</v>
      </c>
      <c r="K1672" s="1" t="str">
        <f>"1042A920-001 COMPUTER RACK"</f>
        <v>1042A920-001 COMPUTER RACK</v>
      </c>
      <c r="L1672">
        <v>4</v>
      </c>
      <c r="M1672" t="str">
        <f>"PR22000364"</f>
        <v>PR22000364</v>
      </c>
      <c r="N1672" t="str">
        <f>"5-8 1042A921-001 COMPUTER RACK"</f>
        <v>5-8 1042A921-001 COMPUTER RACK</v>
      </c>
      <c r="O1672" s="2">
        <v>36500</v>
      </c>
      <c r="P1672" t="str">
        <f>"$"</f>
        <v>$</v>
      </c>
      <c r="Q1672" t="str">
        <f>"118"</f>
        <v>118</v>
      </c>
      <c r="R1672" t="str">
        <f>"מערכות"</f>
        <v>מערכות</v>
      </c>
      <c r="S1672" t="str">
        <f>"034"</f>
        <v>034</v>
      </c>
      <c r="T1672" t="str">
        <f>"עמר ליגל"</f>
        <v>עמר ליגל</v>
      </c>
      <c r="U1672">
        <v>0</v>
      </c>
      <c r="V1672">
        <v>0</v>
      </c>
      <c r="W1672" s="2">
        <v>36500</v>
      </c>
      <c r="X1672" s="2">
        <v>146000</v>
      </c>
      <c r="AA1672">
        <v>4</v>
      </c>
      <c r="AC1672">
        <v>0</v>
      </c>
      <c r="AE1672">
        <v>0</v>
      </c>
      <c r="AF1672">
        <v>0</v>
      </c>
      <c r="AG1672" s="2">
        <v>124538</v>
      </c>
      <c r="AH1672">
        <v>0</v>
      </c>
      <c r="AI1672" s="2">
        <v>498152</v>
      </c>
      <c r="AJ1672" s="2">
        <v>146000</v>
      </c>
      <c r="AK1672" s="2">
        <v>146000</v>
      </c>
      <c r="AL1672" t="str">
        <f>"$"</f>
        <v>$</v>
      </c>
    </row>
    <row r="1673" spans="1:38" x14ac:dyDescent="0.3">
      <c r="A1673" t="str">
        <f>"SO22000181"</f>
        <v>SO22000181</v>
      </c>
      <c r="B1673" t="str">
        <f>"E000362815"</f>
        <v>E000362815</v>
      </c>
      <c r="C1673" t="str">
        <f>"הרכבה חלקית"</f>
        <v>הרכבה חלקית</v>
      </c>
      <c r="E1673" s="3">
        <v>44696</v>
      </c>
      <c r="F1673" s="3">
        <v>45078</v>
      </c>
      <c r="G1673" t="str">
        <f>"700065"</f>
        <v>700065</v>
      </c>
      <c r="H1673" t="str">
        <f>"אלתא מערכות בע""מ"</f>
        <v>אלתא מערכות בע"מ</v>
      </c>
      <c r="I1673" t="str">
        <f>"ערן שלו"</f>
        <v>ערן שלו</v>
      </c>
      <c r="J1673" t="str">
        <f>"OP-ML00217"</f>
        <v>OP-ML00217</v>
      </c>
      <c r="K1673" s="1" t="str">
        <f>"1042A920-001 COMPUTER RACK"</f>
        <v>1042A920-001 COMPUTER RACK</v>
      </c>
      <c r="L1673">
        <v>4</v>
      </c>
      <c r="M1673" t="str">
        <f>"PR22000360"</f>
        <v>PR22000360</v>
      </c>
      <c r="N1673" t="str">
        <f>"1-4 1042A921-001 COMPUTER RACK"</f>
        <v>1-4 1042A921-001 COMPUTER RACK</v>
      </c>
      <c r="O1673" s="2">
        <v>36500</v>
      </c>
      <c r="P1673" t="str">
        <f>"$"</f>
        <v>$</v>
      </c>
      <c r="Q1673" t="str">
        <f>"118"</f>
        <v>118</v>
      </c>
      <c r="R1673" t="str">
        <f>"מערכות"</f>
        <v>מערכות</v>
      </c>
      <c r="S1673" t="str">
        <f>"034"</f>
        <v>034</v>
      </c>
      <c r="T1673" t="str">
        <f>"עמר ליגל"</f>
        <v>עמר ליגל</v>
      </c>
      <c r="U1673">
        <v>0</v>
      </c>
      <c r="V1673">
        <v>0</v>
      </c>
      <c r="W1673" s="2">
        <v>36500</v>
      </c>
      <c r="X1673" s="2">
        <v>146000</v>
      </c>
      <c r="AA1673">
        <v>4</v>
      </c>
      <c r="AC1673">
        <v>0</v>
      </c>
      <c r="AE1673">
        <v>0</v>
      </c>
      <c r="AF1673">
        <v>0</v>
      </c>
      <c r="AG1673" s="2">
        <v>124538</v>
      </c>
      <c r="AH1673">
        <v>0</v>
      </c>
      <c r="AI1673" s="2">
        <v>498152</v>
      </c>
      <c r="AJ1673" s="2">
        <v>146000</v>
      </c>
      <c r="AK1673" s="2">
        <v>146000</v>
      </c>
      <c r="AL1673" t="str">
        <f>"$"</f>
        <v>$</v>
      </c>
    </row>
    <row r="1674" spans="1:38" x14ac:dyDescent="0.3">
      <c r="A1674" t="str">
        <f>"SO22000181"</f>
        <v>SO22000181</v>
      </c>
      <c r="B1674" t="str">
        <f>"E000362815"</f>
        <v>E000362815</v>
      </c>
      <c r="C1674" t="str">
        <f>"הרכבה חלקית"</f>
        <v>הרכבה חלקית</v>
      </c>
      <c r="E1674" s="3">
        <v>44696</v>
      </c>
      <c r="F1674" s="3">
        <v>45168</v>
      </c>
      <c r="G1674" t="str">
        <f>"700065"</f>
        <v>700065</v>
      </c>
      <c r="H1674" t="str">
        <f>"אלתא מערכות בע""מ"</f>
        <v>אלתא מערכות בע"מ</v>
      </c>
      <c r="I1674" t="str">
        <f>"ערן שלו"</f>
        <v>ערן שלו</v>
      </c>
      <c r="J1674" t="str">
        <f>"OP-ML00218"</f>
        <v>OP-ML00218</v>
      </c>
      <c r="K1674" s="1" t="str">
        <f>"1042A900-001 RECTIFIER RACK"</f>
        <v>1042A900-001 RECTIFIER RACK</v>
      </c>
      <c r="L1674">
        <v>2</v>
      </c>
      <c r="M1674" t="str">
        <f>"PR22000398"</f>
        <v>PR22000398</v>
      </c>
      <c r="N1674" t="str">
        <f>"09 1042A900-001 RECTIFIER RACK"</f>
        <v>09 1042A900-001 RECTIFIER RACK</v>
      </c>
      <c r="O1674" s="2">
        <v>42500</v>
      </c>
      <c r="P1674" t="str">
        <f>"$"</f>
        <v>$</v>
      </c>
      <c r="Q1674" t="str">
        <f>"118"</f>
        <v>118</v>
      </c>
      <c r="R1674" t="str">
        <f>"מערכות"</f>
        <v>מערכות</v>
      </c>
      <c r="S1674" t="str">
        <f>"034"</f>
        <v>034</v>
      </c>
      <c r="T1674" t="str">
        <f>"עמר ליגל"</f>
        <v>עמר ליגל</v>
      </c>
      <c r="U1674">
        <v>0</v>
      </c>
      <c r="V1674">
        <v>0</v>
      </c>
      <c r="W1674" s="2">
        <v>42500</v>
      </c>
      <c r="X1674" s="2">
        <v>85000</v>
      </c>
      <c r="Z1674" t="str">
        <f>"Y"</f>
        <v>Y</v>
      </c>
      <c r="AA1674">
        <v>1</v>
      </c>
      <c r="AC1674">
        <v>0</v>
      </c>
      <c r="AE1674">
        <v>0</v>
      </c>
      <c r="AF1674">
        <v>0</v>
      </c>
      <c r="AG1674" s="2">
        <v>145010</v>
      </c>
      <c r="AH1674">
        <v>0</v>
      </c>
      <c r="AI1674" s="2">
        <v>290020</v>
      </c>
      <c r="AJ1674" s="2">
        <v>85000</v>
      </c>
      <c r="AK1674" s="2">
        <v>85000</v>
      </c>
      <c r="AL1674" t="str">
        <f>"$"</f>
        <v>$</v>
      </c>
    </row>
    <row r="1675" spans="1:38" x14ac:dyDescent="0.3">
      <c r="A1675" t="str">
        <f>"SO22000181"</f>
        <v>SO22000181</v>
      </c>
      <c r="B1675" t="str">
        <f>"E000362815"</f>
        <v>E000362815</v>
      </c>
      <c r="C1675" t="str">
        <f>"הרכבה חלקית"</f>
        <v>הרכבה חלקית</v>
      </c>
      <c r="E1675" s="3">
        <v>44696</v>
      </c>
      <c r="F1675" s="3">
        <v>45168</v>
      </c>
      <c r="G1675" t="str">
        <f>"700065"</f>
        <v>700065</v>
      </c>
      <c r="H1675" t="str">
        <f>"אלתא מערכות בע""מ"</f>
        <v>אלתא מערכות בע"מ</v>
      </c>
      <c r="I1675" t="str">
        <f>"ערן שלו"</f>
        <v>ערן שלו</v>
      </c>
      <c r="J1675" t="str">
        <f>"OP-ML00218"</f>
        <v>OP-ML00218</v>
      </c>
      <c r="K1675" s="1" t="str">
        <f>"1042A900-001 RECTIFIER RACK"</f>
        <v>1042A900-001 RECTIFIER RACK</v>
      </c>
      <c r="L1675">
        <v>1</v>
      </c>
      <c r="M1675" t="str">
        <f>"PR22000399"</f>
        <v>PR22000399</v>
      </c>
      <c r="N1675" t="str">
        <f>"10 1042A900-001 RECTIFIER RACK"</f>
        <v>10 1042A900-001 RECTIFIER RACK</v>
      </c>
      <c r="O1675" s="2">
        <v>42500</v>
      </c>
      <c r="P1675" t="str">
        <f>"$"</f>
        <v>$</v>
      </c>
      <c r="Q1675" t="str">
        <f>"118"</f>
        <v>118</v>
      </c>
      <c r="R1675" t="str">
        <f>"מערכות"</f>
        <v>מערכות</v>
      </c>
      <c r="S1675" t="str">
        <f>"034"</f>
        <v>034</v>
      </c>
      <c r="T1675" t="str">
        <f>"עמר ליגל"</f>
        <v>עמר ליגל</v>
      </c>
      <c r="U1675">
        <v>0</v>
      </c>
      <c r="V1675">
        <v>0</v>
      </c>
      <c r="W1675" s="2">
        <v>42500</v>
      </c>
      <c r="X1675" s="2">
        <v>42500</v>
      </c>
      <c r="Z1675" t="str">
        <f>"Y"</f>
        <v>Y</v>
      </c>
      <c r="AA1675">
        <v>0</v>
      </c>
      <c r="AC1675">
        <v>0</v>
      </c>
      <c r="AE1675">
        <v>0</v>
      </c>
      <c r="AF1675">
        <v>0</v>
      </c>
      <c r="AG1675" s="2">
        <v>145010</v>
      </c>
      <c r="AH1675">
        <v>0</v>
      </c>
      <c r="AI1675" s="2">
        <v>145010</v>
      </c>
      <c r="AJ1675" s="2">
        <v>42500</v>
      </c>
      <c r="AK1675" s="2">
        <v>42500</v>
      </c>
      <c r="AL1675" t="str">
        <f>"$"</f>
        <v>$</v>
      </c>
    </row>
    <row r="1676" spans="1:38" x14ac:dyDescent="0.3">
      <c r="A1676" t="str">
        <f>"SO22000181"</f>
        <v>SO22000181</v>
      </c>
      <c r="B1676" t="str">
        <f>"E000362815"</f>
        <v>E000362815</v>
      </c>
      <c r="C1676" t="str">
        <f>"הרכבה חלקית"</f>
        <v>הרכבה חלקית</v>
      </c>
      <c r="E1676" s="3">
        <v>44696</v>
      </c>
      <c r="F1676" s="3">
        <v>45199</v>
      </c>
      <c r="G1676" t="str">
        <f>"700065"</f>
        <v>700065</v>
      </c>
      <c r="H1676" t="str">
        <f>"אלתא מערכות בע""מ"</f>
        <v>אלתא מערכות בע"מ</v>
      </c>
      <c r="I1676" t="str">
        <f>"ערן שלו"</f>
        <v>ערן שלו</v>
      </c>
      <c r="J1676" t="str">
        <f>"OP-ML00218"</f>
        <v>OP-ML00218</v>
      </c>
      <c r="K1676" s="1" t="str">
        <f>"1042A900-001 RECTIFIER RACK"</f>
        <v>1042A900-001 RECTIFIER RACK</v>
      </c>
      <c r="L1676">
        <v>4</v>
      </c>
      <c r="M1676" t="str">
        <f>"PR22000400"</f>
        <v>PR22000400</v>
      </c>
      <c r="N1676" t="str">
        <f>"1042A900-001 RECTIFIER RACKדצמב"</f>
        <v>1042A900-001 RECTIFIER RACKדצמב</v>
      </c>
      <c r="O1676" s="2">
        <v>42500</v>
      </c>
      <c r="P1676" t="str">
        <f>"$"</f>
        <v>$</v>
      </c>
      <c r="Q1676" t="str">
        <f>"118"</f>
        <v>118</v>
      </c>
      <c r="R1676" t="str">
        <f>"מערכות"</f>
        <v>מערכות</v>
      </c>
      <c r="S1676" t="str">
        <f>"034"</f>
        <v>034</v>
      </c>
      <c r="T1676" t="str">
        <f>"עמר ליגל"</f>
        <v>עמר ליגל</v>
      </c>
      <c r="U1676">
        <v>0</v>
      </c>
      <c r="V1676">
        <v>0</v>
      </c>
      <c r="W1676" s="2">
        <v>42500</v>
      </c>
      <c r="X1676" s="2">
        <v>170000</v>
      </c>
      <c r="AA1676">
        <v>4</v>
      </c>
      <c r="AC1676">
        <v>0</v>
      </c>
      <c r="AE1676">
        <v>0</v>
      </c>
      <c r="AF1676">
        <v>0</v>
      </c>
      <c r="AG1676" s="2">
        <v>145010</v>
      </c>
      <c r="AH1676">
        <v>0</v>
      </c>
      <c r="AI1676" s="2">
        <v>580040</v>
      </c>
      <c r="AJ1676" s="2">
        <v>170000</v>
      </c>
      <c r="AK1676" s="2">
        <v>170000</v>
      </c>
      <c r="AL1676" t="str">
        <f>"$"</f>
        <v>$</v>
      </c>
    </row>
    <row r="1677" spans="1:38" x14ac:dyDescent="0.3">
      <c r="A1677" t="str">
        <f>"SO22000181"</f>
        <v>SO22000181</v>
      </c>
      <c r="B1677" t="str">
        <f>"E000362815"</f>
        <v>E000362815</v>
      </c>
      <c r="C1677" t="str">
        <f>"הרכבה חלקית"</f>
        <v>הרכבה חלקית</v>
      </c>
      <c r="E1677" s="3">
        <v>44696</v>
      </c>
      <c r="F1677" s="3">
        <v>45229</v>
      </c>
      <c r="G1677" t="str">
        <f>"700065"</f>
        <v>700065</v>
      </c>
      <c r="H1677" t="str">
        <f>"אלתא מערכות בע""מ"</f>
        <v>אלתא מערכות בע"מ</v>
      </c>
      <c r="I1677" t="str">
        <f>"ערן שלו"</f>
        <v>ערן שלו</v>
      </c>
      <c r="J1677" t="str">
        <f>"OP-ML00218"</f>
        <v>OP-ML00218</v>
      </c>
      <c r="K1677" s="1" t="str">
        <f>"1042A900-001 RECTIFIER RACK"</f>
        <v>1042A900-001 RECTIFIER RACK</v>
      </c>
      <c r="L1677">
        <v>3</v>
      </c>
      <c r="M1677" t="str">
        <f>"PR22000405"</f>
        <v>PR22000405</v>
      </c>
      <c r="N1677" t="str">
        <f>"RECTIFIER RACK שורד"</f>
        <v>RECTIFIER RACK שורד</v>
      </c>
      <c r="O1677" s="2">
        <v>42500</v>
      </c>
      <c r="P1677" t="str">
        <f>"$"</f>
        <v>$</v>
      </c>
      <c r="Q1677" t="str">
        <f>"118"</f>
        <v>118</v>
      </c>
      <c r="R1677" t="str">
        <f>"מערכות"</f>
        <v>מערכות</v>
      </c>
      <c r="S1677" t="str">
        <f>"034"</f>
        <v>034</v>
      </c>
      <c r="T1677" t="str">
        <f>"עמר ליגל"</f>
        <v>עמר ליגל</v>
      </c>
      <c r="U1677">
        <v>0</v>
      </c>
      <c r="V1677">
        <v>0</v>
      </c>
      <c r="W1677" s="2">
        <v>42500</v>
      </c>
      <c r="X1677" s="2">
        <v>127500</v>
      </c>
      <c r="AA1677">
        <v>3</v>
      </c>
      <c r="AC1677">
        <v>0</v>
      </c>
      <c r="AE1677">
        <v>0</v>
      </c>
      <c r="AF1677">
        <v>0</v>
      </c>
      <c r="AG1677" s="2">
        <v>145010</v>
      </c>
      <c r="AH1677">
        <v>0</v>
      </c>
      <c r="AI1677" s="2">
        <v>435030</v>
      </c>
      <c r="AJ1677" s="2">
        <v>127500</v>
      </c>
      <c r="AK1677" s="2">
        <v>127500</v>
      </c>
      <c r="AL1677" t="str">
        <f>"$"</f>
        <v>$</v>
      </c>
    </row>
    <row r="1678" spans="1:38" x14ac:dyDescent="0.3">
      <c r="A1678" t="str">
        <f>"SO22000181"</f>
        <v>SO22000181</v>
      </c>
      <c r="B1678" t="str">
        <f>"E000362815"</f>
        <v>E000362815</v>
      </c>
      <c r="C1678" t="str">
        <f>"הרכבה חלקית"</f>
        <v>הרכבה חלקית</v>
      </c>
      <c r="E1678" s="3">
        <v>44696</v>
      </c>
      <c r="F1678" s="3">
        <v>45229</v>
      </c>
      <c r="G1678" t="str">
        <f>"700065"</f>
        <v>700065</v>
      </c>
      <c r="H1678" t="str">
        <f>"אלתא מערכות בע""מ"</f>
        <v>אלתא מערכות בע"מ</v>
      </c>
      <c r="I1678" t="str">
        <f>"ערן שלו"</f>
        <v>ערן שלו</v>
      </c>
      <c r="J1678" t="str">
        <f>"OP-ML00218"</f>
        <v>OP-ML00218</v>
      </c>
      <c r="K1678" s="1" t="str">
        <f>"1042A900-001 RECTIFIER RACK"</f>
        <v>1042A900-001 RECTIFIER RACK</v>
      </c>
      <c r="L1678">
        <v>1</v>
      </c>
      <c r="O1678" s="2">
        <v>42500</v>
      </c>
      <c r="P1678" t="str">
        <f>"$"</f>
        <v>$</v>
      </c>
      <c r="Q1678" t="str">
        <f>"118"</f>
        <v>118</v>
      </c>
      <c r="R1678" t="str">
        <f>"מערכות"</f>
        <v>מערכות</v>
      </c>
      <c r="S1678" t="str">
        <f>"034"</f>
        <v>034</v>
      </c>
      <c r="T1678" t="str">
        <f>"עמר ליגל"</f>
        <v>עמר ליגל</v>
      </c>
      <c r="U1678">
        <v>0</v>
      </c>
      <c r="V1678">
        <v>0</v>
      </c>
      <c r="W1678" s="2">
        <v>42500</v>
      </c>
      <c r="X1678" s="2">
        <v>42500</v>
      </c>
      <c r="Z1678" t="str">
        <f>"Y"</f>
        <v>Y</v>
      </c>
      <c r="AA1678">
        <v>0</v>
      </c>
      <c r="AC1678">
        <v>0</v>
      </c>
      <c r="AE1678">
        <v>0</v>
      </c>
      <c r="AF1678">
        <v>0</v>
      </c>
      <c r="AG1678" s="2">
        <v>145010</v>
      </c>
      <c r="AH1678">
        <v>0</v>
      </c>
      <c r="AI1678" s="2">
        <v>145010</v>
      </c>
      <c r="AJ1678" s="2">
        <v>42500</v>
      </c>
      <c r="AK1678" s="2">
        <v>42500</v>
      </c>
      <c r="AL1678" t="str">
        <f>"$"</f>
        <v>$</v>
      </c>
    </row>
    <row r="1679" spans="1:38" x14ac:dyDescent="0.3">
      <c r="A1679" t="str">
        <f>"SO22000190"</f>
        <v>SO22000190</v>
      </c>
      <c r="B1679" t="str">
        <f>"E000364990"</f>
        <v>E000364990</v>
      </c>
      <c r="C1679" t="str">
        <f>"בוצעה"</f>
        <v>בוצעה</v>
      </c>
      <c r="E1679" s="3">
        <v>44698</v>
      </c>
      <c r="F1679" s="3">
        <v>44727</v>
      </c>
      <c r="G1679" t="str">
        <f>"700065"</f>
        <v>700065</v>
      </c>
      <c r="H1679" t="str">
        <f>"אלתא מערכות בע""מ"</f>
        <v>אלתא מערכות בע"מ</v>
      </c>
      <c r="I1679" t="str">
        <f>"ערן שלו"</f>
        <v>ערן שלו</v>
      </c>
      <c r="J1679" t="str">
        <f>"cust00891"</f>
        <v>cust00891</v>
      </c>
      <c r="K1679" s="1" t="str">
        <f>"1038H185-001 אלתא"</f>
        <v>1038H185-001 אלתא</v>
      </c>
      <c r="L1679">
        <v>1</v>
      </c>
      <c r="M1679" t="str">
        <f>"PR22000384"</f>
        <v>PR22000384</v>
      </c>
      <c r="N1679" t="str">
        <f>"תיקון 1038H185-001"</f>
        <v>תיקון 1038H185-001</v>
      </c>
      <c r="O1679">
        <v>0</v>
      </c>
      <c r="P1679" t="str">
        <f>"$"</f>
        <v>$</v>
      </c>
      <c r="Q1679" t="str">
        <f>"118"</f>
        <v>118</v>
      </c>
      <c r="R1679" t="str">
        <f>"מערכות"</f>
        <v>מערכות</v>
      </c>
      <c r="S1679" t="str">
        <f>"034"</f>
        <v>034</v>
      </c>
      <c r="T1679" t="str">
        <f>"עמר ליגל"</f>
        <v>עמר ליגל</v>
      </c>
      <c r="U1679">
        <v>0</v>
      </c>
      <c r="V1679">
        <v>0</v>
      </c>
      <c r="W1679">
        <v>0</v>
      </c>
      <c r="X1679">
        <v>0</v>
      </c>
      <c r="Z1679" t="str">
        <f>"Y"</f>
        <v>Y</v>
      </c>
      <c r="AA1679">
        <v>0</v>
      </c>
      <c r="AC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 t="str">
        <f>"$"</f>
        <v>$</v>
      </c>
    </row>
    <row r="1680" spans="1:38" x14ac:dyDescent="0.3">
      <c r="A1680" t="str">
        <f>"SO22000191"</f>
        <v>SO22000191</v>
      </c>
      <c r="B1680" t="str">
        <f>"E000363786"</f>
        <v>E000363786</v>
      </c>
      <c r="C1680" t="str">
        <f>"בוצעה"</f>
        <v>בוצעה</v>
      </c>
      <c r="E1680" s="3">
        <v>44698</v>
      </c>
      <c r="F1680" s="3">
        <v>44774</v>
      </c>
      <c r="G1680" t="str">
        <f>"700065"</f>
        <v>700065</v>
      </c>
      <c r="H1680" t="str">
        <f>"אלתא מערכות בע""מ"</f>
        <v>אלתא מערכות בע"מ</v>
      </c>
      <c r="I1680" t="str">
        <f>"רחמים זרוק"</f>
        <v>רחמים זרוק</v>
      </c>
      <c r="J1680" t="str">
        <f>"cust001290"</f>
        <v>cust001290</v>
      </c>
      <c r="K1680" s="1" t="str">
        <f>"ELTA 1039V378-002"</f>
        <v>ELTA 1039V378-002</v>
      </c>
      <c r="L1680">
        <v>1</v>
      </c>
      <c r="M1680" t="str">
        <f>"PR22000347"</f>
        <v>PR22000347</v>
      </c>
      <c r="N1680" t="str">
        <f>"תיקון 1039V378-002"</f>
        <v>תיקון 1039V378-002</v>
      </c>
      <c r="O1680">
        <v>0</v>
      </c>
      <c r="P1680" t="str">
        <f>"$"</f>
        <v>$</v>
      </c>
      <c r="Q1680" t="str">
        <f>"117"</f>
        <v>117</v>
      </c>
      <c r="R1680" t="str">
        <f>"רתמות"</f>
        <v>רתמות</v>
      </c>
      <c r="S1680" t="str">
        <f>"040"</f>
        <v>040</v>
      </c>
      <c r="T1680" t="str">
        <f>"עמר ליגל"</f>
        <v>עמר ליגל</v>
      </c>
      <c r="U1680">
        <v>0</v>
      </c>
      <c r="V1680">
        <v>0</v>
      </c>
      <c r="W1680">
        <v>0</v>
      </c>
      <c r="X1680">
        <v>0</v>
      </c>
      <c r="Z1680" t="str">
        <f>"Y"</f>
        <v>Y</v>
      </c>
      <c r="AA1680">
        <v>0</v>
      </c>
      <c r="AC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 t="str">
        <f>"$"</f>
        <v>$</v>
      </c>
    </row>
    <row r="1681" spans="1:38" x14ac:dyDescent="0.3">
      <c r="A1681" t="str">
        <f>"SO22000192"</f>
        <v>SO22000192</v>
      </c>
      <c r="B1681" t="str">
        <f>"E000361337"</f>
        <v>E000361337</v>
      </c>
      <c r="C1681" t="str">
        <f>"הרכבה חלקית"</f>
        <v>הרכבה חלקית</v>
      </c>
      <c r="E1681" s="3">
        <v>44698</v>
      </c>
      <c r="F1681" s="3">
        <v>44941</v>
      </c>
      <c r="G1681" t="str">
        <f>"700065"</f>
        <v>700065</v>
      </c>
      <c r="H1681" t="str">
        <f>"אלתא מערכות בע""מ"</f>
        <v>אלתא מערכות בע"מ</v>
      </c>
      <c r="I1681" t="str">
        <f>"ערן שלו"</f>
        <v>ערן שלו</v>
      </c>
      <c r="J1681" t="str">
        <f>"OP-AR03539"</f>
        <v>OP-AR03539</v>
      </c>
      <c r="K1681" s="1" t="str">
        <f>"PDB2 שורד  1038C870-001"</f>
        <v>PDB2 שורד  1038C870-001</v>
      </c>
      <c r="L1681">
        <v>1</v>
      </c>
      <c r="M1681" t="str">
        <f>"PR22000334"</f>
        <v>PR22000334</v>
      </c>
      <c r="N1681" t="str">
        <f>"2.4 PDB 2 1038C870-001"</f>
        <v>2.4 PDB 2 1038C870-001</v>
      </c>
      <c r="O1681" s="2">
        <v>26985</v>
      </c>
      <c r="P1681" t="str">
        <f>"$"</f>
        <v>$</v>
      </c>
      <c r="Q1681" t="str">
        <f>"118"</f>
        <v>118</v>
      </c>
      <c r="R1681" t="str">
        <f>"מערכות"</f>
        <v>מערכות</v>
      </c>
      <c r="S1681" t="str">
        <f>"034"</f>
        <v>034</v>
      </c>
      <c r="T1681" t="str">
        <f>"עמר ליגל"</f>
        <v>עמר ליגל</v>
      </c>
      <c r="U1681">
        <v>0</v>
      </c>
      <c r="V1681">
        <v>0</v>
      </c>
      <c r="W1681" s="2">
        <v>26985</v>
      </c>
      <c r="X1681" s="2">
        <v>26985</v>
      </c>
      <c r="AA1681">
        <v>1</v>
      </c>
      <c r="AC1681">
        <v>0</v>
      </c>
      <c r="AE1681">
        <v>0</v>
      </c>
      <c r="AF1681">
        <v>0</v>
      </c>
      <c r="AG1681" s="2">
        <v>90750.56</v>
      </c>
      <c r="AH1681">
        <v>0</v>
      </c>
      <c r="AI1681" s="2">
        <v>90750.56</v>
      </c>
      <c r="AJ1681" s="2">
        <v>26985</v>
      </c>
      <c r="AK1681" s="2">
        <v>26985</v>
      </c>
      <c r="AL1681" t="str">
        <f>"$"</f>
        <v>$</v>
      </c>
    </row>
    <row r="1682" spans="1:38" x14ac:dyDescent="0.3">
      <c r="A1682" t="str">
        <f>"SO22000192"</f>
        <v>SO22000192</v>
      </c>
      <c r="B1682" t="str">
        <f>"E000361337"</f>
        <v>E000361337</v>
      </c>
      <c r="C1682" t="str">
        <f>"הרכבה חלקית"</f>
        <v>הרכבה חלקית</v>
      </c>
      <c r="E1682" s="3">
        <v>44698</v>
      </c>
      <c r="F1682" s="3">
        <v>45036</v>
      </c>
      <c r="G1682" t="str">
        <f>"700065"</f>
        <v>700065</v>
      </c>
      <c r="H1682" t="str">
        <f>"אלתא מערכות בע""מ"</f>
        <v>אלתא מערכות בע"מ</v>
      </c>
      <c r="I1682" t="str">
        <f>"ערן שלו"</f>
        <v>ערן שלו</v>
      </c>
      <c r="J1682" t="str">
        <f>"OP-AR02042"</f>
        <v>OP-AR02042</v>
      </c>
      <c r="K1682" s="1" t="str">
        <f>"PDB2  1038C870-001"</f>
        <v>PDB2  1038C870-001</v>
      </c>
      <c r="L1682">
        <v>1</v>
      </c>
      <c r="M1682" t="str">
        <f>"PR21000068"</f>
        <v>PR21000068</v>
      </c>
      <c r="N1682" t="str">
        <f>"RPU pdb1+2 פנימי"</f>
        <v>RPU pdb1+2 פנימי</v>
      </c>
      <c r="O1682" s="2">
        <v>26985</v>
      </c>
      <c r="P1682" t="str">
        <f>"$"</f>
        <v>$</v>
      </c>
      <c r="Q1682" t="str">
        <f>"118"</f>
        <v>118</v>
      </c>
      <c r="R1682" t="str">
        <f>"מערכות"</f>
        <v>מערכות</v>
      </c>
      <c r="S1682" t="str">
        <f>"034"</f>
        <v>034</v>
      </c>
      <c r="T1682" t="str">
        <f>"עמר ליגל"</f>
        <v>עמר ליגל</v>
      </c>
      <c r="U1682">
        <v>0</v>
      </c>
      <c r="V1682">
        <v>0</v>
      </c>
      <c r="W1682" s="2">
        <v>26985</v>
      </c>
      <c r="X1682" s="2">
        <v>26985</v>
      </c>
      <c r="Z1682" t="str">
        <f>"Y"</f>
        <v>Y</v>
      </c>
      <c r="AA1682">
        <v>0</v>
      </c>
      <c r="AC1682">
        <v>0</v>
      </c>
      <c r="AE1682">
        <v>0</v>
      </c>
      <c r="AF1682">
        <v>0</v>
      </c>
      <c r="AG1682" s="2">
        <v>90750.56</v>
      </c>
      <c r="AH1682">
        <v>0</v>
      </c>
      <c r="AI1682" s="2">
        <v>90750.56</v>
      </c>
      <c r="AJ1682" s="2">
        <v>26985</v>
      </c>
      <c r="AK1682" s="2">
        <v>26985</v>
      </c>
      <c r="AL1682" t="str">
        <f>"$"</f>
        <v>$</v>
      </c>
    </row>
    <row r="1683" spans="1:38" x14ac:dyDescent="0.3">
      <c r="A1683" t="str">
        <f>"SO22000192"</f>
        <v>SO22000192</v>
      </c>
      <c r="B1683" t="str">
        <f>"E000361337"</f>
        <v>E000361337</v>
      </c>
      <c r="C1683" t="str">
        <f>"הרכבה חלקית"</f>
        <v>הרכבה חלקית</v>
      </c>
      <c r="E1683" s="3">
        <v>44698</v>
      </c>
      <c r="F1683" s="3">
        <v>44941</v>
      </c>
      <c r="G1683" t="str">
        <f>"700065"</f>
        <v>700065</v>
      </c>
      <c r="H1683" t="str">
        <f>"אלתא מערכות בע""מ"</f>
        <v>אלתא מערכות בע"מ</v>
      </c>
      <c r="I1683" t="str">
        <f>"ערן שלו"</f>
        <v>ערן שלו</v>
      </c>
      <c r="J1683" t="str">
        <f>"OP-AR02042"</f>
        <v>OP-AR02042</v>
      </c>
      <c r="K1683" s="1" t="str">
        <f>"PDB2  1038C870-001"</f>
        <v>PDB2  1038C870-001</v>
      </c>
      <c r="L1683">
        <v>1</v>
      </c>
      <c r="M1683" t="str">
        <f>"PR22000282"</f>
        <v>PR22000282</v>
      </c>
      <c r="N1683" t="str">
        <f>"2.2  PDB 2 1038C870-001"</f>
        <v>2.2  PDB 2 1038C870-001</v>
      </c>
      <c r="O1683" s="2">
        <v>26985</v>
      </c>
      <c r="P1683" t="str">
        <f>"$"</f>
        <v>$</v>
      </c>
      <c r="Q1683" t="str">
        <f>"118"</f>
        <v>118</v>
      </c>
      <c r="R1683" t="str">
        <f>"מערכות"</f>
        <v>מערכות</v>
      </c>
      <c r="S1683" t="str">
        <f>"034"</f>
        <v>034</v>
      </c>
      <c r="T1683" t="str">
        <f>"עמר ליגל"</f>
        <v>עמר ליגל</v>
      </c>
      <c r="U1683">
        <v>0</v>
      </c>
      <c r="V1683">
        <v>0</v>
      </c>
      <c r="W1683" s="2">
        <v>26985</v>
      </c>
      <c r="X1683" s="2">
        <v>26985</v>
      </c>
      <c r="AA1683">
        <v>1</v>
      </c>
      <c r="AC1683">
        <v>0</v>
      </c>
      <c r="AE1683">
        <v>0</v>
      </c>
      <c r="AF1683">
        <v>0</v>
      </c>
      <c r="AG1683" s="2">
        <v>90750.56</v>
      </c>
      <c r="AH1683">
        <v>0</v>
      </c>
      <c r="AI1683" s="2">
        <v>90750.56</v>
      </c>
      <c r="AJ1683" s="2">
        <v>26985</v>
      </c>
      <c r="AK1683" s="2">
        <v>26985</v>
      </c>
      <c r="AL1683" t="str">
        <f>"$"</f>
        <v>$</v>
      </c>
    </row>
    <row r="1684" spans="1:38" x14ac:dyDescent="0.3">
      <c r="A1684" t="str">
        <f>"SO22000192"</f>
        <v>SO22000192</v>
      </c>
      <c r="B1684" t="str">
        <f>"E000361337"</f>
        <v>E000361337</v>
      </c>
      <c r="C1684" t="str">
        <f>"הרכבה חלקית"</f>
        <v>הרכבה חלקית</v>
      </c>
      <c r="E1684" s="3">
        <v>44698</v>
      </c>
      <c r="F1684" s="3">
        <v>45061</v>
      </c>
      <c r="G1684" t="str">
        <f>"700065"</f>
        <v>700065</v>
      </c>
      <c r="H1684" t="str">
        <f>"אלתא מערכות בע""מ"</f>
        <v>אלתא מערכות בע"מ</v>
      </c>
      <c r="I1684" t="str">
        <f>"ערן שלו"</f>
        <v>ערן שלו</v>
      </c>
      <c r="J1684" t="str">
        <f>"OP-AR02042"</f>
        <v>OP-AR02042</v>
      </c>
      <c r="K1684" s="1" t="str">
        <f>"PDB2  1038C870-001"</f>
        <v>PDB2  1038C870-001</v>
      </c>
      <c r="L1684">
        <v>1</v>
      </c>
      <c r="M1684" t="str">
        <f>"PR22000281"</f>
        <v>PR22000281</v>
      </c>
      <c r="N1684" t="str">
        <f>"2.1  PDB 2 1038C870-001"</f>
        <v>2.1  PDB 2 1038C870-001</v>
      </c>
      <c r="O1684" s="2">
        <v>26985</v>
      </c>
      <c r="P1684" t="str">
        <f>"$"</f>
        <v>$</v>
      </c>
      <c r="Q1684" t="str">
        <f>"118"</f>
        <v>118</v>
      </c>
      <c r="R1684" t="str">
        <f>"מערכות"</f>
        <v>מערכות</v>
      </c>
      <c r="S1684" t="str">
        <f>"034"</f>
        <v>034</v>
      </c>
      <c r="T1684" t="str">
        <f>"עמר ליגל"</f>
        <v>עמר ליגל</v>
      </c>
      <c r="U1684">
        <v>0</v>
      </c>
      <c r="V1684">
        <v>0</v>
      </c>
      <c r="W1684" s="2">
        <v>26985</v>
      </c>
      <c r="X1684" s="2">
        <v>26985</v>
      </c>
      <c r="AA1684">
        <v>1</v>
      </c>
      <c r="AC1684">
        <v>0</v>
      </c>
      <c r="AE1684">
        <v>0</v>
      </c>
      <c r="AF1684">
        <v>0</v>
      </c>
      <c r="AG1684" s="2">
        <v>90750.56</v>
      </c>
      <c r="AH1684">
        <v>0</v>
      </c>
      <c r="AI1684" s="2">
        <v>90750.56</v>
      </c>
      <c r="AJ1684" s="2">
        <v>26985</v>
      </c>
      <c r="AK1684" s="2">
        <v>26985</v>
      </c>
      <c r="AL1684" t="str">
        <f>"$"</f>
        <v>$</v>
      </c>
    </row>
    <row r="1685" spans="1:38" x14ac:dyDescent="0.3">
      <c r="A1685" t="str">
        <f>"SO22000192"</f>
        <v>SO22000192</v>
      </c>
      <c r="B1685" t="str">
        <f>"E000361337"</f>
        <v>E000361337</v>
      </c>
      <c r="C1685" t="str">
        <f>"הרכבה חלקית"</f>
        <v>הרכבה חלקית</v>
      </c>
      <c r="E1685" s="3">
        <v>44698</v>
      </c>
      <c r="F1685" s="3">
        <v>45047</v>
      </c>
      <c r="G1685" t="str">
        <f>"700065"</f>
        <v>700065</v>
      </c>
      <c r="H1685" t="str">
        <f>"אלתא מערכות בע""מ"</f>
        <v>אלתא מערכות בע"מ</v>
      </c>
      <c r="I1685" t="str">
        <f>"ערן שלו"</f>
        <v>ערן שלו</v>
      </c>
      <c r="J1685" t="str">
        <f>"OP-AR03538"</f>
        <v>OP-AR03538</v>
      </c>
      <c r="K1685" s="1" t="str">
        <f>"1043B860-001 PDB1 M"</f>
        <v>1043B860-001 PDB1 M</v>
      </c>
      <c r="L1685">
        <v>1</v>
      </c>
      <c r="M1685" t="str">
        <f>"PR22000153"</f>
        <v>PR22000153</v>
      </c>
      <c r="N1685" t="str">
        <f>"1043B860 PDB1 M"</f>
        <v>1043B860 PDB1 M</v>
      </c>
      <c r="O1685" s="2">
        <v>43055</v>
      </c>
      <c r="P1685" t="str">
        <f>"$"</f>
        <v>$</v>
      </c>
      <c r="Q1685" t="str">
        <f>"118"</f>
        <v>118</v>
      </c>
      <c r="R1685" t="str">
        <f>"מערכות"</f>
        <v>מערכות</v>
      </c>
      <c r="S1685" t="str">
        <f>"034"</f>
        <v>034</v>
      </c>
      <c r="T1685" t="str">
        <f>"עמר ליגל"</f>
        <v>עמר ליגל</v>
      </c>
      <c r="U1685">
        <v>0</v>
      </c>
      <c r="V1685">
        <v>0</v>
      </c>
      <c r="W1685" s="2">
        <v>43055</v>
      </c>
      <c r="X1685" s="2">
        <v>43055</v>
      </c>
      <c r="Z1685" t="str">
        <f>"Y"</f>
        <v>Y</v>
      </c>
      <c r="AA1685">
        <v>0</v>
      </c>
      <c r="AC1685">
        <v>0</v>
      </c>
      <c r="AE1685">
        <v>0</v>
      </c>
      <c r="AF1685">
        <v>0</v>
      </c>
      <c r="AG1685" s="2">
        <v>144793.97</v>
      </c>
      <c r="AH1685">
        <v>0</v>
      </c>
      <c r="AI1685" s="2">
        <v>144793.97</v>
      </c>
      <c r="AJ1685" s="2">
        <v>43055</v>
      </c>
      <c r="AK1685" s="2">
        <v>43055</v>
      </c>
      <c r="AL1685" t="str">
        <f>"$"</f>
        <v>$</v>
      </c>
    </row>
    <row r="1686" spans="1:38" x14ac:dyDescent="0.3">
      <c r="A1686" t="str">
        <f>"SO22000192"</f>
        <v>SO22000192</v>
      </c>
      <c r="B1686" t="str">
        <f>"E000361337"</f>
        <v>E000361337</v>
      </c>
      <c r="C1686" t="str">
        <f>"הרכבה חלקית"</f>
        <v>הרכבה חלקית</v>
      </c>
      <c r="E1686" s="3">
        <v>44698</v>
      </c>
      <c r="F1686" s="3">
        <v>45047</v>
      </c>
      <c r="G1686" t="str">
        <f>"700065"</f>
        <v>700065</v>
      </c>
      <c r="H1686" t="str">
        <f>"אלתא מערכות בע""מ"</f>
        <v>אלתא מערכות בע"מ</v>
      </c>
      <c r="I1686" t="str">
        <f>"ערן שלו"</f>
        <v>ערן שלו</v>
      </c>
      <c r="J1686" t="str">
        <f>"OP-AR03538"</f>
        <v>OP-AR03538</v>
      </c>
      <c r="K1686" s="1" t="str">
        <f>"1043B860-001 PDB1 M"</f>
        <v>1043B860-001 PDB1 M</v>
      </c>
      <c r="L1686">
        <v>1</v>
      </c>
      <c r="M1686" t="str">
        <f>"PR22000154"</f>
        <v>PR22000154</v>
      </c>
      <c r="N1686" t="str">
        <f>"1043B860 PDB1 M"</f>
        <v>1043B860 PDB1 M</v>
      </c>
      <c r="O1686" s="2">
        <v>43055</v>
      </c>
      <c r="P1686" t="str">
        <f>"$"</f>
        <v>$</v>
      </c>
      <c r="Q1686" t="str">
        <f>"118"</f>
        <v>118</v>
      </c>
      <c r="R1686" t="str">
        <f>"מערכות"</f>
        <v>מערכות</v>
      </c>
      <c r="S1686" t="str">
        <f>"034"</f>
        <v>034</v>
      </c>
      <c r="T1686" t="str">
        <f>"עמר ליגל"</f>
        <v>עמר ליגל</v>
      </c>
      <c r="U1686">
        <v>0</v>
      </c>
      <c r="V1686">
        <v>0</v>
      </c>
      <c r="W1686" s="2">
        <v>43055</v>
      </c>
      <c r="X1686" s="2">
        <v>43055</v>
      </c>
      <c r="Z1686" t="str">
        <f>"Y"</f>
        <v>Y</v>
      </c>
      <c r="AA1686">
        <v>0</v>
      </c>
      <c r="AC1686">
        <v>0</v>
      </c>
      <c r="AE1686">
        <v>0</v>
      </c>
      <c r="AF1686">
        <v>0</v>
      </c>
      <c r="AG1686" s="2">
        <v>144793.97</v>
      </c>
      <c r="AH1686">
        <v>0</v>
      </c>
      <c r="AI1686" s="2">
        <v>144793.97</v>
      </c>
      <c r="AJ1686" s="2">
        <v>43055</v>
      </c>
      <c r="AK1686" s="2">
        <v>43055</v>
      </c>
      <c r="AL1686" t="str">
        <f>"$"</f>
        <v>$</v>
      </c>
    </row>
    <row r="1687" spans="1:38" x14ac:dyDescent="0.3">
      <c r="A1687" t="str">
        <f>"SO22000192"</f>
        <v>SO22000192</v>
      </c>
      <c r="B1687" t="str">
        <f>"E000361337"</f>
        <v>E000361337</v>
      </c>
      <c r="C1687" t="str">
        <f>"הרכבה חלקית"</f>
        <v>הרכבה חלקית</v>
      </c>
      <c r="E1687" s="3">
        <v>44698</v>
      </c>
      <c r="F1687" s="3">
        <v>45047</v>
      </c>
      <c r="G1687" t="str">
        <f>"700065"</f>
        <v>700065</v>
      </c>
      <c r="H1687" t="str">
        <f>"אלתא מערכות בע""מ"</f>
        <v>אלתא מערכות בע"מ</v>
      </c>
      <c r="I1687" t="str">
        <f>"ערן שלו"</f>
        <v>ערן שלו</v>
      </c>
      <c r="J1687" t="str">
        <f>"OP-AR03538"</f>
        <v>OP-AR03538</v>
      </c>
      <c r="K1687" s="1" t="str">
        <f>"1043B860-001 PDB1 M"</f>
        <v>1043B860-001 PDB1 M</v>
      </c>
      <c r="L1687">
        <v>1</v>
      </c>
      <c r="M1687" t="str">
        <f>"PR22000147"</f>
        <v>PR22000147</v>
      </c>
      <c r="N1687" t="str">
        <f>"1043B860 PDB1 M"</f>
        <v>1043B860 PDB1 M</v>
      </c>
      <c r="O1687" s="2">
        <v>43055</v>
      </c>
      <c r="P1687" t="str">
        <f>"$"</f>
        <v>$</v>
      </c>
      <c r="Q1687" t="str">
        <f>"118"</f>
        <v>118</v>
      </c>
      <c r="R1687" t="str">
        <f>"מערכות"</f>
        <v>מערכות</v>
      </c>
      <c r="S1687" t="str">
        <f>"034"</f>
        <v>034</v>
      </c>
      <c r="T1687" t="str">
        <f>"עמר ליגל"</f>
        <v>עמר ליגל</v>
      </c>
      <c r="U1687">
        <v>0</v>
      </c>
      <c r="V1687">
        <v>0</v>
      </c>
      <c r="W1687" s="2">
        <v>43055</v>
      </c>
      <c r="X1687" s="2">
        <v>43055</v>
      </c>
      <c r="Z1687" t="str">
        <f>"Y"</f>
        <v>Y</v>
      </c>
      <c r="AA1687">
        <v>0</v>
      </c>
      <c r="AC1687">
        <v>0</v>
      </c>
      <c r="AE1687">
        <v>0</v>
      </c>
      <c r="AF1687">
        <v>0</v>
      </c>
      <c r="AG1687" s="2">
        <v>144793.97</v>
      </c>
      <c r="AH1687">
        <v>0</v>
      </c>
      <c r="AI1687" s="2">
        <v>144793.97</v>
      </c>
      <c r="AJ1687" s="2">
        <v>43055</v>
      </c>
      <c r="AK1687" s="2">
        <v>43055</v>
      </c>
      <c r="AL1687" t="str">
        <f>"$"</f>
        <v>$</v>
      </c>
    </row>
    <row r="1688" spans="1:38" x14ac:dyDescent="0.3">
      <c r="A1688" t="str">
        <f>"SO22000192"</f>
        <v>SO22000192</v>
      </c>
      <c r="B1688" t="str">
        <f>"E000361337"</f>
        <v>E000361337</v>
      </c>
      <c r="C1688" t="str">
        <f>"הרכבה חלקית"</f>
        <v>הרכבה חלקית</v>
      </c>
      <c r="E1688" s="3">
        <v>44698</v>
      </c>
      <c r="F1688" s="3">
        <v>45047</v>
      </c>
      <c r="G1688" t="str">
        <f>"700065"</f>
        <v>700065</v>
      </c>
      <c r="H1688" t="str">
        <f>"אלתא מערכות בע""מ"</f>
        <v>אלתא מערכות בע"מ</v>
      </c>
      <c r="I1688" t="str">
        <f>"ערן שלו"</f>
        <v>ערן שלו</v>
      </c>
      <c r="J1688" t="str">
        <f>"OP-AR03538"</f>
        <v>OP-AR03538</v>
      </c>
      <c r="K1688" s="1" t="str">
        <f>"1043B860-001 PDB1 M"</f>
        <v>1043B860-001 PDB1 M</v>
      </c>
      <c r="L1688">
        <v>1</v>
      </c>
      <c r="M1688" t="str">
        <f>"PR22000158"</f>
        <v>PR22000158</v>
      </c>
      <c r="N1688" t="str">
        <f>"1043B860 PDB1 M"</f>
        <v>1043B860 PDB1 M</v>
      </c>
      <c r="O1688" s="2">
        <v>43055</v>
      </c>
      <c r="P1688" t="str">
        <f>"$"</f>
        <v>$</v>
      </c>
      <c r="Q1688" t="str">
        <f>"118"</f>
        <v>118</v>
      </c>
      <c r="R1688" t="str">
        <f>"מערכות"</f>
        <v>מערכות</v>
      </c>
      <c r="S1688" t="str">
        <f>"034"</f>
        <v>034</v>
      </c>
      <c r="T1688" t="str">
        <f>"עמר ליגל"</f>
        <v>עמר ליגל</v>
      </c>
      <c r="U1688">
        <v>0</v>
      </c>
      <c r="V1688">
        <v>0</v>
      </c>
      <c r="W1688" s="2">
        <v>43055</v>
      </c>
      <c r="X1688" s="2">
        <v>43055</v>
      </c>
      <c r="AA1688">
        <v>1</v>
      </c>
      <c r="AC1688">
        <v>0</v>
      </c>
      <c r="AE1688">
        <v>0</v>
      </c>
      <c r="AF1688">
        <v>0</v>
      </c>
      <c r="AG1688" s="2">
        <v>144793.97</v>
      </c>
      <c r="AH1688">
        <v>0</v>
      </c>
      <c r="AI1688" s="2">
        <v>144793.97</v>
      </c>
      <c r="AJ1688" s="2">
        <v>43055</v>
      </c>
      <c r="AK1688" s="2">
        <v>43055</v>
      </c>
      <c r="AL1688" t="str">
        <f>"$"</f>
        <v>$</v>
      </c>
    </row>
    <row r="1689" spans="1:38" x14ac:dyDescent="0.3">
      <c r="A1689" t="str">
        <f>"SO22000192"</f>
        <v>SO22000192</v>
      </c>
      <c r="B1689" t="str">
        <f>"E000361337"</f>
        <v>E000361337</v>
      </c>
      <c r="C1689" t="str">
        <f>"הרכבה חלקית"</f>
        <v>הרכבה חלקית</v>
      </c>
      <c r="E1689" s="3">
        <v>44698</v>
      </c>
      <c r="F1689" s="3">
        <v>45047</v>
      </c>
      <c r="G1689" t="str">
        <f>"700065"</f>
        <v>700065</v>
      </c>
      <c r="H1689" t="str">
        <f>"אלתא מערכות בע""מ"</f>
        <v>אלתא מערכות בע"מ</v>
      </c>
      <c r="I1689" t="str">
        <f>"ערן שלו"</f>
        <v>ערן שלו</v>
      </c>
      <c r="J1689" t="str">
        <f>"OP-AR03538"</f>
        <v>OP-AR03538</v>
      </c>
      <c r="K1689" s="1" t="str">
        <f>"1043B860-001 PDB1 M"</f>
        <v>1043B860-001 PDB1 M</v>
      </c>
      <c r="L1689">
        <v>1</v>
      </c>
      <c r="M1689" t="str">
        <f>"PR22000147"</f>
        <v>PR22000147</v>
      </c>
      <c r="N1689" t="str">
        <f>"1043B860 PDB1 M"</f>
        <v>1043B860 PDB1 M</v>
      </c>
      <c r="O1689" s="2">
        <v>43055</v>
      </c>
      <c r="P1689" t="str">
        <f>"$"</f>
        <v>$</v>
      </c>
      <c r="Q1689" t="str">
        <f>"118"</f>
        <v>118</v>
      </c>
      <c r="R1689" t="str">
        <f>"מערכות"</f>
        <v>מערכות</v>
      </c>
      <c r="S1689" t="str">
        <f>"034"</f>
        <v>034</v>
      </c>
      <c r="T1689" t="str">
        <f>"עמר ליגל"</f>
        <v>עמר ליגל</v>
      </c>
      <c r="U1689">
        <v>0</v>
      </c>
      <c r="V1689">
        <v>0</v>
      </c>
      <c r="W1689" s="2">
        <v>43055</v>
      </c>
      <c r="X1689" s="2">
        <v>43055</v>
      </c>
      <c r="AA1689">
        <v>1</v>
      </c>
      <c r="AC1689">
        <v>0</v>
      </c>
      <c r="AE1689">
        <v>0</v>
      </c>
      <c r="AF1689">
        <v>0</v>
      </c>
      <c r="AG1689" s="2">
        <v>144793.97</v>
      </c>
      <c r="AH1689">
        <v>0</v>
      </c>
      <c r="AI1689" s="2">
        <v>144793.97</v>
      </c>
      <c r="AJ1689" s="2">
        <v>43055</v>
      </c>
      <c r="AK1689" s="2">
        <v>43055</v>
      </c>
      <c r="AL1689" t="str">
        <f>"$"</f>
        <v>$</v>
      </c>
    </row>
    <row r="1690" spans="1:38" x14ac:dyDescent="0.3">
      <c r="A1690" t="str">
        <f>"SO22000192"</f>
        <v>SO22000192</v>
      </c>
      <c r="B1690" t="str">
        <f>"E000361337"</f>
        <v>E000361337</v>
      </c>
      <c r="C1690" t="str">
        <f>"הרכבה חלקית"</f>
        <v>הרכבה חלקית</v>
      </c>
      <c r="E1690" s="3">
        <v>44698</v>
      </c>
      <c r="F1690" s="3">
        <v>45047</v>
      </c>
      <c r="G1690" t="str">
        <f>"700065"</f>
        <v>700065</v>
      </c>
      <c r="H1690" t="str">
        <f>"אלתא מערכות בע""מ"</f>
        <v>אלתא מערכות בע"מ</v>
      </c>
      <c r="I1690" t="str">
        <f>"ערן שלו"</f>
        <v>ערן שלו</v>
      </c>
      <c r="J1690" t="str">
        <f>"OP-AR03538"</f>
        <v>OP-AR03538</v>
      </c>
      <c r="K1690" s="1" t="str">
        <f>"1043B860-001 PDB1 M"</f>
        <v>1043B860-001 PDB1 M</v>
      </c>
      <c r="L1690">
        <v>1</v>
      </c>
      <c r="M1690" t="str">
        <f>"PR22000155"</f>
        <v>PR22000155</v>
      </c>
      <c r="N1690" t="str">
        <f>"1043B860 PDB1 M"</f>
        <v>1043B860 PDB1 M</v>
      </c>
      <c r="O1690" s="2">
        <v>43055</v>
      </c>
      <c r="P1690" t="str">
        <f>"$"</f>
        <v>$</v>
      </c>
      <c r="Q1690" t="str">
        <f>"118"</f>
        <v>118</v>
      </c>
      <c r="R1690" t="str">
        <f>"מערכות"</f>
        <v>מערכות</v>
      </c>
      <c r="S1690" t="str">
        <f>"034"</f>
        <v>034</v>
      </c>
      <c r="T1690" t="str">
        <f>"עמר ליגל"</f>
        <v>עמר ליגל</v>
      </c>
      <c r="U1690">
        <v>0</v>
      </c>
      <c r="V1690">
        <v>0</v>
      </c>
      <c r="W1690" s="2">
        <v>43055</v>
      </c>
      <c r="X1690" s="2">
        <v>43055</v>
      </c>
      <c r="Z1690" t="str">
        <f>"Y"</f>
        <v>Y</v>
      </c>
      <c r="AA1690">
        <v>0</v>
      </c>
      <c r="AC1690">
        <v>0</v>
      </c>
      <c r="AE1690">
        <v>0</v>
      </c>
      <c r="AF1690">
        <v>0</v>
      </c>
      <c r="AG1690" s="2">
        <v>144793.97</v>
      </c>
      <c r="AH1690">
        <v>0</v>
      </c>
      <c r="AI1690" s="2">
        <v>144793.97</v>
      </c>
      <c r="AJ1690" s="2">
        <v>43055</v>
      </c>
      <c r="AK1690" s="2">
        <v>43055</v>
      </c>
      <c r="AL1690" t="str">
        <f>"$"</f>
        <v>$</v>
      </c>
    </row>
    <row r="1691" spans="1:38" x14ac:dyDescent="0.3">
      <c r="A1691" t="str">
        <f>"SO22000192"</f>
        <v>SO22000192</v>
      </c>
      <c r="B1691" t="str">
        <f>"E000361337"</f>
        <v>E000361337</v>
      </c>
      <c r="C1691" t="str">
        <f>"הרכבה חלקית"</f>
        <v>הרכבה חלקית</v>
      </c>
      <c r="E1691" s="3">
        <v>44698</v>
      </c>
      <c r="F1691" s="3">
        <v>45187</v>
      </c>
      <c r="G1691" t="str">
        <f>"700065"</f>
        <v>700065</v>
      </c>
      <c r="H1691" t="str">
        <f>"אלתא מערכות בע""מ"</f>
        <v>אלתא מערכות בע"מ</v>
      </c>
      <c r="I1691" t="str">
        <f>"ערן שלו"</f>
        <v>ערן שלו</v>
      </c>
      <c r="J1691" t="str">
        <f>"OP-AR02041-1S"</f>
        <v>OP-AR02041-1S</v>
      </c>
      <c r="K1691" s="1" t="str">
        <f>"SL PDB  1 1042A860-001"</f>
        <v>SL PDB  1 1042A860-001</v>
      </c>
      <c r="L1691">
        <v>1</v>
      </c>
      <c r="M1691" t="str">
        <f>"PR22000306"</f>
        <v>PR22000306</v>
      </c>
      <c r="N1691" t="str">
        <f>"PDB1 THSH  1042A860-001"</f>
        <v>PDB1 THSH  1042A860-001</v>
      </c>
      <c r="O1691" s="2">
        <v>41000</v>
      </c>
      <c r="P1691" t="str">
        <f>"$"</f>
        <v>$</v>
      </c>
      <c r="Q1691" t="str">
        <f>"118"</f>
        <v>118</v>
      </c>
      <c r="R1691" t="str">
        <f>"מערכות"</f>
        <v>מערכות</v>
      </c>
      <c r="S1691" t="str">
        <f>"034"</f>
        <v>034</v>
      </c>
      <c r="T1691" t="str">
        <f>"עמר ליגל"</f>
        <v>עמר ליגל</v>
      </c>
      <c r="U1691">
        <v>0</v>
      </c>
      <c r="V1691">
        <v>0</v>
      </c>
      <c r="W1691" s="2">
        <v>41000</v>
      </c>
      <c r="X1691" s="2">
        <v>41000</v>
      </c>
      <c r="AA1691">
        <v>1</v>
      </c>
      <c r="AC1691">
        <v>0</v>
      </c>
      <c r="AE1691">
        <v>0</v>
      </c>
      <c r="AF1691">
        <v>0</v>
      </c>
      <c r="AG1691" s="2">
        <v>137883</v>
      </c>
      <c r="AH1691">
        <v>0</v>
      </c>
      <c r="AI1691" s="2">
        <v>137883</v>
      </c>
      <c r="AJ1691" s="2">
        <v>41000</v>
      </c>
      <c r="AK1691" s="2">
        <v>41000</v>
      </c>
      <c r="AL1691" t="str">
        <f>"$"</f>
        <v>$</v>
      </c>
    </row>
    <row r="1692" spans="1:38" x14ac:dyDescent="0.3">
      <c r="A1692" t="str">
        <f>"SO22000192"</f>
        <v>SO22000192</v>
      </c>
      <c r="B1692" t="str">
        <f>"E000361337"</f>
        <v>E000361337</v>
      </c>
      <c r="C1692" t="str">
        <f>"הרכבה חלקית"</f>
        <v>הרכבה חלקית</v>
      </c>
      <c r="E1692" s="3">
        <v>44698</v>
      </c>
      <c r="F1692" s="3">
        <v>45187</v>
      </c>
      <c r="G1692" t="str">
        <f>"700065"</f>
        <v>700065</v>
      </c>
      <c r="H1692" t="str">
        <f>"אלתא מערכות בע""מ"</f>
        <v>אלתא מערכות בע"מ</v>
      </c>
      <c r="I1692" t="str">
        <f>"ערן שלו"</f>
        <v>ערן שלו</v>
      </c>
      <c r="J1692" t="str">
        <f>"OP-AR02041-1S"</f>
        <v>OP-AR02041-1S</v>
      </c>
      <c r="K1692" s="1" t="str">
        <f>"SL PDB  1 1042A860-001"</f>
        <v>SL PDB  1 1042A860-001</v>
      </c>
      <c r="L1692">
        <v>1</v>
      </c>
      <c r="O1692" s="2">
        <v>41000</v>
      </c>
      <c r="P1692" t="str">
        <f>"$"</f>
        <v>$</v>
      </c>
      <c r="Q1692" t="str">
        <f>"118"</f>
        <v>118</v>
      </c>
      <c r="R1692" t="str">
        <f>"מערכות"</f>
        <v>מערכות</v>
      </c>
      <c r="S1692" t="str">
        <f>"034"</f>
        <v>034</v>
      </c>
      <c r="T1692" t="str">
        <f>"עמר ליגל"</f>
        <v>עמר ליגל</v>
      </c>
      <c r="U1692">
        <v>0</v>
      </c>
      <c r="V1692">
        <v>0</v>
      </c>
      <c r="W1692" s="2">
        <v>41000</v>
      </c>
      <c r="X1692" s="2">
        <v>41000</v>
      </c>
      <c r="AA1692">
        <v>1</v>
      </c>
      <c r="AC1692">
        <v>0</v>
      </c>
      <c r="AE1692">
        <v>0</v>
      </c>
      <c r="AF1692">
        <v>0</v>
      </c>
      <c r="AG1692" s="2">
        <v>137883</v>
      </c>
      <c r="AH1692">
        <v>0</v>
      </c>
      <c r="AI1692" s="2">
        <v>137883</v>
      </c>
      <c r="AJ1692" s="2">
        <v>41000</v>
      </c>
      <c r="AK1692" s="2">
        <v>41000</v>
      </c>
      <c r="AL1692" t="str">
        <f>"$"</f>
        <v>$</v>
      </c>
    </row>
    <row r="1693" spans="1:38" x14ac:dyDescent="0.3">
      <c r="A1693" t="str">
        <f>"SO22000192"</f>
        <v>SO22000192</v>
      </c>
      <c r="B1693" t="str">
        <f>"E000361337"</f>
        <v>E000361337</v>
      </c>
      <c r="C1693" t="str">
        <f>"הרכבה חלקית"</f>
        <v>הרכבה חלקית</v>
      </c>
      <c r="E1693" s="3">
        <v>44698</v>
      </c>
      <c r="F1693" s="3">
        <v>45187</v>
      </c>
      <c r="G1693" t="str">
        <f>"700065"</f>
        <v>700065</v>
      </c>
      <c r="H1693" t="str">
        <f>"אלתא מערכות בע""מ"</f>
        <v>אלתא מערכות בע"מ</v>
      </c>
      <c r="I1693" t="str">
        <f>"ערן שלו"</f>
        <v>ערן שלו</v>
      </c>
      <c r="J1693" t="str">
        <f>"OP-AR02041-1S"</f>
        <v>OP-AR02041-1S</v>
      </c>
      <c r="K1693" s="1" t="str">
        <f>"SL PDB  1 1042A860-001"</f>
        <v>SL PDB  1 1042A860-001</v>
      </c>
      <c r="L1693">
        <v>1</v>
      </c>
      <c r="O1693" s="2">
        <v>41000</v>
      </c>
      <c r="P1693" t="str">
        <f>"$"</f>
        <v>$</v>
      </c>
      <c r="Q1693" t="str">
        <f>"118"</f>
        <v>118</v>
      </c>
      <c r="R1693" t="str">
        <f>"מערכות"</f>
        <v>מערכות</v>
      </c>
      <c r="S1693" t="str">
        <f>"034"</f>
        <v>034</v>
      </c>
      <c r="T1693" t="str">
        <f>"עמר ליגל"</f>
        <v>עמר ליגל</v>
      </c>
      <c r="U1693">
        <v>0</v>
      </c>
      <c r="V1693">
        <v>0</v>
      </c>
      <c r="W1693" s="2">
        <v>41000</v>
      </c>
      <c r="X1693" s="2">
        <v>41000</v>
      </c>
      <c r="AA1693">
        <v>1</v>
      </c>
      <c r="AC1693">
        <v>0</v>
      </c>
      <c r="AE1693">
        <v>0</v>
      </c>
      <c r="AF1693">
        <v>0</v>
      </c>
      <c r="AG1693" s="2">
        <v>137883</v>
      </c>
      <c r="AH1693">
        <v>0</v>
      </c>
      <c r="AI1693" s="2">
        <v>137883</v>
      </c>
      <c r="AJ1693" s="2">
        <v>41000</v>
      </c>
      <c r="AK1693" s="2">
        <v>41000</v>
      </c>
      <c r="AL1693" t="str">
        <f>"$"</f>
        <v>$</v>
      </c>
    </row>
    <row r="1694" spans="1:38" x14ac:dyDescent="0.3">
      <c r="A1694" t="str">
        <f>"SO22000192"</f>
        <v>SO22000192</v>
      </c>
      <c r="B1694" t="str">
        <f>"E000361337"</f>
        <v>E000361337</v>
      </c>
      <c r="C1694" t="str">
        <f>"הרכבה חלקית"</f>
        <v>הרכבה חלקית</v>
      </c>
      <c r="E1694" s="3">
        <v>44698</v>
      </c>
      <c r="F1694" s="3">
        <v>45187</v>
      </c>
      <c r="G1694" t="str">
        <f>"700065"</f>
        <v>700065</v>
      </c>
      <c r="H1694" t="str">
        <f>"אלתא מערכות בע""מ"</f>
        <v>אלתא מערכות בע"מ</v>
      </c>
      <c r="I1694" t="str">
        <f>"ערן שלו"</f>
        <v>ערן שלו</v>
      </c>
      <c r="J1694" t="str">
        <f>"OP-AR02041-1S"</f>
        <v>OP-AR02041-1S</v>
      </c>
      <c r="K1694" s="1" t="str">
        <f>"SL PDB  1 1042A860-001"</f>
        <v>SL PDB  1 1042A860-001</v>
      </c>
      <c r="L1694">
        <v>1</v>
      </c>
      <c r="O1694" s="2">
        <v>41000</v>
      </c>
      <c r="P1694" t="str">
        <f>"$"</f>
        <v>$</v>
      </c>
      <c r="Q1694" t="str">
        <f>"118"</f>
        <v>118</v>
      </c>
      <c r="R1694" t="str">
        <f>"מערכות"</f>
        <v>מערכות</v>
      </c>
      <c r="S1694" t="str">
        <f>"034"</f>
        <v>034</v>
      </c>
      <c r="T1694" t="str">
        <f>"עמר ליגל"</f>
        <v>עמר ליגל</v>
      </c>
      <c r="U1694">
        <v>0</v>
      </c>
      <c r="V1694">
        <v>0</v>
      </c>
      <c r="W1694" s="2">
        <v>41000</v>
      </c>
      <c r="X1694" s="2">
        <v>41000</v>
      </c>
      <c r="AA1694">
        <v>1</v>
      </c>
      <c r="AC1694">
        <v>0</v>
      </c>
      <c r="AE1694">
        <v>0</v>
      </c>
      <c r="AF1694">
        <v>0</v>
      </c>
      <c r="AG1694" s="2">
        <v>137883</v>
      </c>
      <c r="AH1694">
        <v>0</v>
      </c>
      <c r="AI1694" s="2">
        <v>137883</v>
      </c>
      <c r="AJ1694" s="2">
        <v>41000</v>
      </c>
      <c r="AK1694" s="2">
        <v>41000</v>
      </c>
      <c r="AL1694" t="str">
        <f>"$"</f>
        <v>$</v>
      </c>
    </row>
    <row r="1695" spans="1:38" x14ac:dyDescent="0.3">
      <c r="A1695" t="str">
        <f>"SO22000193"</f>
        <v>SO22000193</v>
      </c>
      <c r="B1695" t="str">
        <f>"E000359087"</f>
        <v>E000359087</v>
      </c>
      <c r="C1695" t="str">
        <f>"הרכבה חלקית"</f>
        <v>הרכבה חלקית</v>
      </c>
      <c r="E1695" s="3">
        <v>44698</v>
      </c>
      <c r="F1695" s="3">
        <v>45046</v>
      </c>
      <c r="G1695" t="str">
        <f>"700065"</f>
        <v>700065</v>
      </c>
      <c r="H1695" t="str">
        <f>"אלתא מערכות בע""מ"</f>
        <v>אלתא מערכות בע"מ</v>
      </c>
      <c r="I1695" t="str">
        <f>"ערן שלו"</f>
        <v>ערן שלו</v>
      </c>
      <c r="J1695" t="str">
        <f>"000"</f>
        <v>000</v>
      </c>
      <c r="K1695" s="1" t="str">
        <f>"עדכון תכן M VRU"</f>
        <v>עדכון תכן M VRU</v>
      </c>
      <c r="L1695">
        <v>1</v>
      </c>
      <c r="M1695" t="str">
        <f>"PR22000390"</f>
        <v>PR22000390</v>
      </c>
      <c r="N1695" t="str">
        <f>"M-VRU - VOLTAGE RECTIFIER UNITספ"</f>
        <v>M-VRU - VOLTAGE RECTIFIER UNITספ</v>
      </c>
      <c r="O1695" s="2">
        <v>2500</v>
      </c>
      <c r="P1695" t="str">
        <f>"$"</f>
        <v>$</v>
      </c>
      <c r="Q1695" t="str">
        <f>"118"</f>
        <v>118</v>
      </c>
      <c r="R1695" t="str">
        <f>"מערכות"</f>
        <v>מערכות</v>
      </c>
      <c r="S1695" t="str">
        <f>"034"</f>
        <v>034</v>
      </c>
      <c r="T1695" t="str">
        <f>"עמר ליגל"</f>
        <v>עמר ליגל</v>
      </c>
      <c r="U1695">
        <v>0</v>
      </c>
      <c r="V1695">
        <v>0</v>
      </c>
      <c r="W1695" s="2">
        <v>2500</v>
      </c>
      <c r="X1695" s="2">
        <v>2500</v>
      </c>
      <c r="Z1695" t="str">
        <f>"Y"</f>
        <v>Y</v>
      </c>
      <c r="AA1695">
        <v>1</v>
      </c>
      <c r="AC1695">
        <v>0</v>
      </c>
      <c r="AE1695">
        <v>0</v>
      </c>
      <c r="AF1695">
        <v>0</v>
      </c>
      <c r="AG1695" s="2">
        <v>8407.5</v>
      </c>
      <c r="AH1695">
        <v>0</v>
      </c>
      <c r="AI1695" s="2">
        <v>8407.5</v>
      </c>
      <c r="AJ1695" s="2">
        <v>2500</v>
      </c>
      <c r="AK1695" s="2">
        <v>2500</v>
      </c>
      <c r="AL1695" t="str">
        <f>"$"</f>
        <v>$</v>
      </c>
    </row>
    <row r="1696" spans="1:38" x14ac:dyDescent="0.3">
      <c r="A1696" t="str">
        <f>"SO22000193"</f>
        <v>SO22000193</v>
      </c>
      <c r="B1696" t="str">
        <f>"E000359087"</f>
        <v>E000359087</v>
      </c>
      <c r="C1696" t="str">
        <f>"הרכבה חלקית"</f>
        <v>הרכבה חלקית</v>
      </c>
      <c r="E1696" s="3">
        <v>44698</v>
      </c>
      <c r="F1696" s="3">
        <v>44936</v>
      </c>
      <c r="G1696" t="str">
        <f>"700065"</f>
        <v>700065</v>
      </c>
      <c r="H1696" t="str">
        <f>"אלתא מערכות בע""מ"</f>
        <v>אלתא מערכות בע"מ</v>
      </c>
      <c r="I1696" t="str">
        <f>"ערן שלו"</f>
        <v>ערן שלו</v>
      </c>
      <c r="J1696" t="str">
        <f>"000"</f>
        <v>000</v>
      </c>
      <c r="K1696" s="1" t="str">
        <f>"ביצוע אנליזה חום ליחדית + עדכון"</f>
        <v>ביצוע אנליזה חום ליחדית + עדכון</v>
      </c>
      <c r="L1696">
        <v>1</v>
      </c>
      <c r="M1696" t="str">
        <f>"PR22000280"</f>
        <v>PR22000280</v>
      </c>
      <c r="N1696" t="str">
        <f>"OP-ML00215 - M – PDU ראשי"</f>
        <v>OP-ML00215 - M – PDU ראשי</v>
      </c>
      <c r="O1696" s="2">
        <v>16150</v>
      </c>
      <c r="P1696" t="str">
        <f>"$"</f>
        <v>$</v>
      </c>
      <c r="Q1696" t="str">
        <f>"118"</f>
        <v>118</v>
      </c>
      <c r="R1696" t="str">
        <f>"מערכות"</f>
        <v>מערכות</v>
      </c>
      <c r="S1696" t="str">
        <f>"034"</f>
        <v>034</v>
      </c>
      <c r="T1696" t="str">
        <f>"עמר ליגל"</f>
        <v>עמר ליגל</v>
      </c>
      <c r="U1696">
        <v>0</v>
      </c>
      <c r="V1696">
        <v>0</v>
      </c>
      <c r="W1696" s="2">
        <v>16150</v>
      </c>
      <c r="X1696" s="2">
        <v>16150</v>
      </c>
      <c r="Z1696" t="str">
        <f>"Y"</f>
        <v>Y</v>
      </c>
      <c r="AA1696">
        <v>1</v>
      </c>
      <c r="AC1696">
        <v>0</v>
      </c>
      <c r="AE1696">
        <v>0</v>
      </c>
      <c r="AF1696">
        <v>0</v>
      </c>
      <c r="AG1696" s="2">
        <v>54312.45</v>
      </c>
      <c r="AH1696">
        <v>0</v>
      </c>
      <c r="AI1696" s="2">
        <v>54312.45</v>
      </c>
      <c r="AJ1696" s="2">
        <v>16150</v>
      </c>
      <c r="AK1696" s="2">
        <v>16150</v>
      </c>
      <c r="AL1696" t="str">
        <f>"$"</f>
        <v>$</v>
      </c>
    </row>
    <row r="1697" spans="1:38" x14ac:dyDescent="0.3">
      <c r="A1697" t="str">
        <f>"SO22000193"</f>
        <v>SO22000193</v>
      </c>
      <c r="B1697" t="str">
        <f>"E000359087"</f>
        <v>E000359087</v>
      </c>
      <c r="C1697" t="str">
        <f>"הרכבה חלקית"</f>
        <v>הרכבה חלקית</v>
      </c>
      <c r="E1697" s="3">
        <v>44698</v>
      </c>
      <c r="F1697" s="3">
        <v>45000</v>
      </c>
      <c r="G1697" t="str">
        <f>"700065"</f>
        <v>700065</v>
      </c>
      <c r="H1697" t="str">
        <f>"אלתא מערכות בע""מ"</f>
        <v>אלתא מערכות בע"מ</v>
      </c>
      <c r="I1697" t="str">
        <f>"ערן שלו"</f>
        <v>ערן שלו</v>
      </c>
      <c r="J1697" t="str">
        <f>"OP-ML00215"</f>
        <v>OP-ML00215</v>
      </c>
      <c r="K1697" s="1" t="str">
        <f>"M - PDU מק""ט 6930H850-001"</f>
        <v>M - PDU מק"ט 6930H850-001</v>
      </c>
      <c r="L1697">
        <v>1</v>
      </c>
      <c r="M1697" t="str">
        <f>"PR22000301"</f>
        <v>PR22000301</v>
      </c>
      <c r="N1697" t="str">
        <f>"14/ OP-ML00215 - M – PDU"</f>
        <v>14/ OP-ML00215 - M – PDU</v>
      </c>
      <c r="O1697" s="2">
        <v>14757</v>
      </c>
      <c r="P1697" t="str">
        <f>"$"</f>
        <v>$</v>
      </c>
      <c r="Q1697" t="str">
        <f>"118"</f>
        <v>118</v>
      </c>
      <c r="R1697" t="str">
        <f>"מערכות"</f>
        <v>מערכות</v>
      </c>
      <c r="S1697" t="str">
        <f>"034"</f>
        <v>034</v>
      </c>
      <c r="T1697" t="str">
        <f>"עמר ליגל"</f>
        <v>עמר ליגל</v>
      </c>
      <c r="U1697">
        <v>0</v>
      </c>
      <c r="V1697">
        <v>0</v>
      </c>
      <c r="W1697" s="2">
        <v>14757</v>
      </c>
      <c r="X1697" s="2">
        <v>14757</v>
      </c>
      <c r="AA1697">
        <v>0</v>
      </c>
      <c r="AC1697">
        <v>0</v>
      </c>
      <c r="AE1697">
        <v>0</v>
      </c>
      <c r="AF1697">
        <v>0</v>
      </c>
      <c r="AG1697" s="2">
        <v>49627.79</v>
      </c>
      <c r="AH1697">
        <v>0</v>
      </c>
      <c r="AI1697" s="2">
        <v>49627.79</v>
      </c>
      <c r="AJ1697" s="2">
        <v>14757</v>
      </c>
      <c r="AK1697" s="2">
        <v>14757</v>
      </c>
      <c r="AL1697" t="str">
        <f>"$"</f>
        <v>$</v>
      </c>
    </row>
    <row r="1698" spans="1:38" x14ac:dyDescent="0.3">
      <c r="A1698" t="str">
        <f>"SO22000193"</f>
        <v>SO22000193</v>
      </c>
      <c r="B1698" t="str">
        <f>"E000359087"</f>
        <v>E000359087</v>
      </c>
      <c r="C1698" t="str">
        <f>"הרכבה חלקית"</f>
        <v>הרכבה חלקית</v>
      </c>
      <c r="E1698" s="3">
        <v>44698</v>
      </c>
      <c r="F1698" s="3">
        <v>45000</v>
      </c>
      <c r="G1698" t="str">
        <f>"700065"</f>
        <v>700065</v>
      </c>
      <c r="H1698" t="str">
        <f>"אלתא מערכות בע""מ"</f>
        <v>אלתא מערכות בע"מ</v>
      </c>
      <c r="I1698" t="str">
        <f>"ערן שלו"</f>
        <v>ערן שלו</v>
      </c>
      <c r="J1698" t="str">
        <f>"OP-ML00215"</f>
        <v>OP-ML00215</v>
      </c>
      <c r="K1698" s="1" t="str">
        <f>"M - PDU מק""ט 6930H850-001"</f>
        <v>M - PDU מק"ט 6930H850-001</v>
      </c>
      <c r="L1698">
        <v>0</v>
      </c>
      <c r="M1698" t="str">
        <f>"PR22000300"</f>
        <v>PR22000300</v>
      </c>
      <c r="N1698" t="str">
        <f>"13/  OP-ML00215 - M – PD"</f>
        <v>13/  OP-ML00215 - M – PD</v>
      </c>
      <c r="O1698" s="2">
        <v>14757</v>
      </c>
      <c r="P1698" t="str">
        <f>"$"</f>
        <v>$</v>
      </c>
      <c r="Q1698" t="str">
        <f>"118"</f>
        <v>118</v>
      </c>
      <c r="R1698" t="str">
        <f>"מערכות"</f>
        <v>מערכות</v>
      </c>
      <c r="S1698" t="str">
        <f>"034"</f>
        <v>034</v>
      </c>
      <c r="T1698" t="str">
        <f>"עמר ליגל"</f>
        <v>עמר ליגל</v>
      </c>
      <c r="U1698">
        <v>0</v>
      </c>
      <c r="V1698">
        <v>0</v>
      </c>
      <c r="W1698" s="2">
        <v>14757</v>
      </c>
      <c r="X1698">
        <v>0</v>
      </c>
      <c r="AA1698">
        <v>0</v>
      </c>
      <c r="AC1698">
        <v>0</v>
      </c>
      <c r="AE1698">
        <v>0</v>
      </c>
      <c r="AF1698">
        <v>0</v>
      </c>
      <c r="AG1698" s="2">
        <v>49627.79</v>
      </c>
      <c r="AH1698">
        <v>0</v>
      </c>
      <c r="AI1698">
        <v>0</v>
      </c>
      <c r="AJ1698">
        <v>0</v>
      </c>
      <c r="AK1698">
        <v>0</v>
      </c>
      <c r="AL1698" t="str">
        <f>"$"</f>
        <v>$</v>
      </c>
    </row>
    <row r="1699" spans="1:38" x14ac:dyDescent="0.3">
      <c r="A1699" t="str">
        <f>"SO22000193"</f>
        <v>SO22000193</v>
      </c>
      <c r="B1699" t="str">
        <f>"E000359087"</f>
        <v>E000359087</v>
      </c>
      <c r="C1699" t="str">
        <f>"הרכבה חלקית"</f>
        <v>הרכבה חלקית</v>
      </c>
      <c r="E1699" s="3">
        <v>44698</v>
      </c>
      <c r="F1699" s="3">
        <v>44936</v>
      </c>
      <c r="G1699" t="str">
        <f>"700065"</f>
        <v>700065</v>
      </c>
      <c r="H1699" t="str">
        <f>"אלתא מערכות בע""מ"</f>
        <v>אלתא מערכות בע"מ</v>
      </c>
      <c r="I1699" t="str">
        <f>"ערן שלו"</f>
        <v>ערן שלו</v>
      </c>
      <c r="J1699" t="str">
        <f>"OP-ML00216"</f>
        <v>OP-ML00216</v>
      </c>
      <c r="K1699" s="1" t="str">
        <f>"6930H860-001    M - VRU"</f>
        <v>6930H860-001    M - VRU</v>
      </c>
      <c r="L1699">
        <v>4</v>
      </c>
      <c r="M1699" t="str">
        <f>"PR22000390"</f>
        <v>PR22000390</v>
      </c>
      <c r="N1699" t="str">
        <f>"M-VRU - VOLTAGE RECTIFIER UNITספ"</f>
        <v>M-VRU - VOLTAGE RECTIFIER UNITספ</v>
      </c>
      <c r="O1699" s="2">
        <v>9760</v>
      </c>
      <c r="P1699" t="str">
        <f>"$"</f>
        <v>$</v>
      </c>
      <c r="Q1699" t="str">
        <f>"118"</f>
        <v>118</v>
      </c>
      <c r="R1699" t="str">
        <f>"מערכות"</f>
        <v>מערכות</v>
      </c>
      <c r="S1699" t="str">
        <f>"034"</f>
        <v>034</v>
      </c>
      <c r="T1699" t="str">
        <f>"עמר ליגל"</f>
        <v>עמר ליגל</v>
      </c>
      <c r="U1699">
        <v>0</v>
      </c>
      <c r="V1699">
        <v>0</v>
      </c>
      <c r="W1699" s="2">
        <v>9760</v>
      </c>
      <c r="X1699" s="2">
        <v>39040</v>
      </c>
      <c r="Z1699" t="str">
        <f>"Y"</f>
        <v>Y</v>
      </c>
      <c r="AA1699">
        <v>0</v>
      </c>
      <c r="AC1699">
        <v>0</v>
      </c>
      <c r="AE1699">
        <v>0</v>
      </c>
      <c r="AF1699">
        <v>0</v>
      </c>
      <c r="AG1699" s="2">
        <v>32822.879999999997</v>
      </c>
      <c r="AH1699">
        <v>0</v>
      </c>
      <c r="AI1699" s="2">
        <v>131291.51999999999</v>
      </c>
      <c r="AJ1699" s="2">
        <v>39040</v>
      </c>
      <c r="AK1699" s="2">
        <v>39040</v>
      </c>
      <c r="AL1699" t="str">
        <f>"$"</f>
        <v>$</v>
      </c>
    </row>
    <row r="1700" spans="1:38" x14ac:dyDescent="0.3">
      <c r="A1700" t="str">
        <f>"SO22000193"</f>
        <v>SO22000193</v>
      </c>
      <c r="B1700" t="str">
        <f>"E000359087"</f>
        <v>E000359087</v>
      </c>
      <c r="C1700" t="str">
        <f>"הרכבה חלקית"</f>
        <v>הרכבה חלקית</v>
      </c>
      <c r="E1700" s="3">
        <v>44698</v>
      </c>
      <c r="F1700" s="3">
        <v>44978</v>
      </c>
      <c r="G1700" t="str">
        <f>"700065"</f>
        <v>700065</v>
      </c>
      <c r="H1700" t="str">
        <f>"אלתא מערכות בע""מ"</f>
        <v>אלתא מערכות בע"מ</v>
      </c>
      <c r="I1700" t="str">
        <f>"ערן שלו"</f>
        <v>ערן שלו</v>
      </c>
      <c r="J1700" t="str">
        <f>"OP-ML00216"</f>
        <v>OP-ML00216</v>
      </c>
      <c r="K1700" s="1" t="str">
        <f>"6930H860-001    M - VRU"</f>
        <v>6930H860-001    M - VRU</v>
      </c>
      <c r="L1700">
        <v>1</v>
      </c>
      <c r="M1700" t="str">
        <f>"PR22000392"</f>
        <v>PR22000392</v>
      </c>
      <c r="N1700" t="str">
        <f>"M-VRU -VOLTAGE RECTIFIER UNIT ינ"</f>
        <v>M-VRU -VOLTAGE RECTIFIER UNIT ינ</v>
      </c>
      <c r="O1700" s="2">
        <v>9760</v>
      </c>
      <c r="P1700" t="str">
        <f>"$"</f>
        <v>$</v>
      </c>
      <c r="Q1700" t="str">
        <f>"118"</f>
        <v>118</v>
      </c>
      <c r="R1700" t="str">
        <f>"מערכות"</f>
        <v>מערכות</v>
      </c>
      <c r="S1700" t="str">
        <f>"034"</f>
        <v>034</v>
      </c>
      <c r="T1700" t="str">
        <f>"עמר ליגל"</f>
        <v>עמר ליגל</v>
      </c>
      <c r="U1700">
        <v>0</v>
      </c>
      <c r="V1700">
        <v>0</v>
      </c>
      <c r="W1700" s="2">
        <v>9760</v>
      </c>
      <c r="X1700" s="2">
        <v>9760</v>
      </c>
      <c r="Z1700" t="str">
        <f>"Y"</f>
        <v>Y</v>
      </c>
      <c r="AA1700">
        <v>0</v>
      </c>
      <c r="AC1700">
        <v>0</v>
      </c>
      <c r="AE1700">
        <v>0</v>
      </c>
      <c r="AF1700">
        <v>0</v>
      </c>
      <c r="AG1700" s="2">
        <v>32822.879999999997</v>
      </c>
      <c r="AH1700">
        <v>0</v>
      </c>
      <c r="AI1700" s="2">
        <v>32822.879999999997</v>
      </c>
      <c r="AJ1700" s="2">
        <v>9760</v>
      </c>
      <c r="AK1700" s="2">
        <v>9760</v>
      </c>
      <c r="AL1700" t="str">
        <f>"$"</f>
        <v>$</v>
      </c>
    </row>
    <row r="1701" spans="1:38" x14ac:dyDescent="0.3">
      <c r="A1701" t="str">
        <f>"SO22000193"</f>
        <v>SO22000193</v>
      </c>
      <c r="B1701" t="str">
        <f>"E000359087"</f>
        <v>E000359087</v>
      </c>
      <c r="C1701" t="str">
        <f>"הרכבה חלקית"</f>
        <v>הרכבה חלקית</v>
      </c>
      <c r="E1701" s="3">
        <v>44698</v>
      </c>
      <c r="F1701" s="3">
        <v>44936</v>
      </c>
      <c r="G1701" t="str">
        <f>"700065"</f>
        <v>700065</v>
      </c>
      <c r="H1701" t="str">
        <f>"אלתא מערכות בע""מ"</f>
        <v>אלתא מערכות בע"מ</v>
      </c>
      <c r="I1701" t="str">
        <f>"ערן שלו"</f>
        <v>ערן שלו</v>
      </c>
      <c r="J1701" t="str">
        <f>"OP-ML00215"</f>
        <v>OP-ML00215</v>
      </c>
      <c r="K1701" s="1" t="str">
        <f>"M - PDU מק""ט 6930H850-001"</f>
        <v>M - PDU מק"ט 6930H850-001</v>
      </c>
      <c r="L1701">
        <v>0</v>
      </c>
      <c r="M1701" t="str">
        <f>"PR22000541"</f>
        <v>PR22000541</v>
      </c>
      <c r="N1701" t="str">
        <f>"15 OP-ML00215 - M – PDU"</f>
        <v>15 OP-ML00215 - M – PDU</v>
      </c>
      <c r="O1701" s="2">
        <v>14757</v>
      </c>
      <c r="P1701" t="str">
        <f>"$"</f>
        <v>$</v>
      </c>
      <c r="Q1701" t="str">
        <f>"118"</f>
        <v>118</v>
      </c>
      <c r="R1701" t="str">
        <f>"מערכות"</f>
        <v>מערכות</v>
      </c>
      <c r="S1701" t="str">
        <f>"034"</f>
        <v>034</v>
      </c>
      <c r="T1701" t="str">
        <f>"עמר ליגל"</f>
        <v>עמר ליגל</v>
      </c>
      <c r="U1701">
        <v>0</v>
      </c>
      <c r="V1701">
        <v>0</v>
      </c>
      <c r="W1701" s="2">
        <v>14757</v>
      </c>
      <c r="X1701">
        <v>0</v>
      </c>
      <c r="AA1701">
        <v>0</v>
      </c>
      <c r="AC1701">
        <v>0</v>
      </c>
      <c r="AE1701">
        <v>0</v>
      </c>
      <c r="AF1701">
        <v>0</v>
      </c>
      <c r="AG1701" s="2">
        <v>49627.79</v>
      </c>
      <c r="AH1701">
        <v>0</v>
      </c>
      <c r="AI1701">
        <v>0</v>
      </c>
      <c r="AJ1701">
        <v>0</v>
      </c>
      <c r="AK1701">
        <v>0</v>
      </c>
      <c r="AL1701" t="str">
        <f>"$"</f>
        <v>$</v>
      </c>
    </row>
    <row r="1702" spans="1:38" x14ac:dyDescent="0.3">
      <c r="A1702" t="str">
        <f>"SO22000193"</f>
        <v>SO22000193</v>
      </c>
      <c r="B1702" t="str">
        <f>"E000359087"</f>
        <v>E000359087</v>
      </c>
      <c r="C1702" t="str">
        <f>"הרכבה חלקית"</f>
        <v>הרכבה חלקית</v>
      </c>
      <c r="E1702" s="3">
        <v>44698</v>
      </c>
      <c r="F1702" s="3">
        <v>44936</v>
      </c>
      <c r="G1702" t="str">
        <f>"700065"</f>
        <v>700065</v>
      </c>
      <c r="H1702" t="str">
        <f>"אלתא מערכות בע""מ"</f>
        <v>אלתא מערכות בע"מ</v>
      </c>
      <c r="I1702" t="str">
        <f>"ערן שלו"</f>
        <v>ערן שלו</v>
      </c>
      <c r="J1702" t="str">
        <f>"OP-ML00215"</f>
        <v>OP-ML00215</v>
      </c>
      <c r="K1702" s="1" t="str">
        <f>"M - PDU מק""ט 6930H850-001"</f>
        <v>M - PDU מק"ט 6930H850-001</v>
      </c>
      <c r="L1702">
        <v>1</v>
      </c>
      <c r="M1702" t="str">
        <f>"PR22000289"</f>
        <v>PR22000289</v>
      </c>
      <c r="N1702" t="str">
        <f>"02/ OP-ML00215 - M – PDU"</f>
        <v>02/ OP-ML00215 - M – PDU</v>
      </c>
      <c r="O1702" s="2">
        <v>14757</v>
      </c>
      <c r="P1702" t="str">
        <f>"$"</f>
        <v>$</v>
      </c>
      <c r="Q1702" t="str">
        <f>"118"</f>
        <v>118</v>
      </c>
      <c r="R1702" t="str">
        <f>"מערכות"</f>
        <v>מערכות</v>
      </c>
      <c r="S1702" t="str">
        <f>"034"</f>
        <v>034</v>
      </c>
      <c r="T1702" t="str">
        <f>"עמר ליגל"</f>
        <v>עמר ליגל</v>
      </c>
      <c r="U1702">
        <v>0</v>
      </c>
      <c r="V1702">
        <v>0</v>
      </c>
      <c r="W1702" s="2">
        <v>14757</v>
      </c>
      <c r="X1702" s="2">
        <v>14757</v>
      </c>
      <c r="AA1702">
        <v>0</v>
      </c>
      <c r="AC1702">
        <v>0</v>
      </c>
      <c r="AE1702">
        <v>0</v>
      </c>
      <c r="AF1702">
        <v>0</v>
      </c>
      <c r="AG1702" s="2">
        <v>49627.79</v>
      </c>
      <c r="AH1702">
        <v>0</v>
      </c>
      <c r="AI1702" s="2">
        <v>49627.79</v>
      </c>
      <c r="AJ1702" s="2">
        <v>14757</v>
      </c>
      <c r="AK1702" s="2">
        <v>14757</v>
      </c>
      <c r="AL1702" t="str">
        <f>"$"</f>
        <v>$</v>
      </c>
    </row>
    <row r="1703" spans="1:38" x14ac:dyDescent="0.3">
      <c r="A1703" t="str">
        <f>"SO22000193"</f>
        <v>SO22000193</v>
      </c>
      <c r="B1703" t="str">
        <f>"E000359087"</f>
        <v>E000359087</v>
      </c>
      <c r="C1703" t="str">
        <f>"הרכבה חלקית"</f>
        <v>הרכבה חלקית</v>
      </c>
      <c r="E1703" s="3">
        <v>44698</v>
      </c>
      <c r="F1703" s="3">
        <v>44936</v>
      </c>
      <c r="G1703" t="str">
        <f>"700065"</f>
        <v>700065</v>
      </c>
      <c r="H1703" t="str">
        <f>"אלתא מערכות בע""מ"</f>
        <v>אלתא מערכות בע"מ</v>
      </c>
      <c r="I1703" t="str">
        <f>"ערן שלו"</f>
        <v>ערן שלו</v>
      </c>
      <c r="J1703" t="str">
        <f>"OP-ML00215"</f>
        <v>OP-ML00215</v>
      </c>
      <c r="K1703" s="1" t="str">
        <f>"M - PDU מק""ט 6930H850-001"</f>
        <v>M - PDU מק"ט 6930H850-001</v>
      </c>
      <c r="L1703">
        <v>2</v>
      </c>
      <c r="M1703" t="str">
        <f>"PR22000272"</f>
        <v>PR22000272</v>
      </c>
      <c r="N1703" t="str">
        <f>"01/ OP-ML00215 - M – PDU"</f>
        <v>01/ OP-ML00215 - M – PDU</v>
      </c>
      <c r="O1703" s="2">
        <v>14757</v>
      </c>
      <c r="P1703" t="str">
        <f>"$"</f>
        <v>$</v>
      </c>
      <c r="Q1703" t="str">
        <f>"118"</f>
        <v>118</v>
      </c>
      <c r="R1703" t="str">
        <f>"מערכות"</f>
        <v>מערכות</v>
      </c>
      <c r="S1703" t="str">
        <f>"034"</f>
        <v>034</v>
      </c>
      <c r="T1703" t="str">
        <f>"עמר ליגל"</f>
        <v>עמר ליגל</v>
      </c>
      <c r="U1703">
        <v>0</v>
      </c>
      <c r="V1703">
        <v>0</v>
      </c>
      <c r="W1703" s="2">
        <v>14757</v>
      </c>
      <c r="X1703" s="2">
        <v>29514</v>
      </c>
      <c r="AA1703">
        <v>0</v>
      </c>
      <c r="AC1703">
        <v>0</v>
      </c>
      <c r="AE1703">
        <v>0</v>
      </c>
      <c r="AF1703">
        <v>0</v>
      </c>
      <c r="AG1703" s="2">
        <v>49627.79</v>
      </c>
      <c r="AH1703">
        <v>0</v>
      </c>
      <c r="AI1703" s="2">
        <v>99255.58</v>
      </c>
      <c r="AJ1703" s="2">
        <v>29514</v>
      </c>
      <c r="AK1703" s="2">
        <v>29514</v>
      </c>
      <c r="AL1703" t="str">
        <f>"$"</f>
        <v>$</v>
      </c>
    </row>
    <row r="1704" spans="1:38" x14ac:dyDescent="0.3">
      <c r="A1704" t="str">
        <f>"SO22000193"</f>
        <v>SO22000193</v>
      </c>
      <c r="B1704" t="str">
        <f>"E000359087"</f>
        <v>E000359087</v>
      </c>
      <c r="C1704" t="str">
        <f>"הרכבה חלקית"</f>
        <v>הרכבה חלקית</v>
      </c>
      <c r="E1704" s="3">
        <v>44698</v>
      </c>
      <c r="F1704" s="3">
        <v>44936</v>
      </c>
      <c r="G1704" t="str">
        <f>"700065"</f>
        <v>700065</v>
      </c>
      <c r="H1704" t="str">
        <f>"אלתא מערכות בע""מ"</f>
        <v>אלתא מערכות בע"מ</v>
      </c>
      <c r="I1704" t="str">
        <f>"ערן שלו"</f>
        <v>ערן שלו</v>
      </c>
      <c r="J1704" t="str">
        <f>"OP-ML00215"</f>
        <v>OP-ML00215</v>
      </c>
      <c r="K1704" s="1" t="str">
        <f>"M - PDU מק""ט 6930H850-001"</f>
        <v>M - PDU מק"ט 6930H850-001</v>
      </c>
      <c r="L1704">
        <v>2</v>
      </c>
      <c r="M1704" t="str">
        <f>"PR22000290"</f>
        <v>PR22000290</v>
      </c>
      <c r="N1704" t="str">
        <f>"03/ OP-ML00215 - M – PDU"</f>
        <v>03/ OP-ML00215 - M – PDU</v>
      </c>
      <c r="O1704" s="2">
        <v>14757</v>
      </c>
      <c r="P1704" t="str">
        <f>"$"</f>
        <v>$</v>
      </c>
      <c r="Q1704" t="str">
        <f>"118"</f>
        <v>118</v>
      </c>
      <c r="R1704" t="str">
        <f>"מערכות"</f>
        <v>מערכות</v>
      </c>
      <c r="S1704" t="str">
        <f>"034"</f>
        <v>034</v>
      </c>
      <c r="T1704" t="str">
        <f>"עמר ליגל"</f>
        <v>עמר ליגל</v>
      </c>
      <c r="U1704">
        <v>0</v>
      </c>
      <c r="V1704">
        <v>0</v>
      </c>
      <c r="W1704" s="2">
        <v>14757</v>
      </c>
      <c r="X1704" s="2">
        <v>29514</v>
      </c>
      <c r="AA1704">
        <v>0</v>
      </c>
      <c r="AC1704">
        <v>0</v>
      </c>
      <c r="AE1704">
        <v>0</v>
      </c>
      <c r="AF1704">
        <v>0</v>
      </c>
      <c r="AG1704" s="2">
        <v>49627.79</v>
      </c>
      <c r="AH1704">
        <v>0</v>
      </c>
      <c r="AI1704" s="2">
        <v>99255.58</v>
      </c>
      <c r="AJ1704" s="2">
        <v>29514</v>
      </c>
      <c r="AK1704" s="2">
        <v>29514</v>
      </c>
      <c r="AL1704" t="str">
        <f>"$"</f>
        <v>$</v>
      </c>
    </row>
    <row r="1705" spans="1:38" x14ac:dyDescent="0.3">
      <c r="A1705" t="str">
        <f>"SO22000193"</f>
        <v>SO22000193</v>
      </c>
      <c r="B1705" t="str">
        <f>"E000359087"</f>
        <v>E000359087</v>
      </c>
      <c r="C1705" t="str">
        <f>"הרכבה חלקית"</f>
        <v>הרכבה חלקית</v>
      </c>
      <c r="E1705" s="3">
        <v>44698</v>
      </c>
      <c r="F1705" s="3">
        <v>44936</v>
      </c>
      <c r="G1705" t="str">
        <f>"700065"</f>
        <v>700065</v>
      </c>
      <c r="H1705" t="str">
        <f>"אלתא מערכות בע""מ"</f>
        <v>אלתא מערכות בע"מ</v>
      </c>
      <c r="I1705" t="str">
        <f>"ערן שלו"</f>
        <v>ערן שלו</v>
      </c>
      <c r="J1705" t="str">
        <f>"OP-ML00215"</f>
        <v>OP-ML00215</v>
      </c>
      <c r="K1705" s="1" t="str">
        <f>"M - PDU מק""ט 6930H850-001"</f>
        <v>M - PDU מק"ט 6930H850-001</v>
      </c>
      <c r="L1705">
        <v>2</v>
      </c>
      <c r="M1705" t="str">
        <f>"PR22000291"</f>
        <v>PR22000291</v>
      </c>
      <c r="N1705" t="str">
        <f>"04/ OP-ML00215 - M – PDU"</f>
        <v>04/ OP-ML00215 - M – PDU</v>
      </c>
      <c r="O1705" s="2">
        <v>14757</v>
      </c>
      <c r="P1705" t="str">
        <f>"$"</f>
        <v>$</v>
      </c>
      <c r="Q1705" t="str">
        <f>"118"</f>
        <v>118</v>
      </c>
      <c r="R1705" t="str">
        <f>"מערכות"</f>
        <v>מערכות</v>
      </c>
      <c r="S1705" t="str">
        <f>"034"</f>
        <v>034</v>
      </c>
      <c r="T1705" t="str">
        <f>"עמר ליגל"</f>
        <v>עמר ליגל</v>
      </c>
      <c r="U1705">
        <v>0</v>
      </c>
      <c r="V1705">
        <v>0</v>
      </c>
      <c r="W1705" s="2">
        <v>14757</v>
      </c>
      <c r="X1705" s="2">
        <v>29514</v>
      </c>
      <c r="AA1705">
        <v>0</v>
      </c>
      <c r="AC1705">
        <v>0</v>
      </c>
      <c r="AE1705">
        <v>0</v>
      </c>
      <c r="AF1705">
        <v>0</v>
      </c>
      <c r="AG1705" s="2">
        <v>49627.79</v>
      </c>
      <c r="AH1705">
        <v>0</v>
      </c>
      <c r="AI1705" s="2">
        <v>99255.58</v>
      </c>
      <c r="AJ1705" s="2">
        <v>29514</v>
      </c>
      <c r="AK1705" s="2">
        <v>29514</v>
      </c>
      <c r="AL1705" t="str">
        <f>"$"</f>
        <v>$</v>
      </c>
    </row>
    <row r="1706" spans="1:38" x14ac:dyDescent="0.3">
      <c r="A1706" t="str">
        <f>"SO22000193"</f>
        <v>SO22000193</v>
      </c>
      <c r="B1706" t="str">
        <f>"E000359087"</f>
        <v>E000359087</v>
      </c>
      <c r="C1706" t="str">
        <f>"הרכבה חלקית"</f>
        <v>הרכבה חלקית</v>
      </c>
      <c r="E1706" s="3">
        <v>44698</v>
      </c>
      <c r="F1706" s="3">
        <v>44936</v>
      </c>
      <c r="G1706" t="str">
        <f>"700065"</f>
        <v>700065</v>
      </c>
      <c r="H1706" t="str">
        <f>"אלתא מערכות בע""מ"</f>
        <v>אלתא מערכות בע"מ</v>
      </c>
      <c r="I1706" t="str">
        <f>"ערן שלו"</f>
        <v>ערן שלו</v>
      </c>
      <c r="J1706" t="str">
        <f>"OP-ML00215"</f>
        <v>OP-ML00215</v>
      </c>
      <c r="K1706" s="1" t="str">
        <f>"M - PDU מק""ט 6930H850-001"</f>
        <v>M - PDU מק"ט 6930H850-001</v>
      </c>
      <c r="L1706">
        <v>2</v>
      </c>
      <c r="M1706" t="str">
        <f>"PR22000292"</f>
        <v>PR22000292</v>
      </c>
      <c r="N1706" t="str">
        <f>"05/ OP-ML00215 - M – PDU"</f>
        <v>05/ OP-ML00215 - M – PDU</v>
      </c>
      <c r="O1706" s="2">
        <v>14757</v>
      </c>
      <c r="P1706" t="str">
        <f>"$"</f>
        <v>$</v>
      </c>
      <c r="Q1706" t="str">
        <f>"118"</f>
        <v>118</v>
      </c>
      <c r="R1706" t="str">
        <f>"מערכות"</f>
        <v>מערכות</v>
      </c>
      <c r="S1706" t="str">
        <f>"034"</f>
        <v>034</v>
      </c>
      <c r="T1706" t="str">
        <f>"עמר ליגל"</f>
        <v>עמר ליגל</v>
      </c>
      <c r="U1706">
        <v>0</v>
      </c>
      <c r="V1706">
        <v>0</v>
      </c>
      <c r="W1706" s="2">
        <v>14757</v>
      </c>
      <c r="X1706" s="2">
        <v>29514</v>
      </c>
      <c r="AA1706">
        <v>0</v>
      </c>
      <c r="AC1706">
        <v>0</v>
      </c>
      <c r="AE1706">
        <v>0</v>
      </c>
      <c r="AF1706">
        <v>0</v>
      </c>
      <c r="AG1706" s="2">
        <v>49627.79</v>
      </c>
      <c r="AH1706">
        <v>0</v>
      </c>
      <c r="AI1706" s="2">
        <v>99255.58</v>
      </c>
      <c r="AJ1706" s="2">
        <v>29514</v>
      </c>
      <c r="AK1706" s="2">
        <v>29514</v>
      </c>
      <c r="AL1706" t="str">
        <f>"$"</f>
        <v>$</v>
      </c>
    </row>
    <row r="1707" spans="1:38" x14ac:dyDescent="0.3">
      <c r="A1707" t="str">
        <f>"SO22000193"</f>
        <v>SO22000193</v>
      </c>
      <c r="B1707" t="str">
        <f>"E000359087"</f>
        <v>E000359087</v>
      </c>
      <c r="C1707" t="str">
        <f>"הרכבה חלקית"</f>
        <v>הרכבה חלקית</v>
      </c>
      <c r="E1707" s="3">
        <v>44698</v>
      </c>
      <c r="F1707" s="3">
        <v>44936</v>
      </c>
      <c r="G1707" t="str">
        <f>"700065"</f>
        <v>700065</v>
      </c>
      <c r="H1707" t="str">
        <f>"אלתא מערכות בע""מ"</f>
        <v>אלתא מערכות בע"מ</v>
      </c>
      <c r="I1707" t="str">
        <f>"ערן שלו"</f>
        <v>ערן שלו</v>
      </c>
      <c r="J1707" t="str">
        <f>"OP-ML00215"</f>
        <v>OP-ML00215</v>
      </c>
      <c r="K1707" s="1" t="str">
        <f>"M - PDU מק""ט 6930H850-001"</f>
        <v>M - PDU מק"ט 6930H850-001</v>
      </c>
      <c r="L1707">
        <v>1</v>
      </c>
      <c r="M1707" t="str">
        <f>"PR22000293"</f>
        <v>PR22000293</v>
      </c>
      <c r="N1707" t="str">
        <f>"06/ OP-ML00215 - M – PDU"</f>
        <v>06/ OP-ML00215 - M – PDU</v>
      </c>
      <c r="O1707" s="2">
        <v>14757</v>
      </c>
      <c r="P1707" t="str">
        <f>"$"</f>
        <v>$</v>
      </c>
      <c r="Q1707" t="str">
        <f>"118"</f>
        <v>118</v>
      </c>
      <c r="R1707" t="str">
        <f>"מערכות"</f>
        <v>מערכות</v>
      </c>
      <c r="S1707" t="str">
        <f>"034"</f>
        <v>034</v>
      </c>
      <c r="T1707" t="str">
        <f>"עמר ליגל"</f>
        <v>עמר ליגל</v>
      </c>
      <c r="U1707">
        <v>0</v>
      </c>
      <c r="V1707">
        <v>0</v>
      </c>
      <c r="W1707" s="2">
        <v>14757</v>
      </c>
      <c r="X1707" s="2">
        <v>14757</v>
      </c>
      <c r="AA1707">
        <v>0</v>
      </c>
      <c r="AC1707">
        <v>0</v>
      </c>
      <c r="AE1707">
        <v>0</v>
      </c>
      <c r="AF1707">
        <v>0</v>
      </c>
      <c r="AG1707" s="2">
        <v>49627.79</v>
      </c>
      <c r="AH1707">
        <v>0</v>
      </c>
      <c r="AI1707" s="2">
        <v>49627.79</v>
      </c>
      <c r="AJ1707" s="2">
        <v>14757</v>
      </c>
      <c r="AK1707" s="2">
        <v>14757</v>
      </c>
      <c r="AL1707" t="str">
        <f>"$"</f>
        <v>$</v>
      </c>
    </row>
    <row r="1708" spans="1:38" x14ac:dyDescent="0.3">
      <c r="A1708" t="str">
        <f>"SO22000193"</f>
        <v>SO22000193</v>
      </c>
      <c r="B1708" t="str">
        <f>"E000359087"</f>
        <v>E000359087</v>
      </c>
      <c r="C1708" t="str">
        <f>"הרכבה חלקית"</f>
        <v>הרכבה חלקית</v>
      </c>
      <c r="E1708" s="3">
        <v>44698</v>
      </c>
      <c r="F1708" s="3">
        <v>44936</v>
      </c>
      <c r="G1708" t="str">
        <f>"700065"</f>
        <v>700065</v>
      </c>
      <c r="H1708" t="str">
        <f>"אלתא מערכות בע""מ"</f>
        <v>אלתא מערכות בע"מ</v>
      </c>
      <c r="I1708" t="str">
        <f>"ערן שלו"</f>
        <v>ערן שלו</v>
      </c>
      <c r="J1708" t="str">
        <f>"OP-ML00215"</f>
        <v>OP-ML00215</v>
      </c>
      <c r="K1708" s="1" t="str">
        <f>"M - PDU מק""ט 6930H850-001"</f>
        <v>M - PDU מק"ט 6930H850-001</v>
      </c>
      <c r="L1708">
        <v>1</v>
      </c>
      <c r="M1708" t="str">
        <f>"PR22000294"</f>
        <v>PR22000294</v>
      </c>
      <c r="N1708" t="str">
        <f>"07/ OP-ML00215 - M – PDU"</f>
        <v>07/ OP-ML00215 - M – PDU</v>
      </c>
      <c r="O1708" s="2">
        <v>14757</v>
      </c>
      <c r="P1708" t="str">
        <f>"$"</f>
        <v>$</v>
      </c>
      <c r="Q1708" t="str">
        <f>"118"</f>
        <v>118</v>
      </c>
      <c r="R1708" t="str">
        <f>"מערכות"</f>
        <v>מערכות</v>
      </c>
      <c r="S1708" t="str">
        <f>"034"</f>
        <v>034</v>
      </c>
      <c r="T1708" t="str">
        <f>"עמר ליגל"</f>
        <v>עמר ליגל</v>
      </c>
      <c r="U1708">
        <v>0</v>
      </c>
      <c r="V1708">
        <v>0</v>
      </c>
      <c r="W1708" s="2">
        <v>14757</v>
      </c>
      <c r="X1708" s="2">
        <v>14757</v>
      </c>
      <c r="AA1708">
        <v>0</v>
      </c>
      <c r="AC1708">
        <v>0</v>
      </c>
      <c r="AE1708">
        <v>0</v>
      </c>
      <c r="AF1708">
        <v>0</v>
      </c>
      <c r="AG1708" s="2">
        <v>49627.79</v>
      </c>
      <c r="AH1708">
        <v>0</v>
      </c>
      <c r="AI1708" s="2">
        <v>49627.79</v>
      </c>
      <c r="AJ1708" s="2">
        <v>14757</v>
      </c>
      <c r="AK1708" s="2">
        <v>14757</v>
      </c>
      <c r="AL1708" t="str">
        <f>"$"</f>
        <v>$</v>
      </c>
    </row>
    <row r="1709" spans="1:38" x14ac:dyDescent="0.3">
      <c r="A1709" t="str">
        <f>"SO22000193"</f>
        <v>SO22000193</v>
      </c>
      <c r="B1709" t="str">
        <f>"E000359087"</f>
        <v>E000359087</v>
      </c>
      <c r="C1709" t="str">
        <f>"הרכבה חלקית"</f>
        <v>הרכבה חלקית</v>
      </c>
      <c r="E1709" s="3">
        <v>44698</v>
      </c>
      <c r="F1709" s="3">
        <v>44936</v>
      </c>
      <c r="G1709" t="str">
        <f>"700065"</f>
        <v>700065</v>
      </c>
      <c r="H1709" t="str">
        <f>"אלתא מערכות בע""מ"</f>
        <v>אלתא מערכות בע"מ</v>
      </c>
      <c r="I1709" t="str">
        <f>"ערן שלו"</f>
        <v>ערן שלו</v>
      </c>
      <c r="J1709" t="str">
        <f>"OP-ML00215"</f>
        <v>OP-ML00215</v>
      </c>
      <c r="K1709" s="1" t="str">
        <f>"M - PDU מק""ט 6930H850-001"</f>
        <v>M - PDU מק"ט 6930H850-001</v>
      </c>
      <c r="L1709">
        <v>1</v>
      </c>
      <c r="M1709" t="str">
        <f>"PR22000295"</f>
        <v>PR22000295</v>
      </c>
      <c r="N1709" t="str">
        <f>"08/ OP-ML00215 - M – PDU"</f>
        <v>08/ OP-ML00215 - M – PDU</v>
      </c>
      <c r="O1709" s="2">
        <v>14757</v>
      </c>
      <c r="P1709" t="str">
        <f>"$"</f>
        <v>$</v>
      </c>
      <c r="Q1709" t="str">
        <f>"118"</f>
        <v>118</v>
      </c>
      <c r="R1709" t="str">
        <f>"מערכות"</f>
        <v>מערכות</v>
      </c>
      <c r="S1709" t="str">
        <f>"034"</f>
        <v>034</v>
      </c>
      <c r="T1709" t="str">
        <f>"עמר ליגל"</f>
        <v>עמר ליגל</v>
      </c>
      <c r="U1709">
        <v>0</v>
      </c>
      <c r="V1709">
        <v>0</v>
      </c>
      <c r="W1709" s="2">
        <v>14757</v>
      </c>
      <c r="X1709" s="2">
        <v>14757</v>
      </c>
      <c r="Z1709" t="str">
        <f>"Y"</f>
        <v>Y</v>
      </c>
      <c r="AA1709">
        <v>0</v>
      </c>
      <c r="AC1709">
        <v>0</v>
      </c>
      <c r="AE1709">
        <v>0</v>
      </c>
      <c r="AF1709">
        <v>0</v>
      </c>
      <c r="AG1709" s="2">
        <v>49627.79</v>
      </c>
      <c r="AH1709">
        <v>0</v>
      </c>
      <c r="AI1709" s="2">
        <v>49627.79</v>
      </c>
      <c r="AJ1709" s="2">
        <v>14757</v>
      </c>
      <c r="AK1709" s="2">
        <v>14757</v>
      </c>
      <c r="AL1709" t="str">
        <f>"$"</f>
        <v>$</v>
      </c>
    </row>
    <row r="1710" spans="1:38" x14ac:dyDescent="0.3">
      <c r="A1710" t="str">
        <f>"SO22000193"</f>
        <v>SO22000193</v>
      </c>
      <c r="B1710" t="str">
        <f>"E000359087"</f>
        <v>E000359087</v>
      </c>
      <c r="C1710" t="str">
        <f>"הרכבה חלקית"</f>
        <v>הרכבה חלקית</v>
      </c>
      <c r="E1710" s="3">
        <v>44698</v>
      </c>
      <c r="F1710" s="3">
        <v>44936</v>
      </c>
      <c r="G1710" t="str">
        <f>"700065"</f>
        <v>700065</v>
      </c>
      <c r="H1710" t="str">
        <f>"אלתא מערכות בע""מ"</f>
        <v>אלתא מערכות בע"מ</v>
      </c>
      <c r="I1710" t="str">
        <f>"ערן שלו"</f>
        <v>ערן שלו</v>
      </c>
      <c r="J1710" t="str">
        <f>"OP-ML00215"</f>
        <v>OP-ML00215</v>
      </c>
      <c r="K1710" s="1" t="str">
        <f>"M - PDU מק""ט 6930H850-001"</f>
        <v>M - PDU מק"ט 6930H850-001</v>
      </c>
      <c r="L1710">
        <v>1</v>
      </c>
      <c r="M1710" t="str">
        <f>"PR22000296"</f>
        <v>PR22000296</v>
      </c>
      <c r="N1710" t="str">
        <f>"09/ OP-ML00215 - M – PDU"</f>
        <v>09/ OP-ML00215 - M – PDU</v>
      </c>
      <c r="O1710" s="2">
        <v>14757</v>
      </c>
      <c r="P1710" t="str">
        <f>"$"</f>
        <v>$</v>
      </c>
      <c r="Q1710" t="str">
        <f>"118"</f>
        <v>118</v>
      </c>
      <c r="R1710" t="str">
        <f>"מערכות"</f>
        <v>מערכות</v>
      </c>
      <c r="S1710" t="str">
        <f>"034"</f>
        <v>034</v>
      </c>
      <c r="T1710" t="str">
        <f>"עמר ליגל"</f>
        <v>עמר ליגל</v>
      </c>
      <c r="U1710">
        <v>0</v>
      </c>
      <c r="V1710">
        <v>0</v>
      </c>
      <c r="W1710" s="2">
        <v>14757</v>
      </c>
      <c r="X1710" s="2">
        <v>14757</v>
      </c>
      <c r="Z1710" t="str">
        <f>"Y"</f>
        <v>Y</v>
      </c>
      <c r="AA1710">
        <v>0</v>
      </c>
      <c r="AC1710">
        <v>0</v>
      </c>
      <c r="AE1710">
        <v>0</v>
      </c>
      <c r="AF1710">
        <v>0</v>
      </c>
      <c r="AG1710" s="2">
        <v>49627.79</v>
      </c>
      <c r="AH1710">
        <v>0</v>
      </c>
      <c r="AI1710" s="2">
        <v>49627.79</v>
      </c>
      <c r="AJ1710" s="2">
        <v>14757</v>
      </c>
      <c r="AK1710" s="2">
        <v>14757</v>
      </c>
      <c r="AL1710" t="str">
        <f>"$"</f>
        <v>$</v>
      </c>
    </row>
    <row r="1711" spans="1:38" x14ac:dyDescent="0.3">
      <c r="A1711" t="str">
        <f>"SO22000193"</f>
        <v>SO22000193</v>
      </c>
      <c r="B1711" t="str">
        <f>"E000359087"</f>
        <v>E000359087</v>
      </c>
      <c r="C1711" t="str">
        <f>"הרכבה חלקית"</f>
        <v>הרכבה חלקית</v>
      </c>
      <c r="E1711" s="3">
        <v>44698</v>
      </c>
      <c r="F1711" s="3">
        <v>44936</v>
      </c>
      <c r="G1711" t="str">
        <f>"700065"</f>
        <v>700065</v>
      </c>
      <c r="H1711" t="str">
        <f>"אלתא מערכות בע""מ"</f>
        <v>אלתא מערכות בע"מ</v>
      </c>
      <c r="I1711" t="str">
        <f>"ערן שלו"</f>
        <v>ערן שלו</v>
      </c>
      <c r="J1711" t="str">
        <f>"OP-ML00215"</f>
        <v>OP-ML00215</v>
      </c>
      <c r="K1711" s="1" t="str">
        <f>"M - PDU מק""ט 6930H850-001"</f>
        <v>M - PDU מק"ט 6930H850-001</v>
      </c>
      <c r="L1711">
        <v>1</v>
      </c>
      <c r="M1711" t="str">
        <f>"PR22000297"</f>
        <v>PR22000297</v>
      </c>
      <c r="N1711" t="str">
        <f>"10/ OP-ML00215 - M – PDU"</f>
        <v>10/ OP-ML00215 - M – PDU</v>
      </c>
      <c r="O1711" s="2">
        <v>14757</v>
      </c>
      <c r="P1711" t="str">
        <f>"$"</f>
        <v>$</v>
      </c>
      <c r="Q1711" t="str">
        <f>"118"</f>
        <v>118</v>
      </c>
      <c r="R1711" t="str">
        <f>"מערכות"</f>
        <v>מערכות</v>
      </c>
      <c r="S1711" t="str">
        <f>"034"</f>
        <v>034</v>
      </c>
      <c r="T1711" t="str">
        <f>"עמר ליגל"</f>
        <v>עמר ליגל</v>
      </c>
      <c r="U1711">
        <v>0</v>
      </c>
      <c r="V1711">
        <v>0</v>
      </c>
      <c r="W1711" s="2">
        <v>14757</v>
      </c>
      <c r="X1711" s="2">
        <v>14757</v>
      </c>
      <c r="Z1711" t="str">
        <f>"Y"</f>
        <v>Y</v>
      </c>
      <c r="AA1711">
        <v>0</v>
      </c>
      <c r="AC1711">
        <v>0</v>
      </c>
      <c r="AE1711">
        <v>0</v>
      </c>
      <c r="AF1711">
        <v>0</v>
      </c>
      <c r="AG1711" s="2">
        <v>49627.79</v>
      </c>
      <c r="AH1711">
        <v>0</v>
      </c>
      <c r="AI1711" s="2">
        <v>49627.79</v>
      </c>
      <c r="AJ1711" s="2">
        <v>14757</v>
      </c>
      <c r="AK1711" s="2">
        <v>14757</v>
      </c>
      <c r="AL1711" t="str">
        <f>"$"</f>
        <v>$</v>
      </c>
    </row>
    <row r="1712" spans="1:38" x14ac:dyDescent="0.3">
      <c r="A1712" t="str">
        <f>"SO22000193"</f>
        <v>SO22000193</v>
      </c>
      <c r="B1712" t="str">
        <f>"E000359087"</f>
        <v>E000359087</v>
      </c>
      <c r="C1712" t="str">
        <f>"הרכבה חלקית"</f>
        <v>הרכבה חלקית</v>
      </c>
      <c r="E1712" s="3">
        <v>44698</v>
      </c>
      <c r="F1712" s="3">
        <v>44936</v>
      </c>
      <c r="G1712" t="str">
        <f>"700065"</f>
        <v>700065</v>
      </c>
      <c r="H1712" t="str">
        <f>"אלתא מערכות בע""מ"</f>
        <v>אלתא מערכות בע"מ</v>
      </c>
      <c r="I1712" t="str">
        <f>"ערן שלו"</f>
        <v>ערן שלו</v>
      </c>
      <c r="J1712" t="str">
        <f>"OP-ML00215"</f>
        <v>OP-ML00215</v>
      </c>
      <c r="K1712" s="1" t="str">
        <f>"M - PDU מק""ט 6930H850-001"</f>
        <v>M - PDU מק"ט 6930H850-001</v>
      </c>
      <c r="L1712">
        <v>0</v>
      </c>
      <c r="M1712" t="str">
        <f>"PR22000298"</f>
        <v>PR22000298</v>
      </c>
      <c r="N1712" t="str">
        <f>"11/ OP-ML00215 - M – PDU"</f>
        <v>11/ OP-ML00215 - M – PDU</v>
      </c>
      <c r="O1712" s="2">
        <v>14757</v>
      </c>
      <c r="P1712" t="str">
        <f>"$"</f>
        <v>$</v>
      </c>
      <c r="Q1712" t="str">
        <f>"118"</f>
        <v>118</v>
      </c>
      <c r="R1712" t="str">
        <f>"מערכות"</f>
        <v>מערכות</v>
      </c>
      <c r="S1712" t="str">
        <f>"034"</f>
        <v>034</v>
      </c>
      <c r="T1712" t="str">
        <f>"עמר ליגל"</f>
        <v>עמר ליגל</v>
      </c>
      <c r="U1712">
        <v>0</v>
      </c>
      <c r="V1712">
        <v>0</v>
      </c>
      <c r="W1712" s="2">
        <v>14757</v>
      </c>
      <c r="X1712">
        <v>0</v>
      </c>
      <c r="AA1712">
        <v>0</v>
      </c>
      <c r="AC1712">
        <v>0</v>
      </c>
      <c r="AE1712">
        <v>0</v>
      </c>
      <c r="AF1712">
        <v>0</v>
      </c>
      <c r="AG1712" s="2">
        <v>49627.79</v>
      </c>
      <c r="AH1712">
        <v>0</v>
      </c>
      <c r="AI1712">
        <v>0</v>
      </c>
      <c r="AJ1712">
        <v>0</v>
      </c>
      <c r="AK1712">
        <v>0</v>
      </c>
      <c r="AL1712" t="str">
        <f>"$"</f>
        <v>$</v>
      </c>
    </row>
    <row r="1713" spans="1:38" x14ac:dyDescent="0.3">
      <c r="A1713" t="str">
        <f>"SO22000193"</f>
        <v>SO22000193</v>
      </c>
      <c r="B1713" t="str">
        <f>"E000359087"</f>
        <v>E000359087</v>
      </c>
      <c r="C1713" t="str">
        <f>"הרכבה חלקית"</f>
        <v>הרכבה חלקית</v>
      </c>
      <c r="E1713" s="3">
        <v>44698</v>
      </c>
      <c r="F1713" s="3">
        <v>44936</v>
      </c>
      <c r="G1713" t="str">
        <f>"700065"</f>
        <v>700065</v>
      </c>
      <c r="H1713" t="str">
        <f>"אלתא מערכות בע""מ"</f>
        <v>אלתא מערכות בע"מ</v>
      </c>
      <c r="I1713" t="str">
        <f>"ערן שלו"</f>
        <v>ערן שלו</v>
      </c>
      <c r="J1713" t="str">
        <f>"OP-ML00215"</f>
        <v>OP-ML00215</v>
      </c>
      <c r="K1713" s="1" t="str">
        <f>"M - PDU מק""ט 6930H850-001"</f>
        <v>M - PDU מק"ט 6930H850-001</v>
      </c>
      <c r="L1713">
        <v>0</v>
      </c>
      <c r="M1713" t="str">
        <f>"PR22000299"</f>
        <v>PR22000299</v>
      </c>
      <c r="N1713" t="str">
        <f>"12/ OP-ML00215 - M – PDU"</f>
        <v>12/ OP-ML00215 - M – PDU</v>
      </c>
      <c r="O1713" s="2">
        <v>14757</v>
      </c>
      <c r="P1713" t="str">
        <f>"$"</f>
        <v>$</v>
      </c>
      <c r="Q1713" t="str">
        <f>"118"</f>
        <v>118</v>
      </c>
      <c r="R1713" t="str">
        <f>"מערכות"</f>
        <v>מערכות</v>
      </c>
      <c r="S1713" t="str">
        <f>"034"</f>
        <v>034</v>
      </c>
      <c r="T1713" t="str">
        <f>"עמר ליגל"</f>
        <v>עמר ליגל</v>
      </c>
      <c r="U1713">
        <v>0</v>
      </c>
      <c r="V1713">
        <v>0</v>
      </c>
      <c r="W1713" s="2">
        <v>14757</v>
      </c>
      <c r="X1713">
        <v>0</v>
      </c>
      <c r="AA1713">
        <v>0</v>
      </c>
      <c r="AC1713">
        <v>0</v>
      </c>
      <c r="AE1713">
        <v>0</v>
      </c>
      <c r="AF1713">
        <v>0</v>
      </c>
      <c r="AG1713" s="2">
        <v>49627.79</v>
      </c>
      <c r="AH1713">
        <v>0</v>
      </c>
      <c r="AI1713">
        <v>0</v>
      </c>
      <c r="AJ1713">
        <v>0</v>
      </c>
      <c r="AK1713">
        <v>0</v>
      </c>
      <c r="AL1713" t="str">
        <f>"$"</f>
        <v>$</v>
      </c>
    </row>
    <row r="1714" spans="1:38" x14ac:dyDescent="0.3">
      <c r="A1714" t="str">
        <f>"SO22000193"</f>
        <v>SO22000193</v>
      </c>
      <c r="B1714" t="str">
        <f>"E000359087"</f>
        <v>E000359087</v>
      </c>
      <c r="C1714" t="str">
        <f>"הרכבה חלקית"</f>
        <v>הרכבה חלקית</v>
      </c>
      <c r="E1714" s="3">
        <v>44698</v>
      </c>
      <c r="F1714" s="3">
        <v>44936</v>
      </c>
      <c r="G1714" t="str">
        <f>"700065"</f>
        <v>700065</v>
      </c>
      <c r="H1714" t="str">
        <f>"אלתא מערכות בע""מ"</f>
        <v>אלתא מערכות בע"מ</v>
      </c>
      <c r="I1714" t="str">
        <f>"ערן שלו"</f>
        <v>ערן שלו</v>
      </c>
      <c r="J1714" t="str">
        <f>"OP-ML00216"</f>
        <v>OP-ML00216</v>
      </c>
      <c r="K1714" s="1" t="str">
        <f>"6930H860-001    M - VRU"</f>
        <v>6930H860-001    M - VRU</v>
      </c>
      <c r="L1714">
        <v>1</v>
      </c>
      <c r="M1714" t="str">
        <f>"PR22000392"</f>
        <v>PR22000392</v>
      </c>
      <c r="N1714" t="str">
        <f>"M-VRU -VOLTAGE RECTIFIER UNIT ינ"</f>
        <v>M-VRU -VOLTAGE RECTIFIER UNIT ינ</v>
      </c>
      <c r="O1714" s="2">
        <v>9760</v>
      </c>
      <c r="P1714" t="str">
        <f>"$"</f>
        <v>$</v>
      </c>
      <c r="Q1714" t="str">
        <f>"118"</f>
        <v>118</v>
      </c>
      <c r="R1714" t="str">
        <f>"מערכות"</f>
        <v>מערכות</v>
      </c>
      <c r="S1714" t="str">
        <f>"034"</f>
        <v>034</v>
      </c>
      <c r="T1714" t="str">
        <f>"עמר ליגל"</f>
        <v>עמר ליגל</v>
      </c>
      <c r="U1714">
        <v>0</v>
      </c>
      <c r="V1714">
        <v>0</v>
      </c>
      <c r="W1714" s="2">
        <v>9760</v>
      </c>
      <c r="X1714" s="2">
        <v>9760</v>
      </c>
      <c r="Z1714" t="str">
        <f>"Y"</f>
        <v>Y</v>
      </c>
      <c r="AA1714">
        <v>0</v>
      </c>
      <c r="AC1714">
        <v>0</v>
      </c>
      <c r="AE1714">
        <v>0</v>
      </c>
      <c r="AF1714">
        <v>0</v>
      </c>
      <c r="AG1714" s="2">
        <v>32822.879999999997</v>
      </c>
      <c r="AH1714">
        <v>0</v>
      </c>
      <c r="AI1714" s="2">
        <v>32822.879999999997</v>
      </c>
      <c r="AJ1714" s="2">
        <v>9760</v>
      </c>
      <c r="AK1714" s="2">
        <v>9760</v>
      </c>
      <c r="AL1714" t="str">
        <f>"$"</f>
        <v>$</v>
      </c>
    </row>
    <row r="1715" spans="1:38" x14ac:dyDescent="0.3">
      <c r="A1715" t="str">
        <f>"SO22000193"</f>
        <v>SO22000193</v>
      </c>
      <c r="B1715" t="str">
        <f>"E000359087"</f>
        <v>E000359087</v>
      </c>
      <c r="C1715" t="str">
        <f>"הרכבה חלקית"</f>
        <v>הרכבה חלקית</v>
      </c>
      <c r="E1715" s="3">
        <v>44698</v>
      </c>
      <c r="F1715" s="3">
        <v>44936</v>
      </c>
      <c r="G1715" t="str">
        <f>"700065"</f>
        <v>700065</v>
      </c>
      <c r="H1715" t="str">
        <f>"אלתא מערכות בע""מ"</f>
        <v>אלתא מערכות בע"מ</v>
      </c>
      <c r="I1715" t="str">
        <f>"ערן שלו"</f>
        <v>ערן שלו</v>
      </c>
      <c r="J1715" t="str">
        <f>"OP-ML00216"</f>
        <v>OP-ML00216</v>
      </c>
      <c r="K1715" s="1" t="str">
        <f>"6930H860-001    M - VRU"</f>
        <v>6930H860-001    M - VRU</v>
      </c>
      <c r="L1715">
        <v>1</v>
      </c>
      <c r="M1715" t="str">
        <f>"PR22000392"</f>
        <v>PR22000392</v>
      </c>
      <c r="N1715" t="str">
        <f>"M-VRU -VOLTAGE RECTIFIER UNIT ינ"</f>
        <v>M-VRU -VOLTAGE RECTIFIER UNIT ינ</v>
      </c>
      <c r="O1715" s="2">
        <v>9760</v>
      </c>
      <c r="P1715" t="str">
        <f>"$"</f>
        <v>$</v>
      </c>
      <c r="Q1715" t="str">
        <f>"118"</f>
        <v>118</v>
      </c>
      <c r="R1715" t="str">
        <f>"מערכות"</f>
        <v>מערכות</v>
      </c>
      <c r="S1715" t="str">
        <f>"034"</f>
        <v>034</v>
      </c>
      <c r="T1715" t="str">
        <f>"עמר ליגל"</f>
        <v>עמר ליגל</v>
      </c>
      <c r="U1715">
        <v>0</v>
      </c>
      <c r="V1715">
        <v>0</v>
      </c>
      <c r="W1715" s="2">
        <v>9760</v>
      </c>
      <c r="X1715" s="2">
        <v>9760</v>
      </c>
      <c r="Z1715" t="str">
        <f>"Y"</f>
        <v>Y</v>
      </c>
      <c r="AA1715">
        <v>0</v>
      </c>
      <c r="AC1715">
        <v>0</v>
      </c>
      <c r="AE1715">
        <v>0</v>
      </c>
      <c r="AF1715">
        <v>0</v>
      </c>
      <c r="AG1715" s="2">
        <v>32822.879999999997</v>
      </c>
      <c r="AH1715">
        <v>0</v>
      </c>
      <c r="AI1715" s="2">
        <v>32822.879999999997</v>
      </c>
      <c r="AJ1715" s="2">
        <v>9760</v>
      </c>
      <c r="AK1715" s="2">
        <v>9760</v>
      </c>
      <c r="AL1715" t="str">
        <f>"$"</f>
        <v>$</v>
      </c>
    </row>
    <row r="1716" spans="1:38" x14ac:dyDescent="0.3">
      <c r="A1716" t="str">
        <f>"SO22000193"</f>
        <v>SO22000193</v>
      </c>
      <c r="B1716" t="str">
        <f>"E000359087"</f>
        <v>E000359087</v>
      </c>
      <c r="C1716" t="str">
        <f>"הרכבה חלקית"</f>
        <v>הרכבה חלקית</v>
      </c>
      <c r="E1716" s="3">
        <v>44698</v>
      </c>
      <c r="F1716" s="3">
        <v>44936</v>
      </c>
      <c r="G1716" t="str">
        <f>"700065"</f>
        <v>700065</v>
      </c>
      <c r="H1716" t="str">
        <f>"אלתא מערכות בע""מ"</f>
        <v>אלתא מערכות בע"מ</v>
      </c>
      <c r="I1716" t="str">
        <f>"ערן שלו"</f>
        <v>ערן שלו</v>
      </c>
      <c r="J1716" t="str">
        <f>"OP-ML00216"</f>
        <v>OP-ML00216</v>
      </c>
      <c r="K1716" s="1" t="str">
        <f>"6930H860-001    M - VRU"</f>
        <v>6930H860-001    M - VRU</v>
      </c>
      <c r="L1716">
        <v>1</v>
      </c>
      <c r="M1716" t="str">
        <f>"PR22000392"</f>
        <v>PR22000392</v>
      </c>
      <c r="N1716" t="str">
        <f>"M-VRU -VOLTAGE RECTIFIER UNIT ינ"</f>
        <v>M-VRU -VOLTAGE RECTIFIER UNIT ינ</v>
      </c>
      <c r="O1716" s="2">
        <v>9760</v>
      </c>
      <c r="P1716" t="str">
        <f>"$"</f>
        <v>$</v>
      </c>
      <c r="Q1716" t="str">
        <f>"118"</f>
        <v>118</v>
      </c>
      <c r="R1716" t="str">
        <f>"מערכות"</f>
        <v>מערכות</v>
      </c>
      <c r="S1716" t="str">
        <f>"034"</f>
        <v>034</v>
      </c>
      <c r="T1716" t="str">
        <f>"עמר ליגל"</f>
        <v>עמר ליגל</v>
      </c>
      <c r="U1716">
        <v>0</v>
      </c>
      <c r="V1716">
        <v>0</v>
      </c>
      <c r="W1716" s="2">
        <v>9760</v>
      </c>
      <c r="X1716" s="2">
        <v>9760</v>
      </c>
      <c r="Z1716" t="str">
        <f>"Y"</f>
        <v>Y</v>
      </c>
      <c r="AA1716">
        <v>0</v>
      </c>
      <c r="AC1716">
        <v>0</v>
      </c>
      <c r="AE1716">
        <v>0</v>
      </c>
      <c r="AF1716">
        <v>0</v>
      </c>
      <c r="AG1716" s="2">
        <v>32822.879999999997</v>
      </c>
      <c r="AH1716">
        <v>0</v>
      </c>
      <c r="AI1716" s="2">
        <v>32822.879999999997</v>
      </c>
      <c r="AJ1716" s="2">
        <v>9760</v>
      </c>
      <c r="AK1716" s="2">
        <v>9760</v>
      </c>
      <c r="AL1716" t="str">
        <f>"$"</f>
        <v>$</v>
      </c>
    </row>
    <row r="1717" spans="1:38" x14ac:dyDescent="0.3">
      <c r="A1717" t="str">
        <f>"SO22000194"</f>
        <v>SO22000194</v>
      </c>
      <c r="B1717" t="str">
        <f>"E000362818"</f>
        <v>E000362818</v>
      </c>
      <c r="C1717" t="str">
        <f>"בסיום הרכבה"</f>
        <v>בסיום הרכבה</v>
      </c>
      <c r="E1717" s="3">
        <v>44698</v>
      </c>
      <c r="F1717" s="3">
        <v>44844</v>
      </c>
      <c r="G1717" t="str">
        <f>"700065"</f>
        <v>700065</v>
      </c>
      <c r="H1717" t="str">
        <f>"אלתא מערכות בע""מ"</f>
        <v>אלתא מערכות בע"מ</v>
      </c>
      <c r="I1717" t="str">
        <f>"רחמים זרוק"</f>
        <v>רחמים זרוק</v>
      </c>
      <c r="J1717" t="str">
        <f>"OP-AR03132"</f>
        <v>OP-AR03132</v>
      </c>
      <c r="K1717" s="1" t="str">
        <f>"1022Y356-001    CABLE ASSY WL10"</f>
        <v>1022Y356-001    CABLE ASSY WL10</v>
      </c>
      <c r="L1717">
        <v>3</v>
      </c>
      <c r="M1717" t="str">
        <f>"PR22000369"</f>
        <v>PR22000369</v>
      </c>
      <c r="N1717" t="str">
        <f>"E000362818"</f>
        <v>E000362818</v>
      </c>
      <c r="O1717">
        <v>182.13</v>
      </c>
      <c r="P1717" t="str">
        <f>"$"</f>
        <v>$</v>
      </c>
      <c r="Q1717" t="str">
        <f>"117"</f>
        <v>117</v>
      </c>
      <c r="R1717" t="str">
        <f>"רתמות"</f>
        <v>רתמות</v>
      </c>
      <c r="S1717" t="str">
        <f>"040"</f>
        <v>040</v>
      </c>
      <c r="T1717" t="str">
        <f>"עמר ליגל"</f>
        <v>עמר ליגל</v>
      </c>
      <c r="U1717">
        <v>0</v>
      </c>
      <c r="V1717">
        <v>0</v>
      </c>
      <c r="W1717">
        <v>182.13</v>
      </c>
      <c r="X1717">
        <v>546.39</v>
      </c>
      <c r="Z1717" t="str">
        <f>"Y"</f>
        <v>Y</v>
      </c>
      <c r="AA1717">
        <v>0</v>
      </c>
      <c r="AC1717">
        <v>0</v>
      </c>
      <c r="AE1717">
        <v>0</v>
      </c>
      <c r="AF1717">
        <v>0</v>
      </c>
      <c r="AG1717">
        <v>612.5</v>
      </c>
      <c r="AH1717">
        <v>0</v>
      </c>
      <c r="AI1717" s="2">
        <v>1837.51</v>
      </c>
      <c r="AJ1717">
        <v>546.39</v>
      </c>
      <c r="AK1717">
        <v>546.39</v>
      </c>
      <c r="AL1717" t="str">
        <f>"$"</f>
        <v>$</v>
      </c>
    </row>
    <row r="1718" spans="1:38" x14ac:dyDescent="0.3">
      <c r="A1718" t="str">
        <f>"SO22000194"</f>
        <v>SO22000194</v>
      </c>
      <c r="B1718" t="str">
        <f>"E000362818"</f>
        <v>E000362818</v>
      </c>
      <c r="C1718" t="str">
        <f>"בסיום הרכבה"</f>
        <v>בסיום הרכבה</v>
      </c>
      <c r="E1718" s="3">
        <v>44698</v>
      </c>
      <c r="F1718" s="3">
        <v>44844</v>
      </c>
      <c r="G1718" t="str">
        <f>"700065"</f>
        <v>700065</v>
      </c>
      <c r="H1718" t="str">
        <f>"אלתא מערכות בע""מ"</f>
        <v>אלתא מערכות בע"מ</v>
      </c>
      <c r="I1718" t="str">
        <f>"רחמים זרוק"</f>
        <v>רחמים זרוק</v>
      </c>
      <c r="J1718" t="str">
        <f>"OP-AR03133"</f>
        <v>OP-AR03133</v>
      </c>
      <c r="K1718" s="1" t="str">
        <f>"1022Y539-001    CABLE ASSY WL11"</f>
        <v>1022Y539-001    CABLE ASSY WL11</v>
      </c>
      <c r="L1718">
        <v>5</v>
      </c>
      <c r="M1718" t="str">
        <f>"PR22000369"</f>
        <v>PR22000369</v>
      </c>
      <c r="N1718" t="str">
        <f>"E000362818"</f>
        <v>E000362818</v>
      </c>
      <c r="O1718">
        <v>325.97000000000003</v>
      </c>
      <c r="P1718" t="str">
        <f>"$"</f>
        <v>$</v>
      </c>
      <c r="Q1718" t="str">
        <f>"117"</f>
        <v>117</v>
      </c>
      <c r="R1718" t="str">
        <f>"רתמות"</f>
        <v>רתמות</v>
      </c>
      <c r="S1718" t="str">
        <f>"040"</f>
        <v>040</v>
      </c>
      <c r="T1718" t="str">
        <f>"עמר ליגל"</f>
        <v>עמר ליגל</v>
      </c>
      <c r="U1718">
        <v>0</v>
      </c>
      <c r="V1718">
        <v>0</v>
      </c>
      <c r="W1718">
        <v>325.97000000000003</v>
      </c>
      <c r="X1718" s="2">
        <v>1629.85</v>
      </c>
      <c r="Z1718" t="str">
        <f>"Y"</f>
        <v>Y</v>
      </c>
      <c r="AA1718">
        <v>0</v>
      </c>
      <c r="AC1718">
        <v>0</v>
      </c>
      <c r="AE1718">
        <v>0</v>
      </c>
      <c r="AF1718">
        <v>0</v>
      </c>
      <c r="AG1718" s="2">
        <v>1096.24</v>
      </c>
      <c r="AH1718">
        <v>0</v>
      </c>
      <c r="AI1718" s="2">
        <v>5481.19</v>
      </c>
      <c r="AJ1718" s="2">
        <v>1629.85</v>
      </c>
      <c r="AK1718" s="2">
        <v>1629.85</v>
      </c>
      <c r="AL1718" t="str">
        <f>"$"</f>
        <v>$</v>
      </c>
    </row>
    <row r="1719" spans="1:38" x14ac:dyDescent="0.3">
      <c r="A1719" t="str">
        <f>"SO22000194"</f>
        <v>SO22000194</v>
      </c>
      <c r="B1719" t="str">
        <f>"E000362818"</f>
        <v>E000362818</v>
      </c>
      <c r="C1719" t="str">
        <f>"בסיום הרכבה"</f>
        <v>בסיום הרכבה</v>
      </c>
      <c r="E1719" s="3">
        <v>44698</v>
      </c>
      <c r="F1719" s="3">
        <v>44844</v>
      </c>
      <c r="G1719" t="str">
        <f>"700065"</f>
        <v>700065</v>
      </c>
      <c r="H1719" t="str">
        <f>"אלתא מערכות בע""מ"</f>
        <v>אלתא מערכות בע"מ</v>
      </c>
      <c r="I1719" t="str">
        <f>"רחמים זרוק"</f>
        <v>רחמים זרוק</v>
      </c>
      <c r="J1719" t="str">
        <f>"OP-AR03134"</f>
        <v>OP-AR03134</v>
      </c>
      <c r="K1719" s="1" t="str">
        <f>"1034E635-001    Maintenance Burn cable"</f>
        <v>1034E635-001    Maintenance Burn cable</v>
      </c>
      <c r="L1719">
        <v>5</v>
      </c>
      <c r="M1719" t="str">
        <f>"PR22000369"</f>
        <v>PR22000369</v>
      </c>
      <c r="N1719" t="str">
        <f>"E000362818"</f>
        <v>E000362818</v>
      </c>
      <c r="O1719">
        <v>335.04</v>
      </c>
      <c r="P1719" t="str">
        <f>"$"</f>
        <v>$</v>
      </c>
      <c r="Q1719" t="str">
        <f>"117"</f>
        <v>117</v>
      </c>
      <c r="R1719" t="str">
        <f>"רתמות"</f>
        <v>רתמות</v>
      </c>
      <c r="S1719" t="str">
        <f>"040"</f>
        <v>040</v>
      </c>
      <c r="T1719" t="str">
        <f>"עמר ליגל"</f>
        <v>עמר ליגל</v>
      </c>
      <c r="U1719">
        <v>0</v>
      </c>
      <c r="V1719">
        <v>0</v>
      </c>
      <c r="W1719">
        <v>335.04</v>
      </c>
      <c r="X1719" s="2">
        <v>1675.2</v>
      </c>
      <c r="Z1719" t="str">
        <f>"Y"</f>
        <v>Y</v>
      </c>
      <c r="AA1719">
        <v>0</v>
      </c>
      <c r="AC1719">
        <v>0</v>
      </c>
      <c r="AE1719">
        <v>0</v>
      </c>
      <c r="AF1719">
        <v>0</v>
      </c>
      <c r="AG1719" s="2">
        <v>1126.74</v>
      </c>
      <c r="AH1719">
        <v>0</v>
      </c>
      <c r="AI1719" s="2">
        <v>5633.7</v>
      </c>
      <c r="AJ1719" s="2">
        <v>1675.2</v>
      </c>
      <c r="AK1719" s="2">
        <v>1675.2</v>
      </c>
      <c r="AL1719" t="str">
        <f>"$"</f>
        <v>$</v>
      </c>
    </row>
    <row r="1720" spans="1:38" x14ac:dyDescent="0.3">
      <c r="A1720" t="str">
        <f>"SO22000194"</f>
        <v>SO22000194</v>
      </c>
      <c r="B1720" t="str">
        <f>"E000362818"</f>
        <v>E000362818</v>
      </c>
      <c r="C1720" t="str">
        <f>"בסיום הרכבה"</f>
        <v>בסיום הרכבה</v>
      </c>
      <c r="E1720" s="3">
        <v>44698</v>
      </c>
      <c r="F1720" s="3">
        <v>44844</v>
      </c>
      <c r="G1720" t="str">
        <f>"700065"</f>
        <v>700065</v>
      </c>
      <c r="H1720" t="str">
        <f>"אלתא מערכות בע""מ"</f>
        <v>אלתא מערכות בע"מ</v>
      </c>
      <c r="I1720" t="str">
        <f>"רחמים זרוק"</f>
        <v>רחמים זרוק</v>
      </c>
      <c r="J1720" t="str">
        <f>"OP-AR02804"</f>
        <v>OP-AR02804</v>
      </c>
      <c r="K1720" s="1" t="str">
        <f>"1034Y298-001    J6 ROB CABLE"</f>
        <v>1034Y298-001    J6 ROB CABLE</v>
      </c>
      <c r="L1720">
        <v>12</v>
      </c>
      <c r="M1720" t="str">
        <f>"PR22000369"</f>
        <v>PR22000369</v>
      </c>
      <c r="N1720" t="str">
        <f>"E000362818"</f>
        <v>E000362818</v>
      </c>
      <c r="O1720">
        <v>415.85</v>
      </c>
      <c r="P1720" t="str">
        <f>"$"</f>
        <v>$</v>
      </c>
      <c r="Q1720" t="str">
        <f>"117"</f>
        <v>117</v>
      </c>
      <c r="R1720" t="str">
        <f>"רתמות"</f>
        <v>רתמות</v>
      </c>
      <c r="S1720" t="str">
        <f>"040"</f>
        <v>040</v>
      </c>
      <c r="T1720" t="str">
        <f>"עמר ליגל"</f>
        <v>עמר ליגל</v>
      </c>
      <c r="U1720">
        <v>0</v>
      </c>
      <c r="V1720">
        <v>0</v>
      </c>
      <c r="W1720">
        <v>415.85</v>
      </c>
      <c r="X1720" s="2">
        <v>4990.2</v>
      </c>
      <c r="Z1720" t="str">
        <f>"Y"</f>
        <v>Y</v>
      </c>
      <c r="AA1720">
        <v>0</v>
      </c>
      <c r="AC1720">
        <v>0</v>
      </c>
      <c r="AE1720">
        <v>0</v>
      </c>
      <c r="AF1720">
        <v>0</v>
      </c>
      <c r="AG1720" s="2">
        <v>1398.5</v>
      </c>
      <c r="AH1720">
        <v>0</v>
      </c>
      <c r="AI1720" s="2">
        <v>16782.04</v>
      </c>
      <c r="AJ1720" s="2">
        <v>4990.2</v>
      </c>
      <c r="AK1720" s="2">
        <v>4990.2</v>
      </c>
      <c r="AL1720" t="str">
        <f>"$"</f>
        <v>$</v>
      </c>
    </row>
    <row r="1721" spans="1:38" x14ac:dyDescent="0.3">
      <c r="A1721" t="str">
        <f>"SO22000194"</f>
        <v>SO22000194</v>
      </c>
      <c r="B1721" t="str">
        <f>"E000362818"</f>
        <v>E000362818</v>
      </c>
      <c r="C1721" t="str">
        <f>"בסיום הרכבה"</f>
        <v>בסיום הרכבה</v>
      </c>
      <c r="E1721" s="3">
        <v>44698</v>
      </c>
      <c r="F1721" s="3">
        <v>44844</v>
      </c>
      <c r="G1721" t="str">
        <f>"700065"</f>
        <v>700065</v>
      </c>
      <c r="H1721" t="str">
        <f>"אלתא מערכות בע""מ"</f>
        <v>אלתא מערכות בע"מ</v>
      </c>
      <c r="I1721" t="str">
        <f>"רחמים זרוק"</f>
        <v>רחמים זרוק</v>
      </c>
      <c r="J1721" t="str">
        <f>"OP-AR02806"</f>
        <v>OP-AR02806</v>
      </c>
      <c r="K1721" s="1" t="str">
        <f>"1037U914-001    TEST NEW LAB CABLE"</f>
        <v>1037U914-001    TEST NEW LAB CABLE</v>
      </c>
      <c r="L1721">
        <v>5</v>
      </c>
      <c r="M1721" t="str">
        <f>"PR22000369"</f>
        <v>PR22000369</v>
      </c>
      <c r="N1721" t="str">
        <f>"E000362818"</f>
        <v>E000362818</v>
      </c>
      <c r="O1721">
        <v>628.24</v>
      </c>
      <c r="P1721" t="str">
        <f>"$"</f>
        <v>$</v>
      </c>
      <c r="Q1721" t="str">
        <f>"117"</f>
        <v>117</v>
      </c>
      <c r="R1721" t="str">
        <f>"רתמות"</f>
        <v>רתמות</v>
      </c>
      <c r="S1721" t="str">
        <f>"040"</f>
        <v>040</v>
      </c>
      <c r="T1721" t="str">
        <f>"עמר ליגל"</f>
        <v>עמר ליגל</v>
      </c>
      <c r="U1721">
        <v>0</v>
      </c>
      <c r="V1721">
        <v>0</v>
      </c>
      <c r="W1721">
        <v>628.24</v>
      </c>
      <c r="X1721" s="2">
        <v>3141.2</v>
      </c>
      <c r="Z1721" t="str">
        <f>"Y"</f>
        <v>Y</v>
      </c>
      <c r="AA1721">
        <v>0</v>
      </c>
      <c r="AC1721">
        <v>0</v>
      </c>
      <c r="AE1721">
        <v>0</v>
      </c>
      <c r="AF1721">
        <v>0</v>
      </c>
      <c r="AG1721" s="2">
        <v>2112.77</v>
      </c>
      <c r="AH1721">
        <v>0</v>
      </c>
      <c r="AI1721" s="2">
        <v>10563.86</v>
      </c>
      <c r="AJ1721" s="2">
        <v>3141.2</v>
      </c>
      <c r="AK1721" s="2">
        <v>3141.2</v>
      </c>
      <c r="AL1721" t="str">
        <f>"$"</f>
        <v>$</v>
      </c>
    </row>
    <row r="1722" spans="1:38" x14ac:dyDescent="0.3">
      <c r="A1722" t="str">
        <f>"SO22000195"</f>
        <v>SO22000195</v>
      </c>
      <c r="B1722" t="str">
        <f>"E000364002"</f>
        <v>E000364002</v>
      </c>
      <c r="C1722" t="str">
        <f>"בוצעה"</f>
        <v>בוצעה</v>
      </c>
      <c r="E1722" s="3">
        <v>44698</v>
      </c>
      <c r="F1722" s="3">
        <v>44783</v>
      </c>
      <c r="G1722" t="str">
        <f>"700065"</f>
        <v>700065</v>
      </c>
      <c r="H1722" t="str">
        <f>"אלתא מערכות בע""מ"</f>
        <v>אלתא מערכות בע"מ</v>
      </c>
      <c r="I1722" t="str">
        <f>"רחמים זרוק"</f>
        <v>רחמים זרוק</v>
      </c>
      <c r="J1722" t="str">
        <f>"OP-AR02999"</f>
        <v>OP-AR02999</v>
      </c>
      <c r="K1722" s="1" t="str">
        <f>"9000C568-001   HARNESS W1"</f>
        <v>9000C568-001   HARNESS W1</v>
      </c>
      <c r="L1722">
        <v>4</v>
      </c>
      <c r="M1722" t="str">
        <f>"PR22000374"</f>
        <v>PR22000374</v>
      </c>
      <c r="N1722" t="str">
        <f>"E000364002"</f>
        <v>E000364002</v>
      </c>
      <c r="O1722">
        <v>227.52</v>
      </c>
      <c r="P1722" t="str">
        <f>"$"</f>
        <v>$</v>
      </c>
      <c r="Q1722" t="str">
        <f>"117"</f>
        <v>117</v>
      </c>
      <c r="R1722" t="str">
        <f>"רתמות"</f>
        <v>רתמות</v>
      </c>
      <c r="S1722" t="str">
        <f>"040"</f>
        <v>040</v>
      </c>
      <c r="T1722" t="str">
        <f>"עמר ליגל"</f>
        <v>עמר ליגל</v>
      </c>
      <c r="U1722">
        <v>0</v>
      </c>
      <c r="V1722">
        <v>0</v>
      </c>
      <c r="W1722">
        <v>227.52</v>
      </c>
      <c r="X1722">
        <v>910.08</v>
      </c>
      <c r="Z1722" t="str">
        <f>"Y"</f>
        <v>Y</v>
      </c>
      <c r="AA1722">
        <v>0</v>
      </c>
      <c r="AC1722">
        <v>0</v>
      </c>
      <c r="AE1722">
        <v>0</v>
      </c>
      <c r="AF1722">
        <v>0</v>
      </c>
      <c r="AG1722">
        <v>765.15</v>
      </c>
      <c r="AH1722">
        <v>0</v>
      </c>
      <c r="AI1722" s="2">
        <v>3060.6</v>
      </c>
      <c r="AJ1722">
        <v>910.08</v>
      </c>
      <c r="AK1722">
        <v>910.08</v>
      </c>
      <c r="AL1722" t="str">
        <f>"$"</f>
        <v>$</v>
      </c>
    </row>
    <row r="1723" spans="1:38" x14ac:dyDescent="0.3">
      <c r="A1723" t="str">
        <f>"SO22000195"</f>
        <v>SO22000195</v>
      </c>
      <c r="B1723" t="str">
        <f>"E000364002"</f>
        <v>E000364002</v>
      </c>
      <c r="C1723" t="str">
        <f>"בוצעה"</f>
        <v>בוצעה</v>
      </c>
      <c r="E1723" s="3">
        <v>44698</v>
      </c>
      <c r="F1723" s="3">
        <v>44783</v>
      </c>
      <c r="G1723" t="str">
        <f>"700065"</f>
        <v>700065</v>
      </c>
      <c r="H1723" t="str">
        <f>"אלתא מערכות בע""מ"</f>
        <v>אלתא מערכות בע"מ</v>
      </c>
      <c r="I1723" t="str">
        <f>"רחמים זרוק"</f>
        <v>רחמים זרוק</v>
      </c>
      <c r="J1723" t="str">
        <f>"OP-AR02999"</f>
        <v>OP-AR02999</v>
      </c>
      <c r="K1723" s="1" t="str">
        <f>"9000C568-001   HARNESS W1"</f>
        <v>9000C568-001   HARNESS W1</v>
      </c>
      <c r="L1723">
        <v>3</v>
      </c>
      <c r="M1723" t="str">
        <f>"PR22000374"</f>
        <v>PR22000374</v>
      </c>
      <c r="N1723" t="str">
        <f>"E000364002"</f>
        <v>E000364002</v>
      </c>
      <c r="O1723">
        <v>227.52</v>
      </c>
      <c r="P1723" t="str">
        <f>"$"</f>
        <v>$</v>
      </c>
      <c r="Q1723" t="str">
        <f>"117"</f>
        <v>117</v>
      </c>
      <c r="R1723" t="str">
        <f>"רתמות"</f>
        <v>רתמות</v>
      </c>
      <c r="S1723" t="str">
        <f>"040"</f>
        <v>040</v>
      </c>
      <c r="T1723" t="str">
        <f>"עמר ליגל"</f>
        <v>עמר ליגל</v>
      </c>
      <c r="U1723">
        <v>0</v>
      </c>
      <c r="V1723">
        <v>0</v>
      </c>
      <c r="W1723">
        <v>227.52</v>
      </c>
      <c r="X1723">
        <v>682.56</v>
      </c>
      <c r="Z1723" t="str">
        <f>"Y"</f>
        <v>Y</v>
      </c>
      <c r="AA1723">
        <v>0</v>
      </c>
      <c r="AC1723">
        <v>0</v>
      </c>
      <c r="AE1723">
        <v>0</v>
      </c>
      <c r="AF1723">
        <v>0</v>
      </c>
      <c r="AG1723">
        <v>765.15</v>
      </c>
      <c r="AH1723">
        <v>0</v>
      </c>
      <c r="AI1723" s="2">
        <v>2295.4499999999998</v>
      </c>
      <c r="AJ1723">
        <v>682.56</v>
      </c>
      <c r="AK1723">
        <v>682.56</v>
      </c>
      <c r="AL1723" t="str">
        <f>"$"</f>
        <v>$</v>
      </c>
    </row>
    <row r="1724" spans="1:38" x14ac:dyDescent="0.3">
      <c r="A1724" t="str">
        <f>"SO22000195"</f>
        <v>SO22000195</v>
      </c>
      <c r="B1724" t="str">
        <f>"E000364002"</f>
        <v>E000364002</v>
      </c>
      <c r="C1724" t="str">
        <f>"בוצעה"</f>
        <v>בוצעה</v>
      </c>
      <c r="E1724" s="3">
        <v>44698</v>
      </c>
      <c r="F1724" s="3">
        <v>44814</v>
      </c>
      <c r="G1724" t="str">
        <f>"700065"</f>
        <v>700065</v>
      </c>
      <c r="H1724" t="str">
        <f>"אלתא מערכות בע""מ"</f>
        <v>אלתא מערכות בע"מ</v>
      </c>
      <c r="I1724" t="str">
        <f>"רחמים זרוק"</f>
        <v>רחמים זרוק</v>
      </c>
      <c r="J1724" t="str">
        <f>"OP-AR03135"</f>
        <v>OP-AR03135</v>
      </c>
      <c r="K1724" s="1" t="str">
        <f>"1039B413-001    HARNESS WR013 - RED FALCON COMM"</f>
        <v>1039B413-001    HARNESS WR013 - RED FALCON COMM</v>
      </c>
      <c r="L1724">
        <v>4</v>
      </c>
      <c r="M1724" t="str">
        <f>"PR22000374"</f>
        <v>PR22000374</v>
      </c>
      <c r="N1724" t="str">
        <f>"E000364002"</f>
        <v>E000364002</v>
      </c>
      <c r="O1724" s="2">
        <v>1245.1099999999999</v>
      </c>
      <c r="P1724" t="str">
        <f>"$"</f>
        <v>$</v>
      </c>
      <c r="Q1724" t="str">
        <f>"117"</f>
        <v>117</v>
      </c>
      <c r="R1724" t="str">
        <f>"רתמות"</f>
        <v>רתמות</v>
      </c>
      <c r="S1724" t="str">
        <f>"040"</f>
        <v>040</v>
      </c>
      <c r="T1724" t="str">
        <f>"עמר ליגל"</f>
        <v>עמר ליגל</v>
      </c>
      <c r="U1724">
        <v>0</v>
      </c>
      <c r="V1724">
        <v>0</v>
      </c>
      <c r="W1724" s="2">
        <v>1245.1099999999999</v>
      </c>
      <c r="X1724" s="2">
        <v>4980.4399999999996</v>
      </c>
      <c r="Z1724" t="str">
        <f>"Y"</f>
        <v>Y</v>
      </c>
      <c r="AA1724">
        <v>0</v>
      </c>
      <c r="AC1724">
        <v>0</v>
      </c>
      <c r="AE1724">
        <v>0</v>
      </c>
      <c r="AF1724">
        <v>0</v>
      </c>
      <c r="AG1724" s="2">
        <v>4187.3</v>
      </c>
      <c r="AH1724">
        <v>0</v>
      </c>
      <c r="AI1724" s="2">
        <v>16749.22</v>
      </c>
      <c r="AJ1724" s="2">
        <v>4980.4399999999996</v>
      </c>
      <c r="AK1724" s="2">
        <v>4980.4399999999996</v>
      </c>
      <c r="AL1724" t="str">
        <f>"$"</f>
        <v>$</v>
      </c>
    </row>
    <row r="1725" spans="1:38" x14ac:dyDescent="0.3">
      <c r="A1725" t="str">
        <f>"SO22000195"</f>
        <v>SO22000195</v>
      </c>
      <c r="B1725" t="str">
        <f>"E000364002"</f>
        <v>E000364002</v>
      </c>
      <c r="C1725" t="str">
        <f>"בוצעה"</f>
        <v>בוצעה</v>
      </c>
      <c r="E1725" s="3">
        <v>44698</v>
      </c>
      <c r="F1725" s="3">
        <v>44772</v>
      </c>
      <c r="G1725" t="str">
        <f>"700065"</f>
        <v>700065</v>
      </c>
      <c r="H1725" t="str">
        <f>"אלתא מערכות בע""מ"</f>
        <v>אלתא מערכות בע"מ</v>
      </c>
      <c r="I1725" t="str">
        <f>"רחמים זרוק"</f>
        <v>רחמים זרוק</v>
      </c>
      <c r="J1725" t="str">
        <f>"OP-AR03136"</f>
        <v>OP-AR03136</v>
      </c>
      <c r="K1725" s="1" t="str">
        <f>"2032D919-001    HARNESS W919 - AARDVARK PROGRAMMING"</f>
        <v>2032D919-001    HARNESS W919 - AARDVARK PROGRAMMING</v>
      </c>
      <c r="L1725">
        <v>6</v>
      </c>
      <c r="M1725" t="str">
        <f>"PR22000374"</f>
        <v>PR22000374</v>
      </c>
      <c r="N1725" t="str">
        <f>"E000364002"</f>
        <v>E000364002</v>
      </c>
      <c r="O1725">
        <v>404.97</v>
      </c>
      <c r="P1725" t="str">
        <f>"$"</f>
        <v>$</v>
      </c>
      <c r="Q1725" t="str">
        <f>"117"</f>
        <v>117</v>
      </c>
      <c r="R1725" t="str">
        <f>"רתמות"</f>
        <v>רתמות</v>
      </c>
      <c r="S1725" t="str">
        <f>"040"</f>
        <v>040</v>
      </c>
      <c r="T1725" t="str">
        <f>"עמר ליגל"</f>
        <v>עמר ליגל</v>
      </c>
      <c r="U1725">
        <v>0</v>
      </c>
      <c r="V1725">
        <v>0</v>
      </c>
      <c r="W1725">
        <v>404.97</v>
      </c>
      <c r="X1725" s="2">
        <v>2429.8200000000002</v>
      </c>
      <c r="Z1725" t="str">
        <f>"Y"</f>
        <v>Y</v>
      </c>
      <c r="AA1725">
        <v>0</v>
      </c>
      <c r="AC1725">
        <v>0</v>
      </c>
      <c r="AE1725">
        <v>0</v>
      </c>
      <c r="AF1725">
        <v>0</v>
      </c>
      <c r="AG1725" s="2">
        <v>1361.91</v>
      </c>
      <c r="AH1725">
        <v>0</v>
      </c>
      <c r="AI1725" s="2">
        <v>8171.48</v>
      </c>
      <c r="AJ1725" s="2">
        <v>2429.8200000000002</v>
      </c>
      <c r="AK1725" s="2">
        <v>2429.8200000000002</v>
      </c>
      <c r="AL1725" t="str">
        <f>"$"</f>
        <v>$</v>
      </c>
    </row>
    <row r="1726" spans="1:38" x14ac:dyDescent="0.3">
      <c r="A1726" t="str">
        <f>"SO22000195"</f>
        <v>SO22000195</v>
      </c>
      <c r="B1726" t="str">
        <f>"E000364002"</f>
        <v>E000364002</v>
      </c>
      <c r="C1726" t="str">
        <f>"בוצעה"</f>
        <v>בוצעה</v>
      </c>
      <c r="E1726" s="3">
        <v>44698</v>
      </c>
      <c r="F1726" s="3">
        <v>44814</v>
      </c>
      <c r="G1726" t="str">
        <f>"700065"</f>
        <v>700065</v>
      </c>
      <c r="H1726" t="str">
        <f>"אלתא מערכות בע""מ"</f>
        <v>אלתא מערכות בע"מ</v>
      </c>
      <c r="I1726" t="str">
        <f>"רחמים זרוק"</f>
        <v>רחמים זרוק</v>
      </c>
      <c r="J1726" t="str">
        <f>"OP-AR03137"</f>
        <v>OP-AR03137</v>
      </c>
      <c r="K1726" s="1" t="str">
        <f>"2032D928-001    HARNESS W928 - POWER SUPPLY"</f>
        <v>2032D928-001    HARNESS W928 - POWER SUPPLY</v>
      </c>
      <c r="L1726">
        <v>6</v>
      </c>
      <c r="M1726" t="str">
        <f>"PR22000374"</f>
        <v>PR22000374</v>
      </c>
      <c r="N1726" t="str">
        <f>"E000364002"</f>
        <v>E000364002</v>
      </c>
      <c r="O1726">
        <v>319.83</v>
      </c>
      <c r="P1726" t="str">
        <f>"$"</f>
        <v>$</v>
      </c>
      <c r="Q1726" t="str">
        <f>"117"</f>
        <v>117</v>
      </c>
      <c r="R1726" t="str">
        <f>"רתמות"</f>
        <v>רתמות</v>
      </c>
      <c r="S1726" t="str">
        <f>"040"</f>
        <v>040</v>
      </c>
      <c r="T1726" t="str">
        <f>"עמר ליגל"</f>
        <v>עמר ליגל</v>
      </c>
      <c r="U1726">
        <v>0</v>
      </c>
      <c r="V1726">
        <v>0</v>
      </c>
      <c r="W1726">
        <v>319.83</v>
      </c>
      <c r="X1726" s="2">
        <v>1918.98</v>
      </c>
      <c r="Z1726" t="str">
        <f>"Y"</f>
        <v>Y</v>
      </c>
      <c r="AA1726">
        <v>0</v>
      </c>
      <c r="AC1726">
        <v>0</v>
      </c>
      <c r="AE1726">
        <v>0</v>
      </c>
      <c r="AF1726">
        <v>0</v>
      </c>
      <c r="AG1726" s="2">
        <v>1075.5899999999999</v>
      </c>
      <c r="AH1726">
        <v>0</v>
      </c>
      <c r="AI1726" s="2">
        <v>6453.53</v>
      </c>
      <c r="AJ1726" s="2">
        <v>1918.98</v>
      </c>
      <c r="AK1726" s="2">
        <v>1918.98</v>
      </c>
      <c r="AL1726" t="str">
        <f>"$"</f>
        <v>$</v>
      </c>
    </row>
    <row r="1727" spans="1:38" x14ac:dyDescent="0.3">
      <c r="A1727" t="str">
        <f>"SO22000195"</f>
        <v>SO22000195</v>
      </c>
      <c r="B1727" t="str">
        <f>"E000364002"</f>
        <v>E000364002</v>
      </c>
      <c r="C1727" t="str">
        <f>"בוצעה"</f>
        <v>בוצעה</v>
      </c>
      <c r="E1727" s="3">
        <v>44698</v>
      </c>
      <c r="F1727" s="3">
        <v>44814</v>
      </c>
      <c r="G1727" t="str">
        <f>"700065"</f>
        <v>700065</v>
      </c>
      <c r="H1727" t="str">
        <f>"אלתא מערכות בע""מ"</f>
        <v>אלתא מערכות בע"מ</v>
      </c>
      <c r="I1727" t="str">
        <f>"רחמים זרוק"</f>
        <v>רחמים זרוק</v>
      </c>
      <c r="J1727" t="str">
        <f>"OP-AR03138"</f>
        <v>OP-AR03138</v>
      </c>
      <c r="K1727" s="1" t="str">
        <f>"2215D097-001    HARNESS W097 - AARDVARK PROGRAMMING"</f>
        <v>2215D097-001    HARNESS W097 - AARDVARK PROGRAMMING</v>
      </c>
      <c r="L1727">
        <v>6</v>
      </c>
      <c r="M1727" t="str">
        <f>"PR22000374"</f>
        <v>PR22000374</v>
      </c>
      <c r="N1727" t="str">
        <f>"E000364002"</f>
        <v>E000364002</v>
      </c>
      <c r="O1727">
        <v>277.14</v>
      </c>
      <c r="P1727" t="str">
        <f>"$"</f>
        <v>$</v>
      </c>
      <c r="Q1727" t="str">
        <f>"117"</f>
        <v>117</v>
      </c>
      <c r="R1727" t="str">
        <f>"רתמות"</f>
        <v>רתמות</v>
      </c>
      <c r="S1727" t="str">
        <f>"040"</f>
        <v>040</v>
      </c>
      <c r="T1727" t="str">
        <f>"עמר ליגל"</f>
        <v>עמר ליגל</v>
      </c>
      <c r="U1727">
        <v>0</v>
      </c>
      <c r="V1727">
        <v>0</v>
      </c>
      <c r="W1727">
        <v>277.14</v>
      </c>
      <c r="X1727" s="2">
        <v>1662.84</v>
      </c>
      <c r="Z1727" t="str">
        <f>"Y"</f>
        <v>Y</v>
      </c>
      <c r="AA1727">
        <v>0</v>
      </c>
      <c r="AC1727">
        <v>0</v>
      </c>
      <c r="AE1727">
        <v>0</v>
      </c>
      <c r="AF1727">
        <v>0</v>
      </c>
      <c r="AG1727">
        <v>932.02</v>
      </c>
      <c r="AH1727">
        <v>0</v>
      </c>
      <c r="AI1727" s="2">
        <v>5592.13</v>
      </c>
      <c r="AJ1727" s="2">
        <v>1662.84</v>
      </c>
      <c r="AK1727" s="2">
        <v>1662.84</v>
      </c>
      <c r="AL1727" t="str">
        <f>"$"</f>
        <v>$</v>
      </c>
    </row>
    <row r="1728" spans="1:38" x14ac:dyDescent="0.3">
      <c r="A1728" t="str">
        <f>"SO22000195"</f>
        <v>SO22000195</v>
      </c>
      <c r="B1728" t="str">
        <f>"E000364002"</f>
        <v>E000364002</v>
      </c>
      <c r="C1728" t="str">
        <f>"בוצעה"</f>
        <v>בוצעה</v>
      </c>
      <c r="E1728" s="3">
        <v>44698</v>
      </c>
      <c r="F1728" s="3">
        <v>44814</v>
      </c>
      <c r="G1728" t="str">
        <f>"700065"</f>
        <v>700065</v>
      </c>
      <c r="H1728" t="str">
        <f>"אלתא מערכות בע""מ"</f>
        <v>אלתא מערכות בע"מ</v>
      </c>
      <c r="I1728" t="str">
        <f>"רחמים זרוק"</f>
        <v>רחמים זרוק</v>
      </c>
      <c r="J1728" t="str">
        <f>"OP-AR02086"</f>
        <v>OP-AR02086</v>
      </c>
      <c r="K1728" s="1" t="str">
        <f>"2060B171-001  CABLE ASSY CRW22"</f>
        <v>2060B171-001  CABLE ASSY CRW22</v>
      </c>
      <c r="L1728">
        <v>1</v>
      </c>
      <c r="M1728" t="str">
        <f>"PR22000374"</f>
        <v>PR22000374</v>
      </c>
      <c r="N1728" t="str">
        <f>"E000364002"</f>
        <v>E000364002</v>
      </c>
      <c r="O1728">
        <v>623.46</v>
      </c>
      <c r="P1728" t="str">
        <f>"$"</f>
        <v>$</v>
      </c>
      <c r="Q1728" t="str">
        <f>"117"</f>
        <v>117</v>
      </c>
      <c r="R1728" t="str">
        <f>"רתמות"</f>
        <v>רתמות</v>
      </c>
      <c r="S1728" t="str">
        <f>"040"</f>
        <v>040</v>
      </c>
      <c r="T1728" t="str">
        <f>"עמר ליגל"</f>
        <v>עמר ליגל</v>
      </c>
      <c r="U1728">
        <v>0</v>
      </c>
      <c r="V1728">
        <v>0</v>
      </c>
      <c r="W1728">
        <v>623.46</v>
      </c>
      <c r="X1728">
        <v>623.46</v>
      </c>
      <c r="Z1728" t="str">
        <f>"Y"</f>
        <v>Y</v>
      </c>
      <c r="AA1728">
        <v>0</v>
      </c>
      <c r="AC1728">
        <v>0</v>
      </c>
      <c r="AE1728">
        <v>0</v>
      </c>
      <c r="AF1728">
        <v>0</v>
      </c>
      <c r="AG1728" s="2">
        <v>2096.6999999999998</v>
      </c>
      <c r="AH1728">
        <v>0</v>
      </c>
      <c r="AI1728" s="2">
        <v>2096.6999999999998</v>
      </c>
      <c r="AJ1728">
        <v>623.46</v>
      </c>
      <c r="AK1728">
        <v>623.46</v>
      </c>
      <c r="AL1728" t="str">
        <f>"$"</f>
        <v>$</v>
      </c>
    </row>
    <row r="1729" spans="1:38" x14ac:dyDescent="0.3">
      <c r="A1729" t="str">
        <f>"SO22000195"</f>
        <v>SO22000195</v>
      </c>
      <c r="B1729" t="str">
        <f>"E000364002"</f>
        <v>E000364002</v>
      </c>
      <c r="C1729" t="str">
        <f>"בוצעה"</f>
        <v>בוצעה</v>
      </c>
      <c r="E1729" s="3">
        <v>44698</v>
      </c>
      <c r="F1729" s="3">
        <v>44814</v>
      </c>
      <c r="G1729" t="str">
        <f>"700065"</f>
        <v>700065</v>
      </c>
      <c r="H1729" t="str">
        <f>"אלתא מערכות בע""מ"</f>
        <v>אלתא מערכות בע"מ</v>
      </c>
      <c r="I1729" t="str">
        <f>"רחמים זרוק"</f>
        <v>רחמים זרוק</v>
      </c>
      <c r="J1729" t="str">
        <f>"OP-AR03011"</f>
        <v>OP-AR03011</v>
      </c>
      <c r="K1729" s="1" t="str">
        <f>"2083B310-002   VPW2 CABLE ASSY"</f>
        <v>2083B310-002   VPW2 CABLE ASSY</v>
      </c>
      <c r="L1729">
        <v>1</v>
      </c>
      <c r="M1729" t="str">
        <f>"PR22000374"</f>
        <v>PR22000374</v>
      </c>
      <c r="N1729" t="str">
        <f>"E000364002"</f>
        <v>E000364002</v>
      </c>
      <c r="O1729" s="2">
        <v>1022.92</v>
      </c>
      <c r="P1729" t="str">
        <f>"$"</f>
        <v>$</v>
      </c>
      <c r="Q1729" t="str">
        <f>"117"</f>
        <v>117</v>
      </c>
      <c r="R1729" t="str">
        <f>"רתמות"</f>
        <v>רתמות</v>
      </c>
      <c r="S1729" t="str">
        <f>"040"</f>
        <v>040</v>
      </c>
      <c r="T1729" t="str">
        <f>"עמר ליגל"</f>
        <v>עמר ליגל</v>
      </c>
      <c r="U1729">
        <v>0</v>
      </c>
      <c r="V1729">
        <v>0</v>
      </c>
      <c r="W1729" s="2">
        <v>1022.92</v>
      </c>
      <c r="X1729" s="2">
        <v>1022.92</v>
      </c>
      <c r="Z1729" t="str">
        <f>"Y"</f>
        <v>Y</v>
      </c>
      <c r="AA1729">
        <v>0</v>
      </c>
      <c r="AC1729">
        <v>0</v>
      </c>
      <c r="AE1729">
        <v>0</v>
      </c>
      <c r="AF1729">
        <v>0</v>
      </c>
      <c r="AG1729" s="2">
        <v>3440.08</v>
      </c>
      <c r="AH1729">
        <v>0</v>
      </c>
      <c r="AI1729" s="2">
        <v>3440.08</v>
      </c>
      <c r="AJ1729" s="2">
        <v>1022.92</v>
      </c>
      <c r="AK1729" s="2">
        <v>1022.92</v>
      </c>
      <c r="AL1729" t="str">
        <f>"$"</f>
        <v>$</v>
      </c>
    </row>
    <row r="1730" spans="1:38" x14ac:dyDescent="0.3">
      <c r="A1730" t="str">
        <f>"SO22000195"</f>
        <v>SO22000195</v>
      </c>
      <c r="B1730" t="str">
        <f>"E000364002"</f>
        <v>E000364002</v>
      </c>
      <c r="C1730" t="str">
        <f>"בוצעה"</f>
        <v>בוצעה</v>
      </c>
      <c r="E1730" s="3">
        <v>44698</v>
      </c>
      <c r="F1730" s="3">
        <v>44814</v>
      </c>
      <c r="G1730" t="str">
        <f>"700065"</f>
        <v>700065</v>
      </c>
      <c r="H1730" t="str">
        <f>"אלתא מערכות בע""מ"</f>
        <v>אלתא מערכות בע"מ</v>
      </c>
      <c r="I1730" t="str">
        <f>"רחמים זרוק"</f>
        <v>רחמים זרוק</v>
      </c>
      <c r="J1730" t="str">
        <f>"OP-AR03139"</f>
        <v>OP-AR03139</v>
      </c>
      <c r="K1730" s="1" t="str">
        <f>"2109B800-001   DLXW1 CABLE ASSY (SAT HPA POWER)"</f>
        <v>2109B800-001   DLXW1 CABLE ASSY (SAT HPA POWER)</v>
      </c>
      <c r="L1730">
        <v>1</v>
      </c>
      <c r="M1730" t="str">
        <f>"PR22000374"</f>
        <v>PR22000374</v>
      </c>
      <c r="N1730" t="str">
        <f>"E000364002"</f>
        <v>E000364002</v>
      </c>
      <c r="O1730">
        <v>295.73</v>
      </c>
      <c r="P1730" t="str">
        <f>"$"</f>
        <v>$</v>
      </c>
      <c r="Q1730" t="str">
        <f>"117"</f>
        <v>117</v>
      </c>
      <c r="R1730" t="str">
        <f>"רתמות"</f>
        <v>רתמות</v>
      </c>
      <c r="S1730" t="str">
        <f>"040"</f>
        <v>040</v>
      </c>
      <c r="T1730" t="str">
        <f>"עמר ליגל"</f>
        <v>עמר ליגל</v>
      </c>
      <c r="U1730">
        <v>0</v>
      </c>
      <c r="V1730">
        <v>0</v>
      </c>
      <c r="W1730">
        <v>295.73</v>
      </c>
      <c r="X1730">
        <v>295.73</v>
      </c>
      <c r="Z1730" t="str">
        <f>"Y"</f>
        <v>Y</v>
      </c>
      <c r="AA1730">
        <v>0</v>
      </c>
      <c r="AC1730">
        <v>0</v>
      </c>
      <c r="AE1730">
        <v>0</v>
      </c>
      <c r="AF1730">
        <v>0</v>
      </c>
      <c r="AG1730">
        <v>994.54</v>
      </c>
      <c r="AH1730">
        <v>0</v>
      </c>
      <c r="AI1730">
        <v>994.54</v>
      </c>
      <c r="AJ1730">
        <v>295.73</v>
      </c>
      <c r="AK1730">
        <v>295.73</v>
      </c>
      <c r="AL1730" t="str">
        <f>"$"</f>
        <v>$</v>
      </c>
    </row>
    <row r="1731" spans="1:38" x14ac:dyDescent="0.3">
      <c r="A1731" t="str">
        <f>"SO22000195"</f>
        <v>SO22000195</v>
      </c>
      <c r="B1731" t="str">
        <f>"E000364002"</f>
        <v>E000364002</v>
      </c>
      <c r="C1731" t="str">
        <f>"בוצעה"</f>
        <v>בוצעה</v>
      </c>
      <c r="E1731" s="3">
        <v>44698</v>
      </c>
      <c r="F1731" s="3">
        <v>44814</v>
      </c>
      <c r="G1731" t="str">
        <f>"700065"</f>
        <v>700065</v>
      </c>
      <c r="H1731" t="str">
        <f>"אלתא מערכות בע""מ"</f>
        <v>אלתא מערכות בע"מ</v>
      </c>
      <c r="I1731" t="str">
        <f>"רחמים זרוק"</f>
        <v>רחמים זרוק</v>
      </c>
      <c r="J1731" t="str">
        <f>"OP-AR03140"</f>
        <v>OP-AR03140</v>
      </c>
      <c r="K1731" s="1" t="str">
        <f>"2135B186-001    RP-VIDEO CABLE ASSY RMTW3"</f>
        <v>2135B186-001    RP-VIDEO CABLE ASSY RMTW3</v>
      </c>
      <c r="L1731">
        <v>2</v>
      </c>
      <c r="M1731" t="str">
        <f>"PR22000374"</f>
        <v>PR22000374</v>
      </c>
      <c r="N1731" t="str">
        <f>"E000364002"</f>
        <v>E000364002</v>
      </c>
      <c r="O1731">
        <v>162.03</v>
      </c>
      <c r="P1731" t="str">
        <f>"$"</f>
        <v>$</v>
      </c>
      <c r="Q1731" t="str">
        <f>"117"</f>
        <v>117</v>
      </c>
      <c r="R1731" t="str">
        <f>"רתמות"</f>
        <v>רתמות</v>
      </c>
      <c r="S1731" t="str">
        <f>"040"</f>
        <v>040</v>
      </c>
      <c r="T1731" t="str">
        <f>"עמר ליגל"</f>
        <v>עמר ליגל</v>
      </c>
      <c r="U1731">
        <v>0</v>
      </c>
      <c r="V1731">
        <v>0</v>
      </c>
      <c r="W1731">
        <v>162.03</v>
      </c>
      <c r="X1731">
        <v>324.06</v>
      </c>
      <c r="Z1731" t="str">
        <f>"Y"</f>
        <v>Y</v>
      </c>
      <c r="AA1731">
        <v>0</v>
      </c>
      <c r="AC1731">
        <v>0</v>
      </c>
      <c r="AE1731">
        <v>0</v>
      </c>
      <c r="AF1731">
        <v>0</v>
      </c>
      <c r="AG1731">
        <v>544.91</v>
      </c>
      <c r="AH1731">
        <v>0</v>
      </c>
      <c r="AI1731" s="2">
        <v>1089.81</v>
      </c>
      <c r="AJ1731">
        <v>324.06</v>
      </c>
      <c r="AK1731">
        <v>324.06</v>
      </c>
      <c r="AL1731" t="str">
        <f>"$"</f>
        <v>$</v>
      </c>
    </row>
    <row r="1732" spans="1:38" x14ac:dyDescent="0.3">
      <c r="A1732" t="str">
        <f>"SO22000195"</f>
        <v>SO22000195</v>
      </c>
      <c r="B1732" t="str">
        <f>"E000364002"</f>
        <v>E000364002</v>
      </c>
      <c r="C1732" t="str">
        <f>"בוצעה"</f>
        <v>בוצעה</v>
      </c>
      <c r="E1732" s="3">
        <v>44698</v>
      </c>
      <c r="F1732" s="3">
        <v>44814</v>
      </c>
      <c r="G1732" t="str">
        <f>"700065"</f>
        <v>700065</v>
      </c>
      <c r="H1732" t="str">
        <f>"אלתא מערכות בע""מ"</f>
        <v>אלתא מערכות בע"מ</v>
      </c>
      <c r="I1732" t="str">
        <f>"רחמים זרוק"</f>
        <v>רחמים זרוק</v>
      </c>
      <c r="J1732" t="str">
        <f>"OP-AR03141"</f>
        <v>OP-AR03141</v>
      </c>
      <c r="K1732" s="1" t="str">
        <f>"2200B106-001     SMR STAR X LOOPBACK CABLE"</f>
        <v>2200B106-001     SMR STAR X LOOPBACK CABLE</v>
      </c>
      <c r="L1732">
        <v>2</v>
      </c>
      <c r="M1732" t="str">
        <f>"PR22000374"</f>
        <v>PR22000374</v>
      </c>
      <c r="N1732" t="str">
        <f>"E000364002"</f>
        <v>E000364002</v>
      </c>
      <c r="O1732">
        <v>95.7</v>
      </c>
      <c r="P1732" t="str">
        <f>"$"</f>
        <v>$</v>
      </c>
      <c r="Q1732" t="str">
        <f>"117"</f>
        <v>117</v>
      </c>
      <c r="R1732" t="str">
        <f>"רתמות"</f>
        <v>רתמות</v>
      </c>
      <c r="S1732" t="str">
        <f>"040"</f>
        <v>040</v>
      </c>
      <c r="T1732" t="str">
        <f>"עמר ליגל"</f>
        <v>עמר ליגל</v>
      </c>
      <c r="U1732">
        <v>0</v>
      </c>
      <c r="V1732">
        <v>0</v>
      </c>
      <c r="W1732">
        <v>95.7</v>
      </c>
      <c r="X1732">
        <v>191.4</v>
      </c>
      <c r="Z1732" t="str">
        <f>"Y"</f>
        <v>Y</v>
      </c>
      <c r="AA1732">
        <v>0</v>
      </c>
      <c r="AC1732">
        <v>0</v>
      </c>
      <c r="AE1732">
        <v>0</v>
      </c>
      <c r="AF1732">
        <v>0</v>
      </c>
      <c r="AG1732">
        <v>321.83999999999997</v>
      </c>
      <c r="AH1732">
        <v>0</v>
      </c>
      <c r="AI1732">
        <v>643.67999999999995</v>
      </c>
      <c r="AJ1732">
        <v>191.4</v>
      </c>
      <c r="AK1732">
        <v>191.4</v>
      </c>
      <c r="AL1732" t="str">
        <f>"$"</f>
        <v>$</v>
      </c>
    </row>
    <row r="1733" spans="1:38" x14ac:dyDescent="0.3">
      <c r="A1733" t="str">
        <f>"SO22000195"</f>
        <v>SO22000195</v>
      </c>
      <c r="B1733" t="str">
        <f>"E000364002"</f>
        <v>E000364002</v>
      </c>
      <c r="C1733" t="str">
        <f>"בוצעה"</f>
        <v>בוצעה</v>
      </c>
      <c r="E1733" s="3">
        <v>44698</v>
      </c>
      <c r="F1733" s="3">
        <v>44814</v>
      </c>
      <c r="G1733" t="str">
        <f>"700065"</f>
        <v>700065</v>
      </c>
      <c r="H1733" t="str">
        <f>"אלתא מערכות בע""מ"</f>
        <v>אלתא מערכות בע"מ</v>
      </c>
      <c r="I1733" t="str">
        <f>"רחמים זרוק"</f>
        <v>רחמים זרוק</v>
      </c>
      <c r="J1733" t="str">
        <f>"OP-AR03142"</f>
        <v>OP-AR03142</v>
      </c>
      <c r="K1733" s="1" t="str">
        <f>"2216B034-001    NMS RFD CABLE ASSY"</f>
        <v>2216B034-001    NMS RFD CABLE ASSY</v>
      </c>
      <c r="L1733">
        <v>2</v>
      </c>
      <c r="O1733">
        <v>325.39999999999998</v>
      </c>
      <c r="P1733" t="str">
        <f>"$"</f>
        <v>$</v>
      </c>
      <c r="Q1733" t="str">
        <f>"117"</f>
        <v>117</v>
      </c>
      <c r="R1733" t="str">
        <f>"רתמות"</f>
        <v>רתמות</v>
      </c>
      <c r="S1733" t="str">
        <f>"040"</f>
        <v>040</v>
      </c>
      <c r="T1733" t="str">
        <f>"עמר ליגל"</f>
        <v>עמר ליגל</v>
      </c>
      <c r="U1733">
        <v>0</v>
      </c>
      <c r="V1733">
        <v>0</v>
      </c>
      <c r="W1733">
        <v>325.39999999999998</v>
      </c>
      <c r="X1733">
        <v>650.79999999999995</v>
      </c>
      <c r="Z1733" t="str">
        <f>"Y"</f>
        <v>Y</v>
      </c>
      <c r="AA1733">
        <v>0</v>
      </c>
      <c r="AC1733">
        <v>0</v>
      </c>
      <c r="AE1733">
        <v>0</v>
      </c>
      <c r="AF1733">
        <v>0</v>
      </c>
      <c r="AG1733" s="2">
        <v>1094.32</v>
      </c>
      <c r="AH1733">
        <v>0</v>
      </c>
      <c r="AI1733" s="2">
        <v>2188.64</v>
      </c>
      <c r="AJ1733">
        <v>650.79999999999995</v>
      </c>
      <c r="AK1733">
        <v>650.79999999999995</v>
      </c>
      <c r="AL1733" t="str">
        <f>"$"</f>
        <v>$</v>
      </c>
    </row>
    <row r="1734" spans="1:38" x14ac:dyDescent="0.3">
      <c r="A1734" t="str">
        <f>"SO22000196"</f>
        <v>SO22000196</v>
      </c>
      <c r="B1734" t="str">
        <f>"E000364968"</f>
        <v>E000364968</v>
      </c>
      <c r="C1734" t="str">
        <f>"בוצעה"</f>
        <v>בוצעה</v>
      </c>
      <c r="E1734" s="3">
        <v>44699</v>
      </c>
      <c r="F1734" s="3">
        <v>44880</v>
      </c>
      <c r="G1734" t="str">
        <f>"700065"</f>
        <v>700065</v>
      </c>
      <c r="H1734" t="str">
        <f>"אלתא מערכות בע""מ"</f>
        <v>אלתא מערכות בע"מ</v>
      </c>
      <c r="I1734" t="str">
        <f>"רוני דידי"</f>
        <v>רוני דידי</v>
      </c>
      <c r="J1734" t="str">
        <f>"PS0400063"</f>
        <v>PS0400063</v>
      </c>
      <c r="K1734" s="1" t="str">
        <f>"TSI-EPC-48V-230Vac-Module MEDIA ( Stainless)"</f>
        <v>TSI-EPC-48V-230Vac-Module MEDIA ( Stainless)</v>
      </c>
      <c r="L1734">
        <v>2</v>
      </c>
      <c r="M1734" t="str">
        <f>"PR22000373"</f>
        <v>PR22000373</v>
      </c>
      <c r="N1734" t="str">
        <f>"PS040001902"</f>
        <v>PS040001902</v>
      </c>
      <c r="O1734" s="2">
        <v>3350</v>
      </c>
      <c r="P1734" t="str">
        <f>"$"</f>
        <v>$</v>
      </c>
      <c r="Q1734" t="str">
        <f>"118"</f>
        <v>118</v>
      </c>
      <c r="R1734" t="str">
        <f>"מערכות"</f>
        <v>מערכות</v>
      </c>
      <c r="S1734" t="str">
        <f>"007"</f>
        <v>007</v>
      </c>
      <c r="T1734" t="str">
        <f>"עמר ליגל"</f>
        <v>עמר ליגל</v>
      </c>
      <c r="U1734">
        <v>0</v>
      </c>
      <c r="V1734">
        <v>0</v>
      </c>
      <c r="W1734" s="2">
        <v>3350</v>
      </c>
      <c r="X1734" s="2">
        <v>6700</v>
      </c>
      <c r="Z1734" t="str">
        <f>"Y"</f>
        <v>Y</v>
      </c>
      <c r="AA1734">
        <v>0</v>
      </c>
      <c r="AC1734">
        <v>0</v>
      </c>
      <c r="AE1734">
        <v>0</v>
      </c>
      <c r="AF1734">
        <v>0</v>
      </c>
      <c r="AG1734" s="2">
        <v>11235.9</v>
      </c>
      <c r="AH1734">
        <v>0</v>
      </c>
      <c r="AI1734" s="2">
        <v>22471.8</v>
      </c>
      <c r="AJ1734" s="2">
        <v>6700</v>
      </c>
      <c r="AK1734" s="2">
        <v>6700</v>
      </c>
      <c r="AL1734" t="str">
        <f>"$"</f>
        <v>$</v>
      </c>
    </row>
    <row r="1735" spans="1:38" x14ac:dyDescent="0.3">
      <c r="A1735" t="str">
        <f>"SO22000203"</f>
        <v>SO22000203</v>
      </c>
      <c r="B1735" t="str">
        <f>"E000362820"</f>
        <v>E000362820</v>
      </c>
      <c r="C1735" t="str">
        <f>"בסיום הרכבה"</f>
        <v>בסיום הרכבה</v>
      </c>
      <c r="E1735" s="3">
        <v>44705</v>
      </c>
      <c r="F1735" s="3">
        <v>44757</v>
      </c>
      <c r="G1735" t="str">
        <f>"700065"</f>
        <v>700065</v>
      </c>
      <c r="H1735" t="str">
        <f>"אלתא מערכות בע""מ"</f>
        <v>אלתא מערכות בע"מ</v>
      </c>
      <c r="I1735" t="str">
        <f>"רחמים זרוק"</f>
        <v>רחמים זרוק</v>
      </c>
      <c r="J1735" t="str">
        <f>"OP-AR03147"</f>
        <v>OP-AR03147</v>
      </c>
      <c r="K1735" s="1" t="str">
        <f>"1041A268-001    PWR CABLE FOR TILE"</f>
        <v>1041A268-001    PWR CABLE FOR TILE</v>
      </c>
      <c r="L1735">
        <v>1</v>
      </c>
      <c r="M1735" t="str">
        <f>"PR22000393"</f>
        <v>PR22000393</v>
      </c>
      <c r="N1735" t="str">
        <f>"E000362820"</f>
        <v>E000362820</v>
      </c>
      <c r="O1735">
        <v>145.53</v>
      </c>
      <c r="P1735" t="str">
        <f>"$"</f>
        <v>$</v>
      </c>
      <c r="Q1735" t="str">
        <f>"117"</f>
        <v>117</v>
      </c>
      <c r="R1735" t="str">
        <f>"רתמות"</f>
        <v>רתמות</v>
      </c>
      <c r="S1735" t="str">
        <f>"040"</f>
        <v>040</v>
      </c>
      <c r="T1735" t="str">
        <f>"עמר ליגל"</f>
        <v>עמר ליגל</v>
      </c>
      <c r="U1735">
        <v>0</v>
      </c>
      <c r="V1735">
        <v>0</v>
      </c>
      <c r="W1735">
        <v>145.53</v>
      </c>
      <c r="X1735">
        <v>145.53</v>
      </c>
      <c r="Z1735" t="str">
        <f>"Y"</f>
        <v>Y</v>
      </c>
      <c r="AA1735">
        <v>0</v>
      </c>
      <c r="AC1735">
        <v>0</v>
      </c>
      <c r="AE1735">
        <v>0</v>
      </c>
      <c r="AF1735">
        <v>0</v>
      </c>
      <c r="AG1735">
        <v>487.38</v>
      </c>
      <c r="AH1735">
        <v>0</v>
      </c>
      <c r="AI1735">
        <v>487.38</v>
      </c>
      <c r="AJ1735">
        <v>145.53</v>
      </c>
      <c r="AK1735">
        <v>145.53</v>
      </c>
      <c r="AL1735" t="str">
        <f>"$"</f>
        <v>$</v>
      </c>
    </row>
    <row r="1736" spans="1:38" x14ac:dyDescent="0.3">
      <c r="A1736" t="str">
        <f>"SO22000203"</f>
        <v>SO22000203</v>
      </c>
      <c r="B1736" t="str">
        <f>"E000362820"</f>
        <v>E000362820</v>
      </c>
      <c r="C1736" t="str">
        <f>"בסיום הרכבה"</f>
        <v>בסיום הרכבה</v>
      </c>
      <c r="E1736" s="3">
        <v>44705</v>
      </c>
      <c r="F1736" s="3">
        <v>44757</v>
      </c>
      <c r="G1736" t="str">
        <f>"700065"</f>
        <v>700065</v>
      </c>
      <c r="H1736" t="str">
        <f>"אלתא מערכות בע""מ"</f>
        <v>אלתא מערכות בע"מ</v>
      </c>
      <c r="I1736" t="str">
        <f>"רחמים זרוק"</f>
        <v>רחמים זרוק</v>
      </c>
      <c r="J1736" t="str">
        <f>"OP-AR03148"</f>
        <v>OP-AR03148</v>
      </c>
      <c r="K1736" s="1" t="str">
        <f>"2019E574-001    BFCU LAB POWER CABLE W2"</f>
        <v>2019E574-001    BFCU LAB POWER CABLE W2</v>
      </c>
      <c r="L1736">
        <v>1</v>
      </c>
      <c r="M1736" t="str">
        <f>"PR22000393"</f>
        <v>PR22000393</v>
      </c>
      <c r="N1736" t="str">
        <f>"E000362820"</f>
        <v>E000362820</v>
      </c>
      <c r="O1736">
        <v>232.22</v>
      </c>
      <c r="P1736" t="str">
        <f>"$"</f>
        <v>$</v>
      </c>
      <c r="Q1736" t="str">
        <f>"117"</f>
        <v>117</v>
      </c>
      <c r="R1736" t="str">
        <f>"רתמות"</f>
        <v>רתמות</v>
      </c>
      <c r="S1736" t="str">
        <f>"040"</f>
        <v>040</v>
      </c>
      <c r="T1736" t="str">
        <f>"עמר ליגל"</f>
        <v>עמר ליגל</v>
      </c>
      <c r="U1736">
        <v>0</v>
      </c>
      <c r="V1736">
        <v>0</v>
      </c>
      <c r="W1736">
        <v>232.22</v>
      </c>
      <c r="X1736">
        <v>232.22</v>
      </c>
      <c r="Z1736" t="str">
        <f>"Y"</f>
        <v>Y</v>
      </c>
      <c r="AA1736">
        <v>0</v>
      </c>
      <c r="AC1736">
        <v>0</v>
      </c>
      <c r="AE1736">
        <v>0</v>
      </c>
      <c r="AF1736">
        <v>0</v>
      </c>
      <c r="AG1736">
        <v>777.7</v>
      </c>
      <c r="AH1736">
        <v>0</v>
      </c>
      <c r="AI1736">
        <v>777.7</v>
      </c>
      <c r="AJ1736">
        <v>232.22</v>
      </c>
      <c r="AK1736">
        <v>232.22</v>
      </c>
      <c r="AL1736" t="str">
        <f>"$"</f>
        <v>$</v>
      </c>
    </row>
    <row r="1737" spans="1:38" x14ac:dyDescent="0.3">
      <c r="A1737" t="str">
        <f>"SO22000203"</f>
        <v>SO22000203</v>
      </c>
      <c r="B1737" t="str">
        <f>"E000362820"</f>
        <v>E000362820</v>
      </c>
      <c r="C1737" t="str">
        <f>"בסיום הרכבה"</f>
        <v>בסיום הרכבה</v>
      </c>
      <c r="E1737" s="3">
        <v>44705</v>
      </c>
      <c r="F1737" s="3">
        <v>44757</v>
      </c>
      <c r="G1737" t="str">
        <f>"700065"</f>
        <v>700065</v>
      </c>
      <c r="H1737" t="str">
        <f>"אלתא מערכות בע""מ"</f>
        <v>אלתא מערכות בע"מ</v>
      </c>
      <c r="I1737" t="str">
        <f>"רחמים זרוק"</f>
        <v>רחמים זרוק</v>
      </c>
      <c r="J1737" t="str">
        <f>"OP-AR03149"</f>
        <v>OP-AR03149</v>
      </c>
      <c r="K1737" s="1" t="str">
        <f>"9001G822-001    HARNESS WB002 - PDU TO XRCU"</f>
        <v>9001G822-001    HARNESS WB002 - PDU TO XRCU</v>
      </c>
      <c r="L1737">
        <v>2</v>
      </c>
      <c r="M1737" t="str">
        <f>"PR22000393"</f>
        <v>PR22000393</v>
      </c>
      <c r="N1737" t="str">
        <f>"E000362820"</f>
        <v>E000362820</v>
      </c>
      <c r="O1737">
        <v>198.79</v>
      </c>
      <c r="P1737" t="str">
        <f>"$"</f>
        <v>$</v>
      </c>
      <c r="Q1737" t="str">
        <f>"117"</f>
        <v>117</v>
      </c>
      <c r="R1737" t="str">
        <f>"רתמות"</f>
        <v>רתמות</v>
      </c>
      <c r="S1737" t="str">
        <f>"040"</f>
        <v>040</v>
      </c>
      <c r="T1737" t="str">
        <f>"עמר ליגל"</f>
        <v>עמר ליגל</v>
      </c>
      <c r="U1737">
        <v>0</v>
      </c>
      <c r="V1737">
        <v>0</v>
      </c>
      <c r="W1737">
        <v>198.79</v>
      </c>
      <c r="X1737">
        <v>397.58</v>
      </c>
      <c r="Z1737" t="str">
        <f>"Y"</f>
        <v>Y</v>
      </c>
      <c r="AA1737">
        <v>0</v>
      </c>
      <c r="AC1737">
        <v>0</v>
      </c>
      <c r="AE1737">
        <v>0</v>
      </c>
      <c r="AF1737">
        <v>0</v>
      </c>
      <c r="AG1737">
        <v>665.75</v>
      </c>
      <c r="AH1737">
        <v>0</v>
      </c>
      <c r="AI1737" s="2">
        <v>1331.5</v>
      </c>
      <c r="AJ1737">
        <v>397.58</v>
      </c>
      <c r="AK1737">
        <v>397.58</v>
      </c>
      <c r="AL1737" t="str">
        <f>"$"</f>
        <v>$</v>
      </c>
    </row>
    <row r="1738" spans="1:38" x14ac:dyDescent="0.3">
      <c r="A1738" t="str">
        <f>"SO22000203"</f>
        <v>SO22000203</v>
      </c>
      <c r="B1738" t="str">
        <f>"E000362820"</f>
        <v>E000362820</v>
      </c>
      <c r="C1738" t="str">
        <f>"בסיום הרכבה"</f>
        <v>בסיום הרכבה</v>
      </c>
      <c r="E1738" s="3">
        <v>44705</v>
      </c>
      <c r="F1738" s="3">
        <v>44757</v>
      </c>
      <c r="G1738" t="str">
        <f>"700065"</f>
        <v>700065</v>
      </c>
      <c r="H1738" t="str">
        <f>"אלתא מערכות בע""מ"</f>
        <v>אלתא מערכות בע"מ</v>
      </c>
      <c r="I1738" t="str">
        <f>"רחמים זרוק"</f>
        <v>רחמים זרוק</v>
      </c>
      <c r="J1738" t="str">
        <f>"OP-AR03150"</f>
        <v>OP-AR03150</v>
      </c>
      <c r="K1738" s="1" t="str">
        <f>"9001G824-001    HARNESS WB004 - PDU TO ETH SWITCH"</f>
        <v>9001G824-001    HARNESS WB004 - PDU TO ETH SWITCH</v>
      </c>
      <c r="L1738">
        <v>2</v>
      </c>
      <c r="M1738" t="str">
        <f>"PR22000393"</f>
        <v>PR22000393</v>
      </c>
      <c r="N1738" t="str">
        <f>"E000362820"</f>
        <v>E000362820</v>
      </c>
      <c r="O1738">
        <v>252.61</v>
      </c>
      <c r="P1738" t="str">
        <f>"$"</f>
        <v>$</v>
      </c>
      <c r="Q1738" t="str">
        <f>"117"</f>
        <v>117</v>
      </c>
      <c r="R1738" t="str">
        <f>"רתמות"</f>
        <v>רתמות</v>
      </c>
      <c r="S1738" t="str">
        <f>"040"</f>
        <v>040</v>
      </c>
      <c r="T1738" t="str">
        <f>"עמר ליגל"</f>
        <v>עמר ליגל</v>
      </c>
      <c r="U1738">
        <v>0</v>
      </c>
      <c r="V1738">
        <v>0</v>
      </c>
      <c r="W1738">
        <v>252.61</v>
      </c>
      <c r="X1738">
        <v>505.22</v>
      </c>
      <c r="Z1738" t="str">
        <f>"Y"</f>
        <v>Y</v>
      </c>
      <c r="AA1738">
        <v>0</v>
      </c>
      <c r="AC1738">
        <v>0</v>
      </c>
      <c r="AE1738">
        <v>0</v>
      </c>
      <c r="AF1738">
        <v>0</v>
      </c>
      <c r="AG1738">
        <v>845.99</v>
      </c>
      <c r="AH1738">
        <v>0</v>
      </c>
      <c r="AI1738" s="2">
        <v>1691.98</v>
      </c>
      <c r="AJ1738">
        <v>505.22</v>
      </c>
      <c r="AK1738">
        <v>505.22</v>
      </c>
      <c r="AL1738" t="str">
        <f>"$"</f>
        <v>$</v>
      </c>
    </row>
    <row r="1739" spans="1:38" x14ac:dyDescent="0.3">
      <c r="A1739" t="str">
        <f>"SO22000203"</f>
        <v>SO22000203</v>
      </c>
      <c r="B1739" t="str">
        <f>"E000362820"</f>
        <v>E000362820</v>
      </c>
      <c r="C1739" t="str">
        <f>"בסיום הרכבה"</f>
        <v>בסיום הרכבה</v>
      </c>
      <c r="E1739" s="3">
        <v>44705</v>
      </c>
      <c r="F1739" s="3">
        <v>44757</v>
      </c>
      <c r="G1739" t="str">
        <f>"700065"</f>
        <v>700065</v>
      </c>
      <c r="H1739" t="str">
        <f>"אלתא מערכות בע""מ"</f>
        <v>אלתא מערכות בע"מ</v>
      </c>
      <c r="I1739" t="str">
        <f>"רחמים זרוק"</f>
        <v>רחמים זרוק</v>
      </c>
      <c r="J1739" t="str">
        <f>"OP-AR03151"</f>
        <v>OP-AR03151</v>
      </c>
      <c r="K1739" s="1" t="str">
        <f>"9009M461-001    HARNESS WRS61 - INPUT POERT CABLE"</f>
        <v>9009M461-001    HARNESS WRS61 - INPUT POERT CABLE</v>
      </c>
      <c r="L1739">
        <v>1</v>
      </c>
      <c r="M1739" t="str">
        <f>"PR22000393"</f>
        <v>PR22000393</v>
      </c>
      <c r="N1739" t="str">
        <f>"E000362820"</f>
        <v>E000362820</v>
      </c>
      <c r="O1739">
        <v>331.89</v>
      </c>
      <c r="P1739" t="str">
        <f>"$"</f>
        <v>$</v>
      </c>
      <c r="Q1739" t="str">
        <f>"117"</f>
        <v>117</v>
      </c>
      <c r="R1739" t="str">
        <f>"רתמות"</f>
        <v>רתמות</v>
      </c>
      <c r="S1739" t="str">
        <f>"040"</f>
        <v>040</v>
      </c>
      <c r="T1739" t="str">
        <f>"עמר ליגל"</f>
        <v>עמר ליגל</v>
      </c>
      <c r="U1739">
        <v>0</v>
      </c>
      <c r="V1739">
        <v>0</v>
      </c>
      <c r="W1739">
        <v>331.89</v>
      </c>
      <c r="X1739">
        <v>331.89</v>
      </c>
      <c r="Z1739" t="str">
        <f>"Y"</f>
        <v>Y</v>
      </c>
      <c r="AA1739">
        <v>0</v>
      </c>
      <c r="AC1739">
        <v>0</v>
      </c>
      <c r="AE1739">
        <v>0</v>
      </c>
      <c r="AF1739">
        <v>0</v>
      </c>
      <c r="AG1739" s="2">
        <v>1111.5</v>
      </c>
      <c r="AH1739">
        <v>0</v>
      </c>
      <c r="AI1739" s="2">
        <v>1111.5</v>
      </c>
      <c r="AJ1739">
        <v>331.89</v>
      </c>
      <c r="AK1739">
        <v>331.89</v>
      </c>
      <c r="AL1739" t="str">
        <f>"$"</f>
        <v>$</v>
      </c>
    </row>
    <row r="1740" spans="1:38" x14ac:dyDescent="0.3">
      <c r="A1740" t="str">
        <f>"SO22000203"</f>
        <v>SO22000203</v>
      </c>
      <c r="B1740" t="str">
        <f>"E000362820"</f>
        <v>E000362820</v>
      </c>
      <c r="C1740" t="str">
        <f>"בסיום הרכבה"</f>
        <v>בסיום הרכבה</v>
      </c>
      <c r="E1740" s="3">
        <v>44705</v>
      </c>
      <c r="F1740" s="3">
        <v>44757</v>
      </c>
      <c r="G1740" t="str">
        <f>"700065"</f>
        <v>700065</v>
      </c>
      <c r="H1740" t="str">
        <f>"אלתא מערכות בע""מ"</f>
        <v>אלתא מערכות בע"מ</v>
      </c>
      <c r="I1740" t="str">
        <f>"רחמים זרוק"</f>
        <v>רחמים זרוק</v>
      </c>
      <c r="J1740" t="str">
        <f>"OP-AR03152"</f>
        <v>OP-AR03152</v>
      </c>
      <c r="K1740" s="1" t="str">
        <f>"9001G823-001    HARNESS WB003 - DSGUS TEMP SENSORS"</f>
        <v>9001G823-001    HARNESS WB003 - DSGUS TEMP SENSORS</v>
      </c>
      <c r="L1740">
        <v>2</v>
      </c>
      <c r="M1740" t="str">
        <f>"PR22000393"</f>
        <v>PR22000393</v>
      </c>
      <c r="N1740" t="str">
        <f>"E000362820"</f>
        <v>E000362820</v>
      </c>
      <c r="O1740" s="2">
        <v>1059.49</v>
      </c>
      <c r="P1740" t="str">
        <f>"$"</f>
        <v>$</v>
      </c>
      <c r="Q1740" t="str">
        <f>"117"</f>
        <v>117</v>
      </c>
      <c r="R1740" t="str">
        <f>"רתמות"</f>
        <v>רתמות</v>
      </c>
      <c r="S1740" t="str">
        <f>"040"</f>
        <v>040</v>
      </c>
      <c r="T1740" t="str">
        <f>"עמר ליגל"</f>
        <v>עמר ליגל</v>
      </c>
      <c r="U1740">
        <v>0</v>
      </c>
      <c r="V1740">
        <v>0</v>
      </c>
      <c r="W1740" s="2">
        <v>1059.49</v>
      </c>
      <c r="X1740" s="2">
        <v>2118.98</v>
      </c>
      <c r="Z1740" t="str">
        <f>"Y"</f>
        <v>Y</v>
      </c>
      <c r="AA1740">
        <v>0</v>
      </c>
      <c r="AC1740">
        <v>0</v>
      </c>
      <c r="AE1740">
        <v>0</v>
      </c>
      <c r="AF1740">
        <v>0</v>
      </c>
      <c r="AG1740" s="2">
        <v>3548.23</v>
      </c>
      <c r="AH1740">
        <v>0</v>
      </c>
      <c r="AI1740" s="2">
        <v>7096.46</v>
      </c>
      <c r="AJ1740" s="2">
        <v>2118.98</v>
      </c>
      <c r="AK1740" s="2">
        <v>2118.98</v>
      </c>
      <c r="AL1740" t="str">
        <f>"$"</f>
        <v>$</v>
      </c>
    </row>
    <row r="1741" spans="1:38" x14ac:dyDescent="0.3">
      <c r="A1741" t="str">
        <f>"SO22000203"</f>
        <v>SO22000203</v>
      </c>
      <c r="B1741" t="str">
        <f>"E000362820"</f>
        <v>E000362820</v>
      </c>
      <c r="C1741" t="str">
        <f>"בסיום הרכבה"</f>
        <v>בסיום הרכבה</v>
      </c>
      <c r="E1741" s="3">
        <v>44705</v>
      </c>
      <c r="F1741" s="3">
        <v>44576</v>
      </c>
      <c r="G1741" t="str">
        <f>"700065"</f>
        <v>700065</v>
      </c>
      <c r="H1741" t="str">
        <f>"אלתא מערכות בע""מ"</f>
        <v>אלתא מערכות בע"מ</v>
      </c>
      <c r="I1741" t="str">
        <f>"רחמים זרוק"</f>
        <v>רחמים זרוק</v>
      </c>
      <c r="J1741" t="str">
        <f>"OP-AR03153"</f>
        <v>OP-AR03153</v>
      </c>
      <c r="K1741" s="1" t="str">
        <f>"9001G825-001    HARNESS WB005 - CONTROL ETH SWITCH"</f>
        <v>9001G825-001    HARNESS WB005 - CONTROL ETH SWITCH</v>
      </c>
      <c r="L1741">
        <v>3</v>
      </c>
      <c r="M1741" t="str">
        <f>"PR22000393"</f>
        <v>PR22000393</v>
      </c>
      <c r="N1741" t="str">
        <f>"E000362820"</f>
        <v>E000362820</v>
      </c>
      <c r="O1741">
        <v>480.38</v>
      </c>
      <c r="P1741" t="str">
        <f>"$"</f>
        <v>$</v>
      </c>
      <c r="Q1741" t="str">
        <f>"117"</f>
        <v>117</v>
      </c>
      <c r="R1741" t="str">
        <f>"רתמות"</f>
        <v>רתמות</v>
      </c>
      <c r="S1741" t="str">
        <f>"040"</f>
        <v>040</v>
      </c>
      <c r="T1741" t="str">
        <f>"עמר ליגל"</f>
        <v>עמר ליגל</v>
      </c>
      <c r="U1741">
        <v>0</v>
      </c>
      <c r="V1741">
        <v>0</v>
      </c>
      <c r="W1741">
        <v>480.38</v>
      </c>
      <c r="X1741" s="2">
        <v>1441.14</v>
      </c>
      <c r="Z1741" t="str">
        <f>"Y"</f>
        <v>Y</v>
      </c>
      <c r="AA1741">
        <v>0</v>
      </c>
      <c r="AC1741">
        <v>0</v>
      </c>
      <c r="AE1741">
        <v>0</v>
      </c>
      <c r="AF1741">
        <v>0</v>
      </c>
      <c r="AG1741" s="2">
        <v>1608.79</v>
      </c>
      <c r="AH1741">
        <v>0</v>
      </c>
      <c r="AI1741" s="2">
        <v>4826.38</v>
      </c>
      <c r="AJ1741" s="2">
        <v>1441.14</v>
      </c>
      <c r="AK1741" s="2">
        <v>1441.14</v>
      </c>
      <c r="AL1741" t="str">
        <f>"$"</f>
        <v>$</v>
      </c>
    </row>
    <row r="1742" spans="1:38" x14ac:dyDescent="0.3">
      <c r="A1742" t="str">
        <f>"SO22000204"</f>
        <v>SO22000204</v>
      </c>
      <c r="B1742" t="str">
        <f>"תל שמיים"</f>
        <v>תל שמיים</v>
      </c>
      <c r="C1742" t="str">
        <f>"מאושרת לבצוע"</f>
        <v>מאושרת לבצוע</v>
      </c>
      <c r="E1742" s="3">
        <v>44705</v>
      </c>
      <c r="F1742" s="3">
        <v>44705</v>
      </c>
      <c r="G1742" t="str">
        <f>"700065"</f>
        <v>700065</v>
      </c>
      <c r="H1742" t="str">
        <f>"אלתא מערכות בע""מ"</f>
        <v>אלתא מערכות בע"מ</v>
      </c>
      <c r="I1742" t="str">
        <f>"רוני דידי"</f>
        <v>רוני דידי</v>
      </c>
      <c r="J1742" t="str">
        <f>"000"</f>
        <v>000</v>
      </c>
      <c r="K1742" s="1" t="str">
        <f>"תיקון 1035E004-001"</f>
        <v>תיקון 1035E004-001</v>
      </c>
      <c r="L1742">
        <v>1</v>
      </c>
      <c r="O1742">
        <v>0</v>
      </c>
      <c r="P1742" t="str">
        <f>"$"</f>
        <v>$</v>
      </c>
      <c r="Q1742" t="str">
        <f>"117"</f>
        <v>117</v>
      </c>
      <c r="R1742" t="str">
        <f>"רתמות"</f>
        <v>רתמות</v>
      </c>
      <c r="S1742" t="str">
        <f>"007"</f>
        <v>007</v>
      </c>
      <c r="T1742" t="str">
        <f>"עמר ליגל"</f>
        <v>עמר ליגל</v>
      </c>
      <c r="U1742">
        <v>0</v>
      </c>
      <c r="V1742">
        <v>0</v>
      </c>
      <c r="W1742">
        <v>0</v>
      </c>
      <c r="X1742">
        <v>0</v>
      </c>
      <c r="Z1742" t="str">
        <f>"Y"</f>
        <v>Y</v>
      </c>
      <c r="AA1742">
        <v>1</v>
      </c>
      <c r="AC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 t="str">
        <f>"$"</f>
        <v>$</v>
      </c>
    </row>
    <row r="1743" spans="1:38" x14ac:dyDescent="0.3">
      <c r="A1743" t="str">
        <f>"SO22000207"</f>
        <v>SO22000207</v>
      </c>
      <c r="B1743" t="str">
        <f>"E000365917"</f>
        <v>E000365917</v>
      </c>
      <c r="C1743" t="str">
        <f>"בוצעה"</f>
        <v>בוצעה</v>
      </c>
      <c r="E1743" s="3">
        <v>44707</v>
      </c>
      <c r="F1743" s="3">
        <v>44925</v>
      </c>
      <c r="G1743" t="str">
        <f>"700065"</f>
        <v>700065</v>
      </c>
      <c r="H1743" t="str">
        <f>"אלתא מערכות בע""מ"</f>
        <v>אלתא מערכות בע"מ</v>
      </c>
      <c r="I1743" t="str">
        <f>"רוני דידי"</f>
        <v>רוני דידי</v>
      </c>
      <c r="J1743" t="str">
        <f>"000"</f>
        <v>000</v>
      </c>
      <c r="K1743" s="1" t="str">
        <f>"החלפת מפסק"</f>
        <v>החלפת מפסק</v>
      </c>
      <c r="L1743">
        <v>1</v>
      </c>
      <c r="O1743" s="2">
        <v>1202</v>
      </c>
      <c r="P1743" t="str">
        <f>"$"</f>
        <v>$</v>
      </c>
      <c r="Q1743" t="str">
        <f>"111"</f>
        <v>111</v>
      </c>
      <c r="R1743" t="str">
        <f>"מכירה"</f>
        <v>מכירה</v>
      </c>
      <c r="S1743" t="str">
        <f>"007"</f>
        <v>007</v>
      </c>
      <c r="T1743" t="str">
        <f>"עמר ליגל"</f>
        <v>עמר ליגל</v>
      </c>
      <c r="U1743">
        <v>0</v>
      </c>
      <c r="V1743">
        <v>0</v>
      </c>
      <c r="W1743" s="2">
        <v>1202</v>
      </c>
      <c r="X1743" s="2">
        <v>1202</v>
      </c>
      <c r="Z1743" t="str">
        <f>"Y"</f>
        <v>Y</v>
      </c>
      <c r="AA1743">
        <v>1</v>
      </c>
      <c r="AC1743">
        <v>0</v>
      </c>
      <c r="AE1743">
        <v>0</v>
      </c>
      <c r="AF1743">
        <v>0</v>
      </c>
      <c r="AG1743" s="2">
        <v>4042.33</v>
      </c>
      <c r="AH1743">
        <v>0</v>
      </c>
      <c r="AI1743" s="2">
        <v>4042.33</v>
      </c>
      <c r="AJ1743" s="2">
        <v>1202</v>
      </c>
      <c r="AK1743" s="2">
        <v>1202</v>
      </c>
      <c r="AL1743" t="str">
        <f>"$"</f>
        <v>$</v>
      </c>
    </row>
    <row r="1744" spans="1:38" x14ac:dyDescent="0.3">
      <c r="A1744" t="str">
        <f>"SO22000208"</f>
        <v>SO22000208</v>
      </c>
      <c r="B1744" t="str">
        <f>"E000364729"</f>
        <v>E000364729</v>
      </c>
      <c r="C1744" t="str">
        <f>"בסיום הרכבה"</f>
        <v>בסיום הרכבה</v>
      </c>
      <c r="E1744" s="3">
        <v>44707</v>
      </c>
      <c r="F1744" s="3">
        <v>44772</v>
      </c>
      <c r="G1744" t="str">
        <f>"700065"</f>
        <v>700065</v>
      </c>
      <c r="H1744" t="str">
        <f>"אלתא מערכות בע""מ"</f>
        <v>אלתא מערכות בע"מ</v>
      </c>
      <c r="I1744" t="str">
        <f>"רחמים זרוק"</f>
        <v>רחמים זרוק</v>
      </c>
      <c r="J1744" t="str">
        <f>"OP-AR03144"</f>
        <v>OP-AR03144</v>
      </c>
      <c r="K1744" s="1" t="str">
        <f>"1031Y851-001    WL102 - LAB PS1 TO TRU"</f>
        <v>1031Y851-001    WL102 - LAB PS1 TO TRU</v>
      </c>
      <c r="L1744">
        <v>1</v>
      </c>
      <c r="M1744" t="str">
        <f>"PR22000389"</f>
        <v>PR22000389</v>
      </c>
      <c r="N1744" t="str">
        <f>"E000364729"</f>
        <v>E000364729</v>
      </c>
      <c r="O1744">
        <v>432.75</v>
      </c>
      <c r="P1744" t="str">
        <f>"$"</f>
        <v>$</v>
      </c>
      <c r="Q1744" t="str">
        <f>"117"</f>
        <v>117</v>
      </c>
      <c r="R1744" t="str">
        <f>"רתמות"</f>
        <v>רתמות</v>
      </c>
      <c r="S1744" t="str">
        <f>"040"</f>
        <v>040</v>
      </c>
      <c r="T1744" t="str">
        <f>"עמר ליגל"</f>
        <v>עמר ליגל</v>
      </c>
      <c r="U1744">
        <v>0</v>
      </c>
      <c r="V1744">
        <v>0</v>
      </c>
      <c r="W1744">
        <v>432.75</v>
      </c>
      <c r="X1744">
        <v>432.75</v>
      </c>
      <c r="Z1744" t="str">
        <f>"Y"</f>
        <v>Y</v>
      </c>
      <c r="AA1744">
        <v>0</v>
      </c>
      <c r="AC1744">
        <v>0</v>
      </c>
      <c r="AE1744">
        <v>0</v>
      </c>
      <c r="AF1744">
        <v>0</v>
      </c>
      <c r="AG1744" s="2">
        <v>1455.34</v>
      </c>
      <c r="AH1744">
        <v>0</v>
      </c>
      <c r="AI1744" s="2">
        <v>1455.34</v>
      </c>
      <c r="AJ1744">
        <v>432.75</v>
      </c>
      <c r="AK1744">
        <v>432.75</v>
      </c>
      <c r="AL1744" t="str">
        <f>"$"</f>
        <v>$</v>
      </c>
    </row>
    <row r="1745" spans="1:38" x14ac:dyDescent="0.3">
      <c r="A1745" t="str">
        <f>"SO22000208"</f>
        <v>SO22000208</v>
      </c>
      <c r="B1745" t="str">
        <f>"E000364729"</f>
        <v>E000364729</v>
      </c>
      <c r="C1745" t="str">
        <f>"בסיום הרכבה"</f>
        <v>בסיום הרכבה</v>
      </c>
      <c r="E1745" s="3">
        <v>44707</v>
      </c>
      <c r="F1745" s="3">
        <v>44772</v>
      </c>
      <c r="G1745" t="str">
        <f>"700065"</f>
        <v>700065</v>
      </c>
      <c r="H1745" t="str">
        <f>"אלתא מערכות בע""מ"</f>
        <v>אלתא מערכות בע"מ</v>
      </c>
      <c r="I1745" t="str">
        <f>"רחמים זרוק"</f>
        <v>רחמים זרוק</v>
      </c>
      <c r="J1745" t="str">
        <f>"OP-AR03145"</f>
        <v>OP-AR03145</v>
      </c>
      <c r="K1745" s="1" t="str">
        <f>"1031Y852-001    WL103- LAB PS1 TO TRU"</f>
        <v>1031Y852-001    WL103- LAB PS1 TO TRU</v>
      </c>
      <c r="L1745">
        <v>1</v>
      </c>
      <c r="M1745" t="str">
        <f>"PR22000389"</f>
        <v>PR22000389</v>
      </c>
      <c r="N1745" t="str">
        <f>"E000364729"</f>
        <v>E000364729</v>
      </c>
      <c r="O1745">
        <v>375.78</v>
      </c>
      <c r="P1745" t="str">
        <f>"$"</f>
        <v>$</v>
      </c>
      <c r="Q1745" t="str">
        <f>"117"</f>
        <v>117</v>
      </c>
      <c r="R1745" t="str">
        <f>"רתמות"</f>
        <v>רתמות</v>
      </c>
      <c r="S1745" t="str">
        <f>"040"</f>
        <v>040</v>
      </c>
      <c r="T1745" t="str">
        <f>"עמר ליגל"</f>
        <v>עמר ליגל</v>
      </c>
      <c r="U1745">
        <v>0</v>
      </c>
      <c r="V1745">
        <v>0</v>
      </c>
      <c r="W1745">
        <v>375.78</v>
      </c>
      <c r="X1745">
        <v>375.78</v>
      </c>
      <c r="Z1745" t="str">
        <f>"Y"</f>
        <v>Y</v>
      </c>
      <c r="AA1745">
        <v>0</v>
      </c>
      <c r="AC1745">
        <v>0</v>
      </c>
      <c r="AE1745">
        <v>0</v>
      </c>
      <c r="AF1745">
        <v>0</v>
      </c>
      <c r="AG1745" s="2">
        <v>1263.75</v>
      </c>
      <c r="AH1745">
        <v>0</v>
      </c>
      <c r="AI1745" s="2">
        <v>1263.75</v>
      </c>
      <c r="AJ1745">
        <v>375.78</v>
      </c>
      <c r="AK1745">
        <v>375.78</v>
      </c>
      <c r="AL1745" t="str">
        <f>"$"</f>
        <v>$</v>
      </c>
    </row>
    <row r="1746" spans="1:38" x14ac:dyDescent="0.3">
      <c r="A1746" t="str">
        <f>"SO22000213"</f>
        <v>SO22000213</v>
      </c>
      <c r="B1746" t="str">
        <f>"פנמית"</f>
        <v>פנמית</v>
      </c>
      <c r="C1746" t="str">
        <f>"בוצעה"</f>
        <v>בוצעה</v>
      </c>
      <c r="E1746" s="3">
        <v>44713</v>
      </c>
      <c r="F1746" s="3">
        <v>44713</v>
      </c>
      <c r="G1746" t="str">
        <f>"700065"</f>
        <v>700065</v>
      </c>
      <c r="H1746" t="str">
        <f>"אלתא מערכות בע""מ"</f>
        <v>אלתא מערכות בע"מ</v>
      </c>
      <c r="I1746" t="str">
        <f>"ערן שלו"</f>
        <v>ערן שלו</v>
      </c>
      <c r="J1746" t="str">
        <f>"PS0230062"</f>
        <v>PS0230062</v>
      </c>
      <c r="K1746" s="1" t="str">
        <f>"ספק כוח דגם Rectifier DPR 4000B-48 (TPS1010016A)"</f>
        <v>ספק כוח דגם Rectifier DPR 4000B-48 (TPS1010016A)</v>
      </c>
      <c r="L1746">
        <v>2</v>
      </c>
      <c r="M1746" t="str">
        <f>"PR22000437"</f>
        <v>PR22000437</v>
      </c>
      <c r="N1746" t="str">
        <f>"PS0230062"</f>
        <v>PS0230062</v>
      </c>
      <c r="O1746">
        <v>0</v>
      </c>
      <c r="P1746" t="str">
        <f>"$"</f>
        <v>$</v>
      </c>
      <c r="Q1746" t="str">
        <f>"070"</f>
        <v>070</v>
      </c>
      <c r="R1746" t="str">
        <f>"הזמנה פנימית"</f>
        <v>הזמנה פנימית</v>
      </c>
      <c r="S1746" t="str">
        <f>"034"</f>
        <v>034</v>
      </c>
      <c r="T1746" t="str">
        <f>"גנם הודיה"</f>
        <v>גנם הודיה</v>
      </c>
      <c r="U1746">
        <v>0</v>
      </c>
      <c r="V1746">
        <v>0</v>
      </c>
      <c r="W1746">
        <v>0</v>
      </c>
      <c r="X1746">
        <v>0</v>
      </c>
      <c r="Z1746" t="str">
        <f>"Y"</f>
        <v>Y</v>
      </c>
      <c r="AA1746">
        <v>0</v>
      </c>
      <c r="AC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 t="str">
        <f>"$"</f>
        <v>$</v>
      </c>
    </row>
    <row r="1747" spans="1:38" x14ac:dyDescent="0.3">
      <c r="A1747" t="str">
        <f>"SO22000214"</f>
        <v>SO22000214</v>
      </c>
      <c r="B1747" t="str">
        <f>"E000365713"</f>
        <v>E000365713</v>
      </c>
      <c r="C1747" t="str">
        <f>"בסיום הרכבה"</f>
        <v>בסיום הרכבה</v>
      </c>
      <c r="E1747" s="3">
        <v>44714</v>
      </c>
      <c r="F1747" s="3">
        <v>44834</v>
      </c>
      <c r="G1747" t="str">
        <f>"700065"</f>
        <v>700065</v>
      </c>
      <c r="H1747" t="str">
        <f>"אלתא מערכות בע""מ"</f>
        <v>אלתא מערכות בע"מ</v>
      </c>
      <c r="I1747" t="str">
        <f>"רחמים זרוק"</f>
        <v>רחמים זרוק</v>
      </c>
      <c r="J1747" t="str">
        <f>"OP-AR03155"</f>
        <v>OP-AR03155</v>
      </c>
      <c r="K1747" s="1" t="str">
        <f>"1021M777-002    CABLE ASSY W8"</f>
        <v>1021M777-002    CABLE ASSY W8</v>
      </c>
      <c r="L1747">
        <v>1</v>
      </c>
      <c r="M1747" t="str">
        <f>"PR22000440"</f>
        <v>PR22000440</v>
      </c>
      <c r="N1747" t="str">
        <f>"E000365713"</f>
        <v>E000365713</v>
      </c>
      <c r="O1747">
        <v>215.32</v>
      </c>
      <c r="P1747" t="str">
        <f>"$"</f>
        <v>$</v>
      </c>
      <c r="Q1747" t="str">
        <f>"117"</f>
        <v>117</v>
      </c>
      <c r="R1747" t="str">
        <f>"רתמות"</f>
        <v>רתמות</v>
      </c>
      <c r="S1747" t="str">
        <f>"040"</f>
        <v>040</v>
      </c>
      <c r="T1747" t="str">
        <f>"עמר ליגל"</f>
        <v>עמר ליגל</v>
      </c>
      <c r="U1747">
        <v>0</v>
      </c>
      <c r="V1747">
        <v>0</v>
      </c>
      <c r="W1747">
        <v>215.32</v>
      </c>
      <c r="X1747">
        <v>215.32</v>
      </c>
      <c r="Z1747" t="str">
        <f>"Y"</f>
        <v>Y</v>
      </c>
      <c r="AA1747">
        <v>0</v>
      </c>
      <c r="AC1747">
        <v>0</v>
      </c>
      <c r="AE1747">
        <v>0</v>
      </c>
      <c r="AF1747">
        <v>0</v>
      </c>
      <c r="AG1747">
        <v>719.17</v>
      </c>
      <c r="AH1747">
        <v>0</v>
      </c>
      <c r="AI1747">
        <v>719.17</v>
      </c>
      <c r="AJ1747">
        <v>215.32</v>
      </c>
      <c r="AK1747">
        <v>215.32</v>
      </c>
      <c r="AL1747" t="str">
        <f>"$"</f>
        <v>$</v>
      </c>
    </row>
    <row r="1748" spans="1:38" x14ac:dyDescent="0.3">
      <c r="A1748" t="str">
        <f>"SO22000214"</f>
        <v>SO22000214</v>
      </c>
      <c r="B1748" t="str">
        <f>"E000365713"</f>
        <v>E000365713</v>
      </c>
      <c r="C1748" t="str">
        <f>"בסיום הרכבה"</f>
        <v>בסיום הרכבה</v>
      </c>
      <c r="E1748" s="3">
        <v>44714</v>
      </c>
      <c r="F1748" s="3">
        <v>44834</v>
      </c>
      <c r="G1748" t="str">
        <f>"700065"</f>
        <v>700065</v>
      </c>
      <c r="H1748" t="str">
        <f>"אלתא מערכות בע""מ"</f>
        <v>אלתא מערכות בע"מ</v>
      </c>
      <c r="I1748" t="str">
        <f>"רחמים זרוק"</f>
        <v>רחמים זרוק</v>
      </c>
      <c r="J1748" t="str">
        <f>"OP-AR03156"</f>
        <v>OP-AR03156</v>
      </c>
      <c r="K1748" s="1" t="str">
        <f>"2011E142-001    CABLE ASSY VGA"</f>
        <v>2011E142-001    CABLE ASSY VGA</v>
      </c>
      <c r="L1748">
        <v>1</v>
      </c>
      <c r="M1748" t="str">
        <f>"PR22000440"</f>
        <v>PR22000440</v>
      </c>
      <c r="N1748" t="str">
        <f>"E000365713"</f>
        <v>E000365713</v>
      </c>
      <c r="O1748">
        <v>213.22</v>
      </c>
      <c r="P1748" t="str">
        <f>"$"</f>
        <v>$</v>
      </c>
      <c r="Q1748" t="str">
        <f>"117"</f>
        <v>117</v>
      </c>
      <c r="R1748" t="str">
        <f>"רתמות"</f>
        <v>רתמות</v>
      </c>
      <c r="S1748" t="str">
        <f>"040"</f>
        <v>040</v>
      </c>
      <c r="T1748" t="str">
        <f>"עמר ליגל"</f>
        <v>עמר ליגל</v>
      </c>
      <c r="U1748">
        <v>0</v>
      </c>
      <c r="V1748">
        <v>0</v>
      </c>
      <c r="W1748">
        <v>213.22</v>
      </c>
      <c r="X1748">
        <v>213.22</v>
      </c>
      <c r="Z1748" t="str">
        <f>"Y"</f>
        <v>Y</v>
      </c>
      <c r="AA1748">
        <v>0</v>
      </c>
      <c r="AC1748">
        <v>0</v>
      </c>
      <c r="AE1748">
        <v>0</v>
      </c>
      <c r="AF1748">
        <v>0</v>
      </c>
      <c r="AG1748">
        <v>712.15</v>
      </c>
      <c r="AH1748">
        <v>0</v>
      </c>
      <c r="AI1748">
        <v>712.15</v>
      </c>
      <c r="AJ1748">
        <v>213.22</v>
      </c>
      <c r="AK1748">
        <v>213.22</v>
      </c>
      <c r="AL1748" t="str">
        <f>"$"</f>
        <v>$</v>
      </c>
    </row>
    <row r="1749" spans="1:38" x14ac:dyDescent="0.3">
      <c r="A1749" t="str">
        <f>"SO22000214"</f>
        <v>SO22000214</v>
      </c>
      <c r="B1749" t="str">
        <f>"E000365713"</f>
        <v>E000365713</v>
      </c>
      <c r="C1749" t="str">
        <f>"בסיום הרכבה"</f>
        <v>בסיום הרכבה</v>
      </c>
      <c r="E1749" s="3">
        <v>44714</v>
      </c>
      <c r="F1749" s="3">
        <v>44834</v>
      </c>
      <c r="G1749" t="str">
        <f>"700065"</f>
        <v>700065</v>
      </c>
      <c r="H1749" t="str">
        <f>"אלתא מערכות בע""מ"</f>
        <v>אלתא מערכות בע"מ</v>
      </c>
      <c r="I1749" t="str">
        <f>"רחמים זרוק"</f>
        <v>רחמים זרוק</v>
      </c>
      <c r="J1749" t="str">
        <f>"OP-AR03011"</f>
        <v>OP-AR03011</v>
      </c>
      <c r="K1749" s="1" t="str">
        <f>"2083B310-002   VPW2 CABLE ASSY"</f>
        <v>2083B310-002   VPW2 CABLE ASSY</v>
      </c>
      <c r="L1749">
        <v>1</v>
      </c>
      <c r="M1749" t="str">
        <f>"PR22000440"</f>
        <v>PR22000440</v>
      </c>
      <c r="N1749" t="str">
        <f>"E000365713"</f>
        <v>E000365713</v>
      </c>
      <c r="O1749" s="2">
        <v>1022.92</v>
      </c>
      <c r="P1749" t="str">
        <f>"$"</f>
        <v>$</v>
      </c>
      <c r="Q1749" t="str">
        <f>"117"</f>
        <v>117</v>
      </c>
      <c r="R1749" t="str">
        <f>"רתמות"</f>
        <v>רתמות</v>
      </c>
      <c r="S1749" t="str">
        <f>"040"</f>
        <v>040</v>
      </c>
      <c r="T1749" t="str">
        <f>"עמר ליגל"</f>
        <v>עמר ליגל</v>
      </c>
      <c r="U1749">
        <v>0</v>
      </c>
      <c r="V1749">
        <v>0</v>
      </c>
      <c r="W1749" s="2">
        <v>1022.92</v>
      </c>
      <c r="X1749" s="2">
        <v>1022.92</v>
      </c>
      <c r="Z1749" t="str">
        <f>"Y"</f>
        <v>Y</v>
      </c>
      <c r="AA1749">
        <v>0</v>
      </c>
      <c r="AC1749">
        <v>0</v>
      </c>
      <c r="AE1749">
        <v>0</v>
      </c>
      <c r="AF1749">
        <v>0</v>
      </c>
      <c r="AG1749" s="2">
        <v>3416.55</v>
      </c>
      <c r="AH1749">
        <v>0</v>
      </c>
      <c r="AI1749" s="2">
        <v>3416.55</v>
      </c>
      <c r="AJ1749" s="2">
        <v>1022.92</v>
      </c>
      <c r="AK1749" s="2">
        <v>1022.92</v>
      </c>
      <c r="AL1749" t="str">
        <f>"$"</f>
        <v>$</v>
      </c>
    </row>
    <row r="1750" spans="1:38" x14ac:dyDescent="0.3">
      <c r="A1750" t="str">
        <f>"SO22000214"</f>
        <v>SO22000214</v>
      </c>
      <c r="B1750" t="str">
        <f>"E000365713"</f>
        <v>E000365713</v>
      </c>
      <c r="C1750" t="str">
        <f>"בסיום הרכבה"</f>
        <v>בסיום הרכבה</v>
      </c>
      <c r="E1750" s="3">
        <v>44714</v>
      </c>
      <c r="F1750" s="3">
        <v>44834</v>
      </c>
      <c r="G1750" t="str">
        <f>"700065"</f>
        <v>700065</v>
      </c>
      <c r="H1750" t="str">
        <f>"אלתא מערכות בע""מ"</f>
        <v>אלתא מערכות בע"מ</v>
      </c>
      <c r="I1750" t="str">
        <f>"רחמים זרוק"</f>
        <v>רחמים זרוק</v>
      </c>
      <c r="J1750" t="str">
        <f>"OP-AR03157"</f>
        <v>OP-AR03157</v>
      </c>
      <c r="K1750" s="1" t="str">
        <f>"2212B750-001    MULT PS TO PANEL"</f>
        <v>2212B750-001    MULT PS TO PANEL</v>
      </c>
      <c r="L1750">
        <v>1</v>
      </c>
      <c r="M1750" t="str">
        <f>"PR22000440"</f>
        <v>PR22000440</v>
      </c>
      <c r="N1750" t="str">
        <f>"E000365713"</f>
        <v>E000365713</v>
      </c>
      <c r="O1750">
        <v>402.73</v>
      </c>
      <c r="P1750" t="str">
        <f>"$"</f>
        <v>$</v>
      </c>
      <c r="Q1750" t="str">
        <f>"117"</f>
        <v>117</v>
      </c>
      <c r="R1750" t="str">
        <f>"רתמות"</f>
        <v>רתמות</v>
      </c>
      <c r="S1750" t="str">
        <f>"040"</f>
        <v>040</v>
      </c>
      <c r="T1750" t="str">
        <f>"עמר ליגל"</f>
        <v>עמר ליגל</v>
      </c>
      <c r="U1750">
        <v>0</v>
      </c>
      <c r="V1750">
        <v>0</v>
      </c>
      <c r="W1750">
        <v>402.73</v>
      </c>
      <c r="X1750">
        <v>402.73</v>
      </c>
      <c r="Z1750" t="str">
        <f>"Y"</f>
        <v>Y</v>
      </c>
      <c r="AA1750">
        <v>0</v>
      </c>
      <c r="AC1750">
        <v>0</v>
      </c>
      <c r="AE1750">
        <v>0</v>
      </c>
      <c r="AF1750">
        <v>0</v>
      </c>
      <c r="AG1750" s="2">
        <v>1345.12</v>
      </c>
      <c r="AH1750">
        <v>0</v>
      </c>
      <c r="AI1750" s="2">
        <v>1345.12</v>
      </c>
      <c r="AJ1750">
        <v>402.73</v>
      </c>
      <c r="AK1750">
        <v>402.73</v>
      </c>
      <c r="AL1750" t="str">
        <f>"$"</f>
        <v>$</v>
      </c>
    </row>
    <row r="1751" spans="1:38" x14ac:dyDescent="0.3">
      <c r="A1751" t="str">
        <f>"SO22000214"</f>
        <v>SO22000214</v>
      </c>
      <c r="B1751" t="str">
        <f>"E000365713"</f>
        <v>E000365713</v>
      </c>
      <c r="C1751" t="str">
        <f>"בסיום הרכבה"</f>
        <v>בסיום הרכבה</v>
      </c>
      <c r="E1751" s="3">
        <v>44714</v>
      </c>
      <c r="F1751" s="3">
        <v>44834</v>
      </c>
      <c r="G1751" t="str">
        <f>"700065"</f>
        <v>700065</v>
      </c>
      <c r="H1751" t="str">
        <f>"אלתא מערכות בע""מ"</f>
        <v>אלתא מערכות בע"מ</v>
      </c>
      <c r="I1751" t="str">
        <f>"רחמים זרוק"</f>
        <v>רחמים זרוק</v>
      </c>
      <c r="J1751" t="str">
        <f>"OP-AR03157"</f>
        <v>OP-AR03157</v>
      </c>
      <c r="K1751" s="1" t="str">
        <f>"2212B750-001    MULT PS TO PANEL"</f>
        <v>2212B750-001    MULT PS TO PANEL</v>
      </c>
      <c r="L1751">
        <v>1</v>
      </c>
      <c r="M1751" t="str">
        <f>"PR22000440"</f>
        <v>PR22000440</v>
      </c>
      <c r="N1751" t="str">
        <f>"E000365713"</f>
        <v>E000365713</v>
      </c>
      <c r="O1751">
        <v>402.73</v>
      </c>
      <c r="P1751" t="str">
        <f>"$"</f>
        <v>$</v>
      </c>
      <c r="Q1751" t="str">
        <f>"117"</f>
        <v>117</v>
      </c>
      <c r="R1751" t="str">
        <f>"רתמות"</f>
        <v>רתמות</v>
      </c>
      <c r="S1751" t="str">
        <f>"040"</f>
        <v>040</v>
      </c>
      <c r="T1751" t="str">
        <f>"עמר ליגל"</f>
        <v>עמר ליגל</v>
      </c>
      <c r="U1751">
        <v>0</v>
      </c>
      <c r="V1751">
        <v>0</v>
      </c>
      <c r="W1751">
        <v>402.73</v>
      </c>
      <c r="X1751">
        <v>402.73</v>
      </c>
      <c r="Z1751" t="str">
        <f>"Y"</f>
        <v>Y</v>
      </c>
      <c r="AA1751">
        <v>0</v>
      </c>
      <c r="AC1751">
        <v>0</v>
      </c>
      <c r="AE1751">
        <v>0</v>
      </c>
      <c r="AF1751">
        <v>0</v>
      </c>
      <c r="AG1751" s="2">
        <v>1345.12</v>
      </c>
      <c r="AH1751">
        <v>0</v>
      </c>
      <c r="AI1751" s="2">
        <v>1345.12</v>
      </c>
      <c r="AJ1751">
        <v>402.73</v>
      </c>
      <c r="AK1751">
        <v>402.73</v>
      </c>
      <c r="AL1751" t="str">
        <f>"$"</f>
        <v>$</v>
      </c>
    </row>
    <row r="1752" spans="1:38" x14ac:dyDescent="0.3">
      <c r="A1752" t="str">
        <f>"SO22000214"</f>
        <v>SO22000214</v>
      </c>
      <c r="B1752" t="str">
        <f>"E000365713"</f>
        <v>E000365713</v>
      </c>
      <c r="C1752" t="str">
        <f>"בסיום הרכבה"</f>
        <v>בסיום הרכבה</v>
      </c>
      <c r="E1752" s="3">
        <v>44714</v>
      </c>
      <c r="F1752" s="3">
        <v>44834</v>
      </c>
      <c r="G1752" t="str">
        <f>"700065"</f>
        <v>700065</v>
      </c>
      <c r="H1752" t="str">
        <f>"אלתא מערכות בע""מ"</f>
        <v>אלתא מערכות בע"מ</v>
      </c>
      <c r="I1752" t="str">
        <f>"רחמים זרוק"</f>
        <v>רחמים זרוק</v>
      </c>
      <c r="J1752" t="str">
        <f>"OP-AR03158"</f>
        <v>OP-AR03158</v>
      </c>
      <c r="K1752" s="1" t="str">
        <f>"2212B752-001    SNGL PS TO PANEL"</f>
        <v>2212B752-001    SNGL PS TO PANEL</v>
      </c>
      <c r="L1752">
        <v>1</v>
      </c>
      <c r="M1752" t="str">
        <f>"PR22000440"</f>
        <v>PR22000440</v>
      </c>
      <c r="N1752" t="str">
        <f>"E000365713"</f>
        <v>E000365713</v>
      </c>
      <c r="O1752">
        <v>212.02</v>
      </c>
      <c r="P1752" t="str">
        <f>"$"</f>
        <v>$</v>
      </c>
      <c r="Q1752" t="str">
        <f>"117"</f>
        <v>117</v>
      </c>
      <c r="R1752" t="str">
        <f>"רתמות"</f>
        <v>רתמות</v>
      </c>
      <c r="S1752" t="str">
        <f>"040"</f>
        <v>040</v>
      </c>
      <c r="T1752" t="str">
        <f>"עמר ליגל"</f>
        <v>עמר ליגל</v>
      </c>
      <c r="U1752">
        <v>0</v>
      </c>
      <c r="V1752">
        <v>0</v>
      </c>
      <c r="W1752">
        <v>212.02</v>
      </c>
      <c r="X1752">
        <v>212.02</v>
      </c>
      <c r="Z1752" t="str">
        <f>"Y"</f>
        <v>Y</v>
      </c>
      <c r="AA1752">
        <v>0</v>
      </c>
      <c r="AC1752">
        <v>0</v>
      </c>
      <c r="AE1752">
        <v>0</v>
      </c>
      <c r="AF1752">
        <v>0</v>
      </c>
      <c r="AG1752">
        <v>708.15</v>
      </c>
      <c r="AH1752">
        <v>0</v>
      </c>
      <c r="AI1752">
        <v>708.15</v>
      </c>
      <c r="AJ1752">
        <v>212.02</v>
      </c>
      <c r="AK1752">
        <v>212.02</v>
      </c>
      <c r="AL1752" t="str">
        <f>"$"</f>
        <v>$</v>
      </c>
    </row>
    <row r="1753" spans="1:38" x14ac:dyDescent="0.3">
      <c r="A1753" t="str">
        <f>"SO22000214"</f>
        <v>SO22000214</v>
      </c>
      <c r="B1753" t="str">
        <f>"E000365713"</f>
        <v>E000365713</v>
      </c>
      <c r="C1753" t="str">
        <f>"בסיום הרכבה"</f>
        <v>בסיום הרכבה</v>
      </c>
      <c r="E1753" s="3">
        <v>44714</v>
      </c>
      <c r="F1753" s="3">
        <v>44834</v>
      </c>
      <c r="G1753" t="str">
        <f>"700065"</f>
        <v>700065</v>
      </c>
      <c r="H1753" t="str">
        <f>"אלתא מערכות בע""מ"</f>
        <v>אלתא מערכות בע"מ</v>
      </c>
      <c r="I1753" t="str">
        <f>"רחמים זרוק"</f>
        <v>רחמים זרוק</v>
      </c>
      <c r="J1753" t="str">
        <f>"OP-AR03158"</f>
        <v>OP-AR03158</v>
      </c>
      <c r="K1753" s="1" t="str">
        <f>"2212B752-001    SNGL PS TO PANEL"</f>
        <v>2212B752-001    SNGL PS TO PANEL</v>
      </c>
      <c r="L1753">
        <v>1</v>
      </c>
      <c r="M1753" t="str">
        <f>"PR22000440"</f>
        <v>PR22000440</v>
      </c>
      <c r="N1753" t="str">
        <f>"E000365713"</f>
        <v>E000365713</v>
      </c>
      <c r="O1753">
        <v>212.02</v>
      </c>
      <c r="P1753" t="str">
        <f>"$"</f>
        <v>$</v>
      </c>
      <c r="Q1753" t="str">
        <f>"117"</f>
        <v>117</v>
      </c>
      <c r="R1753" t="str">
        <f>"רתמות"</f>
        <v>רתמות</v>
      </c>
      <c r="S1753" t="str">
        <f>"040"</f>
        <v>040</v>
      </c>
      <c r="T1753" t="str">
        <f>"עמר ליגל"</f>
        <v>עמר ליגל</v>
      </c>
      <c r="U1753">
        <v>0</v>
      </c>
      <c r="V1753">
        <v>0</v>
      </c>
      <c r="W1753">
        <v>212.02</v>
      </c>
      <c r="X1753">
        <v>212.02</v>
      </c>
      <c r="Z1753" t="str">
        <f>"Y"</f>
        <v>Y</v>
      </c>
      <c r="AA1753">
        <v>0</v>
      </c>
      <c r="AC1753">
        <v>0</v>
      </c>
      <c r="AE1753">
        <v>0</v>
      </c>
      <c r="AF1753">
        <v>0</v>
      </c>
      <c r="AG1753">
        <v>708.15</v>
      </c>
      <c r="AH1753">
        <v>0</v>
      </c>
      <c r="AI1753">
        <v>708.15</v>
      </c>
      <c r="AJ1753">
        <v>212.02</v>
      </c>
      <c r="AK1753">
        <v>212.02</v>
      </c>
      <c r="AL1753" t="str">
        <f>"$"</f>
        <v>$</v>
      </c>
    </row>
    <row r="1754" spans="1:38" x14ac:dyDescent="0.3">
      <c r="A1754" t="str">
        <f>"SO22000214"</f>
        <v>SO22000214</v>
      </c>
      <c r="B1754" t="str">
        <f>"E000365713"</f>
        <v>E000365713</v>
      </c>
      <c r="C1754" t="str">
        <f>"בסיום הרכבה"</f>
        <v>בסיום הרכבה</v>
      </c>
      <c r="E1754" s="3">
        <v>44714</v>
      </c>
      <c r="F1754" s="3">
        <v>44834</v>
      </c>
      <c r="G1754" t="str">
        <f>"700065"</f>
        <v>700065</v>
      </c>
      <c r="H1754" t="str">
        <f>"אלתא מערכות בע""מ"</f>
        <v>אלתא מערכות בע"מ</v>
      </c>
      <c r="I1754" t="str">
        <f>"רחמים זרוק"</f>
        <v>רחמים זרוק</v>
      </c>
      <c r="J1754" t="str">
        <f>"OP-AR01936"</f>
        <v>OP-AR01936</v>
      </c>
      <c r="K1754" s="1" t="str">
        <f>"1023B564-001   CABLE ASSY WV064"</f>
        <v>1023B564-001   CABLE ASSY WV064</v>
      </c>
      <c r="L1754">
        <v>5</v>
      </c>
      <c r="M1754" t="str">
        <f>"PR22000440"</f>
        <v>PR22000440</v>
      </c>
      <c r="N1754" t="str">
        <f>"E000365713"</f>
        <v>E000365713</v>
      </c>
      <c r="O1754">
        <v>309.24</v>
      </c>
      <c r="P1754" t="str">
        <f>"$"</f>
        <v>$</v>
      </c>
      <c r="Q1754" t="str">
        <f>"117"</f>
        <v>117</v>
      </c>
      <c r="R1754" t="str">
        <f>"רתמות"</f>
        <v>רתמות</v>
      </c>
      <c r="S1754" t="str">
        <f>"040"</f>
        <v>040</v>
      </c>
      <c r="T1754" t="str">
        <f>"עמר ליגל"</f>
        <v>עמר ליגל</v>
      </c>
      <c r="U1754">
        <v>0</v>
      </c>
      <c r="V1754">
        <v>0</v>
      </c>
      <c r="W1754">
        <v>309.24</v>
      </c>
      <c r="X1754" s="2">
        <v>1546.2</v>
      </c>
      <c r="Z1754" t="str">
        <f>"Y"</f>
        <v>Y</v>
      </c>
      <c r="AA1754">
        <v>0</v>
      </c>
      <c r="AC1754">
        <v>0</v>
      </c>
      <c r="AE1754">
        <v>0</v>
      </c>
      <c r="AF1754">
        <v>0</v>
      </c>
      <c r="AG1754" s="2">
        <v>1032.8599999999999</v>
      </c>
      <c r="AH1754">
        <v>0</v>
      </c>
      <c r="AI1754" s="2">
        <v>5164.3100000000004</v>
      </c>
      <c r="AJ1754" s="2">
        <v>1546.2</v>
      </c>
      <c r="AK1754" s="2">
        <v>1546.2</v>
      </c>
      <c r="AL1754" t="str">
        <f>"$"</f>
        <v>$</v>
      </c>
    </row>
    <row r="1755" spans="1:38" x14ac:dyDescent="0.3">
      <c r="A1755" t="str">
        <f>"SO22000214"</f>
        <v>SO22000214</v>
      </c>
      <c r="B1755" t="str">
        <f>"E000365713"</f>
        <v>E000365713</v>
      </c>
      <c r="C1755" t="str">
        <f>"בסיום הרכבה"</f>
        <v>בסיום הרכבה</v>
      </c>
      <c r="E1755" s="3">
        <v>44714</v>
      </c>
      <c r="F1755" s="3">
        <v>44864</v>
      </c>
      <c r="G1755" t="str">
        <f>"700065"</f>
        <v>700065</v>
      </c>
      <c r="H1755" t="str">
        <f>"אלתא מערכות בע""מ"</f>
        <v>אלתא מערכות בע"מ</v>
      </c>
      <c r="I1755" t="str">
        <f>"רחמים זרוק"</f>
        <v>רחמים זרוק</v>
      </c>
      <c r="J1755" t="str">
        <f>"OP-AR01937"</f>
        <v>OP-AR01937</v>
      </c>
      <c r="K1755" s="1" t="str">
        <f>"1023B599-001  WV099 ELEVATION AXIS WARING SWIT"</f>
        <v>1023B599-001  WV099 ELEVATION AXIS WARING SWIT</v>
      </c>
      <c r="L1755">
        <v>5</v>
      </c>
      <c r="M1755" t="str">
        <f>"PR22000440"</f>
        <v>PR22000440</v>
      </c>
      <c r="N1755" t="str">
        <f>"E000365713"</f>
        <v>E000365713</v>
      </c>
      <c r="O1755" s="2">
        <v>1101.68</v>
      </c>
      <c r="P1755" t="str">
        <f>"$"</f>
        <v>$</v>
      </c>
      <c r="Q1755" t="str">
        <f>"117"</f>
        <v>117</v>
      </c>
      <c r="R1755" t="str">
        <f>"רתמות"</f>
        <v>רתמות</v>
      </c>
      <c r="S1755" t="str">
        <f>"040"</f>
        <v>040</v>
      </c>
      <c r="T1755" t="str">
        <f>"עמר ליגל"</f>
        <v>עמר ליגל</v>
      </c>
      <c r="U1755">
        <v>0</v>
      </c>
      <c r="V1755">
        <v>0</v>
      </c>
      <c r="W1755" s="2">
        <v>1101.68</v>
      </c>
      <c r="X1755" s="2">
        <v>5508.4</v>
      </c>
      <c r="Z1755" t="str">
        <f>"Y"</f>
        <v>Y</v>
      </c>
      <c r="AA1755">
        <v>0</v>
      </c>
      <c r="AC1755">
        <v>0</v>
      </c>
      <c r="AE1755">
        <v>0</v>
      </c>
      <c r="AF1755">
        <v>0</v>
      </c>
      <c r="AG1755" s="2">
        <v>3679.61</v>
      </c>
      <c r="AH1755">
        <v>0</v>
      </c>
      <c r="AI1755" s="2">
        <v>18398.060000000001</v>
      </c>
      <c r="AJ1755" s="2">
        <v>5508.4</v>
      </c>
      <c r="AK1755" s="2">
        <v>5508.4</v>
      </c>
      <c r="AL1755" t="str">
        <f>"$"</f>
        <v>$</v>
      </c>
    </row>
    <row r="1756" spans="1:38" x14ac:dyDescent="0.3">
      <c r="A1756" t="str">
        <f>"SO22000214"</f>
        <v>SO22000214</v>
      </c>
      <c r="B1756" t="str">
        <f>"E000365713"</f>
        <v>E000365713</v>
      </c>
      <c r="C1756" t="str">
        <f>"בסיום הרכבה"</f>
        <v>בסיום הרכבה</v>
      </c>
      <c r="E1756" s="3">
        <v>44714</v>
      </c>
      <c r="F1756" s="3">
        <v>44864</v>
      </c>
      <c r="G1756" t="str">
        <f>"700065"</f>
        <v>700065</v>
      </c>
      <c r="H1756" t="str">
        <f>"אלתא מערכות בע""מ"</f>
        <v>אלתא מערכות בע"מ</v>
      </c>
      <c r="I1756" t="str">
        <f>"רחמים זרוק"</f>
        <v>רחמים זרוק</v>
      </c>
      <c r="J1756" t="str">
        <f>"OP-AR01937"</f>
        <v>OP-AR01937</v>
      </c>
      <c r="K1756" s="1" t="str">
        <f>"1023B599-001  WV099 ELEVATION AXIS WARING SWIT"</f>
        <v>1023B599-001  WV099 ELEVATION AXIS WARING SWIT</v>
      </c>
      <c r="L1756">
        <v>4</v>
      </c>
      <c r="M1756" t="str">
        <f>"PR22000440"</f>
        <v>PR22000440</v>
      </c>
      <c r="N1756" t="str">
        <f>"E000365713"</f>
        <v>E000365713</v>
      </c>
      <c r="O1756" s="2">
        <v>1101.68</v>
      </c>
      <c r="P1756" t="str">
        <f>"$"</f>
        <v>$</v>
      </c>
      <c r="Q1756" t="str">
        <f>"117"</f>
        <v>117</v>
      </c>
      <c r="R1756" t="str">
        <f>"רתמות"</f>
        <v>רתמות</v>
      </c>
      <c r="S1756" t="str">
        <f>"040"</f>
        <v>040</v>
      </c>
      <c r="T1756" t="str">
        <f>"עמר ליגל"</f>
        <v>עמר ליגל</v>
      </c>
      <c r="U1756">
        <v>0</v>
      </c>
      <c r="V1756">
        <v>0</v>
      </c>
      <c r="W1756" s="2">
        <v>1101.68</v>
      </c>
      <c r="X1756" s="2">
        <v>4406.72</v>
      </c>
      <c r="Z1756" t="str">
        <f>"Y"</f>
        <v>Y</v>
      </c>
      <c r="AA1756">
        <v>0</v>
      </c>
      <c r="AC1756">
        <v>0</v>
      </c>
      <c r="AE1756">
        <v>0</v>
      </c>
      <c r="AF1756">
        <v>0</v>
      </c>
      <c r="AG1756" s="2">
        <v>3679.61</v>
      </c>
      <c r="AH1756">
        <v>0</v>
      </c>
      <c r="AI1756" s="2">
        <v>14718.44</v>
      </c>
      <c r="AJ1756" s="2">
        <v>4406.72</v>
      </c>
      <c r="AK1756" s="2">
        <v>4406.72</v>
      </c>
      <c r="AL1756" t="str">
        <f>"$"</f>
        <v>$</v>
      </c>
    </row>
    <row r="1757" spans="1:38" x14ac:dyDescent="0.3">
      <c r="A1757" t="str">
        <f>"SO22000221"</f>
        <v>SO22000221</v>
      </c>
      <c r="B1757" t="str">
        <f>"E000364016"</f>
        <v>E000364016</v>
      </c>
      <c r="C1757" t="str">
        <f>"בוצעה"</f>
        <v>בוצעה</v>
      </c>
      <c r="E1757" s="3">
        <v>44720</v>
      </c>
      <c r="F1757" s="3">
        <v>44834</v>
      </c>
      <c r="G1757" t="str">
        <f>"700065"</f>
        <v>700065</v>
      </c>
      <c r="H1757" t="str">
        <f>"אלתא מערכות בע""מ"</f>
        <v>אלתא מערכות בע"מ</v>
      </c>
      <c r="I1757" t="str">
        <f>"ערן שלו"</f>
        <v>ערן שלו</v>
      </c>
      <c r="J1757" t="str">
        <f>"OP-AR02890"</f>
        <v>OP-AR02890</v>
      </c>
      <c r="K1757" s="1" t="str">
        <f>"1023F916-001   WEXT16 CTRL LRC SHELTER TO IFF SYS"</f>
        <v>1023F916-001   WEXT16 CTRL LRC SHELTER TO IFF SYS</v>
      </c>
      <c r="L1757">
        <v>2</v>
      </c>
      <c r="M1757" t="str">
        <f>"PR22000445"</f>
        <v>PR22000445</v>
      </c>
      <c r="N1757" t="str">
        <f>"E000364016"</f>
        <v>E000364016</v>
      </c>
      <c r="O1757" s="2">
        <v>5412.37</v>
      </c>
      <c r="P1757" t="str">
        <f>"$"</f>
        <v>$</v>
      </c>
      <c r="Q1757" t="str">
        <f>"117"</f>
        <v>117</v>
      </c>
      <c r="R1757" t="str">
        <f>"רתמות"</f>
        <v>רתמות</v>
      </c>
      <c r="S1757" t="str">
        <f>"034"</f>
        <v>034</v>
      </c>
      <c r="T1757" t="str">
        <f>"עמר ליגל"</f>
        <v>עמר ליגל</v>
      </c>
      <c r="U1757">
        <v>0</v>
      </c>
      <c r="V1757">
        <v>0</v>
      </c>
      <c r="W1757" s="2">
        <v>5412.37</v>
      </c>
      <c r="X1757" s="2">
        <v>10824.74</v>
      </c>
      <c r="Z1757" t="str">
        <f>"Y"</f>
        <v>Y</v>
      </c>
      <c r="AA1757">
        <v>0</v>
      </c>
      <c r="AC1757">
        <v>0</v>
      </c>
      <c r="AE1757">
        <v>0</v>
      </c>
      <c r="AF1757">
        <v>0</v>
      </c>
      <c r="AG1757" s="2">
        <v>18071.900000000001</v>
      </c>
      <c r="AH1757">
        <v>0</v>
      </c>
      <c r="AI1757" s="2">
        <v>36143.81</v>
      </c>
      <c r="AJ1757" s="2">
        <v>10824.74</v>
      </c>
      <c r="AK1757" s="2">
        <v>10824.74</v>
      </c>
      <c r="AL1757" t="str">
        <f>"$"</f>
        <v>$</v>
      </c>
    </row>
    <row r="1758" spans="1:38" x14ac:dyDescent="0.3">
      <c r="A1758" t="str">
        <f>"SO22000221"</f>
        <v>SO22000221</v>
      </c>
      <c r="B1758" t="str">
        <f>"E000364016"</f>
        <v>E000364016</v>
      </c>
      <c r="C1758" t="str">
        <f>"בוצעה"</f>
        <v>בוצעה</v>
      </c>
      <c r="E1758" s="3">
        <v>44720</v>
      </c>
      <c r="F1758" s="3">
        <v>44901</v>
      </c>
      <c r="G1758" t="str">
        <f>"700065"</f>
        <v>700065</v>
      </c>
      <c r="H1758" t="str">
        <f>"אלתא מערכות בע""מ"</f>
        <v>אלתא מערכות בע"מ</v>
      </c>
      <c r="I1758" t="str">
        <f>"ערן שלו"</f>
        <v>ערן שלו</v>
      </c>
      <c r="J1758" t="str">
        <f>"OP-AR03162"</f>
        <v>OP-AR03162</v>
      </c>
      <c r="K1758" s="1" t="str">
        <f>"1018U224-001   HARNESS WD002 - DS RCS TO EPRCU/S"</f>
        <v>1018U224-001   HARNESS WD002 - DS RCS TO EPRCU/S</v>
      </c>
      <c r="L1758">
        <v>2</v>
      </c>
      <c r="M1758" t="str">
        <f>"PR22000445"</f>
        <v>PR22000445</v>
      </c>
      <c r="N1758" t="str">
        <f>"E000364016"</f>
        <v>E000364016</v>
      </c>
      <c r="O1758">
        <v>920.05</v>
      </c>
      <c r="P1758" t="str">
        <f>"$"</f>
        <v>$</v>
      </c>
      <c r="Q1758" t="str">
        <f>"117"</f>
        <v>117</v>
      </c>
      <c r="R1758" t="str">
        <f>"רתמות"</f>
        <v>רתמות</v>
      </c>
      <c r="S1758" t="str">
        <f>"034"</f>
        <v>034</v>
      </c>
      <c r="T1758" t="str">
        <f>"עמר ליגל"</f>
        <v>עמר ליגל</v>
      </c>
      <c r="U1758">
        <v>0</v>
      </c>
      <c r="V1758">
        <v>0</v>
      </c>
      <c r="W1758">
        <v>920.05</v>
      </c>
      <c r="X1758" s="2">
        <v>1840.1</v>
      </c>
      <c r="Z1758" t="str">
        <f>"Y"</f>
        <v>Y</v>
      </c>
      <c r="AA1758">
        <v>0</v>
      </c>
      <c r="AC1758">
        <v>0</v>
      </c>
      <c r="AE1758">
        <v>0</v>
      </c>
      <c r="AF1758">
        <v>0</v>
      </c>
      <c r="AG1758" s="2">
        <v>3072.05</v>
      </c>
      <c r="AH1758">
        <v>0</v>
      </c>
      <c r="AI1758" s="2">
        <v>6144.09</v>
      </c>
      <c r="AJ1758" s="2">
        <v>1840.1</v>
      </c>
      <c r="AK1758" s="2">
        <v>1840.1</v>
      </c>
      <c r="AL1758" t="str">
        <f>"$"</f>
        <v>$</v>
      </c>
    </row>
    <row r="1759" spans="1:38" x14ac:dyDescent="0.3">
      <c r="A1759" t="str">
        <f>"SO22000221"</f>
        <v>SO22000221</v>
      </c>
      <c r="B1759" t="str">
        <f>"E000364016"</f>
        <v>E000364016</v>
      </c>
      <c r="C1759" t="str">
        <f>"בוצעה"</f>
        <v>בוצעה</v>
      </c>
      <c r="E1759" s="3">
        <v>44720</v>
      </c>
      <c r="F1759" s="3">
        <v>44834</v>
      </c>
      <c r="G1759" t="str">
        <f>"700065"</f>
        <v>700065</v>
      </c>
      <c r="H1759" t="str">
        <f>"אלתא מערכות בע""מ"</f>
        <v>אלתא מערכות בע"מ</v>
      </c>
      <c r="I1759" t="str">
        <f>"ערן שלו"</f>
        <v>ערן שלו</v>
      </c>
      <c r="J1759" t="str">
        <f>"OP-AR03163"</f>
        <v>OP-AR03163</v>
      </c>
      <c r="K1759" s="1" t="str">
        <f>"1018U225-001   HARNESS WD003 - DS RCS TO EPRCU/P"</f>
        <v>1018U225-001   HARNESS WD003 - DS RCS TO EPRCU/P</v>
      </c>
      <c r="L1759">
        <v>2</v>
      </c>
      <c r="M1759" t="str">
        <f>"PR22000445"</f>
        <v>PR22000445</v>
      </c>
      <c r="N1759" t="str">
        <f>"E000364016"</f>
        <v>E000364016</v>
      </c>
      <c r="O1759">
        <v>920.02</v>
      </c>
      <c r="P1759" t="str">
        <f>"$"</f>
        <v>$</v>
      </c>
      <c r="Q1759" t="str">
        <f>"117"</f>
        <v>117</v>
      </c>
      <c r="R1759" t="str">
        <f>"רתמות"</f>
        <v>רתמות</v>
      </c>
      <c r="S1759" t="str">
        <f>"034"</f>
        <v>034</v>
      </c>
      <c r="T1759" t="str">
        <f>"עמר ליגל"</f>
        <v>עמר ליגל</v>
      </c>
      <c r="U1759">
        <v>0</v>
      </c>
      <c r="V1759">
        <v>0</v>
      </c>
      <c r="W1759">
        <v>920.02</v>
      </c>
      <c r="X1759" s="2">
        <v>1840.04</v>
      </c>
      <c r="Z1759" t="str">
        <f>"Y"</f>
        <v>Y</v>
      </c>
      <c r="AA1759">
        <v>0</v>
      </c>
      <c r="AC1759">
        <v>0</v>
      </c>
      <c r="AE1759">
        <v>0</v>
      </c>
      <c r="AF1759">
        <v>0</v>
      </c>
      <c r="AG1759" s="2">
        <v>3071.95</v>
      </c>
      <c r="AH1759">
        <v>0</v>
      </c>
      <c r="AI1759" s="2">
        <v>6143.89</v>
      </c>
      <c r="AJ1759" s="2">
        <v>1840.04</v>
      </c>
      <c r="AK1759" s="2">
        <v>1840.04</v>
      </c>
      <c r="AL1759" t="str">
        <f>"$"</f>
        <v>$</v>
      </c>
    </row>
    <row r="1760" spans="1:38" x14ac:dyDescent="0.3">
      <c r="A1760" t="str">
        <f>"SO22000221"</f>
        <v>SO22000221</v>
      </c>
      <c r="B1760" t="str">
        <f>"E000364016"</f>
        <v>E000364016</v>
      </c>
      <c r="C1760" t="str">
        <f>"בוצעה"</f>
        <v>בוצעה</v>
      </c>
      <c r="E1760" s="3">
        <v>44720</v>
      </c>
      <c r="F1760" s="3">
        <v>44834</v>
      </c>
      <c r="G1760" t="str">
        <f>"700065"</f>
        <v>700065</v>
      </c>
      <c r="H1760" t="str">
        <f>"אלתא מערכות בע""מ"</f>
        <v>אלתא מערכות בע"מ</v>
      </c>
      <c r="I1760" t="str">
        <f>"ערן שלו"</f>
        <v>ערן שלו</v>
      </c>
      <c r="J1760" t="str">
        <f>"OP-AR03164"</f>
        <v>OP-AR03164</v>
      </c>
      <c r="K1760" s="1" t="str">
        <f>"1018U226-001   HARNESS WD001 - DS PWR TO EPRCU"</f>
        <v>1018U226-001   HARNESS WD001 - DS PWR TO EPRCU</v>
      </c>
      <c r="L1760">
        <v>2</v>
      </c>
      <c r="M1760" t="str">
        <f>"PR22000445"</f>
        <v>PR22000445</v>
      </c>
      <c r="N1760" t="str">
        <f>"E000364016"</f>
        <v>E000364016</v>
      </c>
      <c r="O1760">
        <v>310.42</v>
      </c>
      <c r="P1760" t="str">
        <f>"$"</f>
        <v>$</v>
      </c>
      <c r="Q1760" t="str">
        <f>"117"</f>
        <v>117</v>
      </c>
      <c r="R1760" t="str">
        <f>"רתמות"</f>
        <v>רתמות</v>
      </c>
      <c r="S1760" t="str">
        <f>"034"</f>
        <v>034</v>
      </c>
      <c r="T1760" t="str">
        <f>"עמר ליגל"</f>
        <v>עמר ליגל</v>
      </c>
      <c r="U1760">
        <v>0</v>
      </c>
      <c r="V1760">
        <v>0</v>
      </c>
      <c r="W1760">
        <v>310.42</v>
      </c>
      <c r="X1760">
        <v>620.84</v>
      </c>
      <c r="Z1760" t="str">
        <f>"Y"</f>
        <v>Y</v>
      </c>
      <c r="AA1760">
        <v>0</v>
      </c>
      <c r="AC1760">
        <v>0</v>
      </c>
      <c r="AE1760">
        <v>0</v>
      </c>
      <c r="AF1760">
        <v>0</v>
      </c>
      <c r="AG1760" s="2">
        <v>1036.49</v>
      </c>
      <c r="AH1760">
        <v>0</v>
      </c>
      <c r="AI1760" s="2">
        <v>2072.98</v>
      </c>
      <c r="AJ1760">
        <v>620.84</v>
      </c>
      <c r="AK1760">
        <v>620.84</v>
      </c>
      <c r="AL1760" t="str">
        <f>"$"</f>
        <v>$</v>
      </c>
    </row>
    <row r="1761" spans="1:38" x14ac:dyDescent="0.3">
      <c r="A1761" t="str">
        <f>"SO22000221"</f>
        <v>SO22000221</v>
      </c>
      <c r="B1761" t="str">
        <f>"E000364016"</f>
        <v>E000364016</v>
      </c>
      <c r="C1761" t="str">
        <f>"בוצעה"</f>
        <v>בוצעה</v>
      </c>
      <c r="E1761" s="3">
        <v>44720</v>
      </c>
      <c r="F1761" s="3">
        <v>44834</v>
      </c>
      <c r="G1761" t="str">
        <f>"700065"</f>
        <v>700065</v>
      </c>
      <c r="H1761" t="str">
        <f>"אלתא מערכות בע""מ"</f>
        <v>אלתא מערכות בע"מ</v>
      </c>
      <c r="I1761" t="str">
        <f>"ערן שלו"</f>
        <v>ערן שלו</v>
      </c>
      <c r="J1761" t="str">
        <f>"OP-AR03165"</f>
        <v>OP-AR03165</v>
      </c>
      <c r="K1761" s="1" t="str">
        <f>"1023B584-001   WV084 PWR - CUG TO MOTOR AZ-EL"</f>
        <v>1023B584-001   WV084 PWR - CUG TO MOTOR AZ-EL</v>
      </c>
      <c r="L1761">
        <v>3</v>
      </c>
      <c r="M1761" t="str">
        <f>"PR22000445"</f>
        <v>PR22000445</v>
      </c>
      <c r="N1761" t="str">
        <f>"E000364016"</f>
        <v>E000364016</v>
      </c>
      <c r="O1761">
        <v>506.14</v>
      </c>
      <c r="P1761" t="str">
        <f>"$"</f>
        <v>$</v>
      </c>
      <c r="Q1761" t="str">
        <f>"117"</f>
        <v>117</v>
      </c>
      <c r="R1761" t="str">
        <f>"רתמות"</f>
        <v>רתמות</v>
      </c>
      <c r="S1761" t="str">
        <f>"034"</f>
        <v>034</v>
      </c>
      <c r="T1761" t="str">
        <f>"עמר ליגל"</f>
        <v>עמר ליגל</v>
      </c>
      <c r="U1761">
        <v>0</v>
      </c>
      <c r="V1761">
        <v>0</v>
      </c>
      <c r="W1761">
        <v>506.14</v>
      </c>
      <c r="X1761" s="2">
        <v>1518.42</v>
      </c>
      <c r="Z1761" t="str">
        <f>"Y"</f>
        <v>Y</v>
      </c>
      <c r="AA1761">
        <v>0</v>
      </c>
      <c r="AC1761">
        <v>0</v>
      </c>
      <c r="AE1761">
        <v>0</v>
      </c>
      <c r="AF1761">
        <v>0</v>
      </c>
      <c r="AG1761" s="2">
        <v>1690</v>
      </c>
      <c r="AH1761">
        <v>0</v>
      </c>
      <c r="AI1761" s="2">
        <v>5070</v>
      </c>
      <c r="AJ1761" s="2">
        <v>1518.42</v>
      </c>
      <c r="AK1761" s="2">
        <v>1518.42</v>
      </c>
      <c r="AL1761" t="str">
        <f>"$"</f>
        <v>$</v>
      </c>
    </row>
    <row r="1762" spans="1:38" x14ac:dyDescent="0.3">
      <c r="A1762" t="str">
        <f>"SO22000221"</f>
        <v>SO22000221</v>
      </c>
      <c r="B1762" t="str">
        <f>"E000364016"</f>
        <v>E000364016</v>
      </c>
      <c r="C1762" t="str">
        <f>"בוצעה"</f>
        <v>בוצעה</v>
      </c>
      <c r="E1762" s="3">
        <v>44720</v>
      </c>
      <c r="F1762" s="3">
        <v>44834</v>
      </c>
      <c r="G1762" t="str">
        <f>"700065"</f>
        <v>700065</v>
      </c>
      <c r="H1762" t="str">
        <f>"אלתא מערכות בע""מ"</f>
        <v>אלתא מערכות בע"מ</v>
      </c>
      <c r="I1762" t="str">
        <f>"ערן שלו"</f>
        <v>ערן שלו</v>
      </c>
      <c r="J1762" t="str">
        <f>"OP-AR03166"</f>
        <v>OP-AR03166</v>
      </c>
      <c r="K1762" s="1" t="str">
        <f>"1025M236-001   WA356 PWR FOR ANTI COLLISION LIGHT"</f>
        <v>1025M236-001   WA356 PWR FOR ANTI COLLISION LIGHT</v>
      </c>
      <c r="L1762">
        <v>2</v>
      </c>
      <c r="M1762" t="str">
        <f>"PR22000445"</f>
        <v>PR22000445</v>
      </c>
      <c r="N1762" t="str">
        <f>"E000364016"</f>
        <v>E000364016</v>
      </c>
      <c r="O1762">
        <v>242.24</v>
      </c>
      <c r="P1762" t="str">
        <f>"$"</f>
        <v>$</v>
      </c>
      <c r="Q1762" t="str">
        <f>"117"</f>
        <v>117</v>
      </c>
      <c r="R1762" t="str">
        <f>"רתמות"</f>
        <v>רתמות</v>
      </c>
      <c r="S1762" t="str">
        <f>"034"</f>
        <v>034</v>
      </c>
      <c r="T1762" t="str">
        <f>"עמר ליגל"</f>
        <v>עמר ליגל</v>
      </c>
      <c r="U1762">
        <v>0</v>
      </c>
      <c r="V1762">
        <v>0</v>
      </c>
      <c r="W1762">
        <v>242.24</v>
      </c>
      <c r="X1762">
        <v>484.48</v>
      </c>
      <c r="Z1762" t="str">
        <f>"Y"</f>
        <v>Y</v>
      </c>
      <c r="AA1762">
        <v>0</v>
      </c>
      <c r="AC1762">
        <v>0</v>
      </c>
      <c r="AE1762">
        <v>0</v>
      </c>
      <c r="AF1762">
        <v>0</v>
      </c>
      <c r="AG1762">
        <v>808.84</v>
      </c>
      <c r="AH1762">
        <v>0</v>
      </c>
      <c r="AI1762" s="2">
        <v>1617.68</v>
      </c>
      <c r="AJ1762">
        <v>484.48</v>
      </c>
      <c r="AK1762">
        <v>484.48</v>
      </c>
      <c r="AL1762" t="str">
        <f>"$"</f>
        <v>$</v>
      </c>
    </row>
    <row r="1763" spans="1:38" x14ac:dyDescent="0.3">
      <c r="A1763" t="str">
        <f>"SO22000221"</f>
        <v>SO22000221</v>
      </c>
      <c r="B1763" t="str">
        <f>"E000364016"</f>
        <v>E000364016</v>
      </c>
      <c r="C1763" t="str">
        <f>"בוצעה"</f>
        <v>בוצעה</v>
      </c>
      <c r="E1763" s="3">
        <v>44720</v>
      </c>
      <c r="F1763" s="3">
        <v>44834</v>
      </c>
      <c r="G1763" t="str">
        <f>"700065"</f>
        <v>700065</v>
      </c>
      <c r="H1763" t="str">
        <f>"אלתא מערכות בע""מ"</f>
        <v>אלתא מערכות בע"מ</v>
      </c>
      <c r="I1763" t="str">
        <f>"ערן שלו"</f>
        <v>ערן שלו</v>
      </c>
      <c r="J1763" t="str">
        <f>"OP-AR03167"</f>
        <v>OP-AR03167</v>
      </c>
      <c r="K1763" s="1" t="str">
        <f>"1025M237-001   WA357 PWR FOR ANTI COLLISION LIGHT"</f>
        <v>1025M237-001   WA357 PWR FOR ANTI COLLISION LIGHT</v>
      </c>
      <c r="L1763">
        <v>2</v>
      </c>
      <c r="M1763" t="str">
        <f>"PR22000445"</f>
        <v>PR22000445</v>
      </c>
      <c r="N1763" t="str">
        <f>"E000364016"</f>
        <v>E000364016</v>
      </c>
      <c r="O1763">
        <v>102.35</v>
      </c>
      <c r="P1763" t="str">
        <f>"$"</f>
        <v>$</v>
      </c>
      <c r="Q1763" t="str">
        <f>"117"</f>
        <v>117</v>
      </c>
      <c r="R1763" t="str">
        <f>"רתמות"</f>
        <v>רתמות</v>
      </c>
      <c r="S1763" t="str">
        <f>"034"</f>
        <v>034</v>
      </c>
      <c r="T1763" t="str">
        <f>"עמר ליגל"</f>
        <v>עמר ליגל</v>
      </c>
      <c r="U1763">
        <v>0</v>
      </c>
      <c r="V1763">
        <v>0</v>
      </c>
      <c r="W1763">
        <v>102.35</v>
      </c>
      <c r="X1763">
        <v>204.7</v>
      </c>
      <c r="Z1763" t="str">
        <f>"Y"</f>
        <v>Y</v>
      </c>
      <c r="AA1763">
        <v>0</v>
      </c>
      <c r="AC1763">
        <v>0</v>
      </c>
      <c r="AE1763">
        <v>0</v>
      </c>
      <c r="AF1763">
        <v>0</v>
      </c>
      <c r="AG1763">
        <v>341.75</v>
      </c>
      <c r="AH1763">
        <v>0</v>
      </c>
      <c r="AI1763">
        <v>683.49</v>
      </c>
      <c r="AJ1763">
        <v>204.7</v>
      </c>
      <c r="AK1763">
        <v>204.7</v>
      </c>
      <c r="AL1763" t="str">
        <f>"$"</f>
        <v>$</v>
      </c>
    </row>
    <row r="1764" spans="1:38" x14ac:dyDescent="0.3">
      <c r="A1764" t="str">
        <f>"SO22000221"</f>
        <v>SO22000221</v>
      </c>
      <c r="B1764" t="str">
        <f>"E000364016"</f>
        <v>E000364016</v>
      </c>
      <c r="C1764" t="str">
        <f>"בוצעה"</f>
        <v>בוצעה</v>
      </c>
      <c r="E1764" s="3">
        <v>44720</v>
      </c>
      <c r="F1764" s="3">
        <v>44834</v>
      </c>
      <c r="G1764" t="str">
        <f>"700065"</f>
        <v>700065</v>
      </c>
      <c r="H1764" t="str">
        <f>"אלתא מערכות בע""מ"</f>
        <v>אלתא מערכות בע"מ</v>
      </c>
      <c r="I1764" t="str">
        <f>"ערן שלו"</f>
        <v>ערן שלו</v>
      </c>
      <c r="J1764" t="str">
        <f>"OP-AR03168"</f>
        <v>OP-AR03168</v>
      </c>
      <c r="K1764" s="1" t="str">
        <f>"1025M806-001   WV034 PWR - PDB2 TO ANTI COLLISION LIGHT"</f>
        <v>1025M806-001   WV034 PWR - PDB2 TO ANTI COLLISION LIGHT</v>
      </c>
      <c r="L1764">
        <v>2</v>
      </c>
      <c r="M1764" t="str">
        <f>"PR22000445"</f>
        <v>PR22000445</v>
      </c>
      <c r="N1764" t="str">
        <f>"E000364016"</f>
        <v>E000364016</v>
      </c>
      <c r="O1764">
        <v>242.23</v>
      </c>
      <c r="P1764" t="str">
        <f>"$"</f>
        <v>$</v>
      </c>
      <c r="Q1764" t="str">
        <f>"117"</f>
        <v>117</v>
      </c>
      <c r="R1764" t="str">
        <f>"רתמות"</f>
        <v>רתמות</v>
      </c>
      <c r="S1764" t="str">
        <f>"034"</f>
        <v>034</v>
      </c>
      <c r="T1764" t="str">
        <f>"עמר ליגל"</f>
        <v>עמר ליגל</v>
      </c>
      <c r="U1764">
        <v>0</v>
      </c>
      <c r="V1764">
        <v>0</v>
      </c>
      <c r="W1764">
        <v>242.23</v>
      </c>
      <c r="X1764">
        <v>484.46</v>
      </c>
      <c r="Z1764" t="str">
        <f>"Y"</f>
        <v>Y</v>
      </c>
      <c r="AA1764">
        <v>0</v>
      </c>
      <c r="AC1764">
        <v>0</v>
      </c>
      <c r="AE1764">
        <v>0</v>
      </c>
      <c r="AF1764">
        <v>0</v>
      </c>
      <c r="AG1764">
        <v>808.81</v>
      </c>
      <c r="AH1764">
        <v>0</v>
      </c>
      <c r="AI1764" s="2">
        <v>1617.61</v>
      </c>
      <c r="AJ1764">
        <v>484.46</v>
      </c>
      <c r="AK1764">
        <v>484.46</v>
      </c>
      <c r="AL1764" t="str">
        <f>"$"</f>
        <v>$</v>
      </c>
    </row>
    <row r="1765" spans="1:38" x14ac:dyDescent="0.3">
      <c r="A1765" t="str">
        <f>"SO22000221"</f>
        <v>SO22000221</v>
      </c>
      <c r="B1765" t="str">
        <f>"E000364016"</f>
        <v>E000364016</v>
      </c>
      <c r="C1765" t="str">
        <f>"בוצעה"</f>
        <v>בוצעה</v>
      </c>
      <c r="E1765" s="3">
        <v>44720</v>
      </c>
      <c r="F1765" s="3">
        <v>44895</v>
      </c>
      <c r="G1765" t="str">
        <f>"700065"</f>
        <v>700065</v>
      </c>
      <c r="H1765" t="str">
        <f>"אלתא מערכות בע""מ"</f>
        <v>אלתא מערכות בע"מ</v>
      </c>
      <c r="I1765" t="str">
        <f>"ערן שלו"</f>
        <v>ערן שלו</v>
      </c>
      <c r="J1765" t="str">
        <f>"OP-AR03169"</f>
        <v>OP-AR03169</v>
      </c>
      <c r="K1765" s="1" t="str">
        <f>"1037T171-001   HARNESS WB171 - INTERCONNECTION PANEL TO"</f>
        <v>1037T171-001   HARNESS WB171 - INTERCONNECTION PANEL TO</v>
      </c>
      <c r="L1765">
        <v>1</v>
      </c>
      <c r="M1765" t="str">
        <f>"PR22000445"</f>
        <v>PR22000445</v>
      </c>
      <c r="N1765" t="str">
        <f>"E000364016"</f>
        <v>E000364016</v>
      </c>
      <c r="O1765" s="2">
        <v>7490.89</v>
      </c>
      <c r="P1765" t="str">
        <f>"$"</f>
        <v>$</v>
      </c>
      <c r="Q1765" t="str">
        <f>"117"</f>
        <v>117</v>
      </c>
      <c r="R1765" t="str">
        <f>"רתמות"</f>
        <v>רתמות</v>
      </c>
      <c r="S1765" t="str">
        <f>"034"</f>
        <v>034</v>
      </c>
      <c r="T1765" t="str">
        <f>"עמר ליגל"</f>
        <v>עמר ליגל</v>
      </c>
      <c r="U1765">
        <v>0</v>
      </c>
      <c r="V1765">
        <v>0</v>
      </c>
      <c r="W1765" s="2">
        <v>7490.89</v>
      </c>
      <c r="X1765" s="2">
        <v>7490.89</v>
      </c>
      <c r="Z1765" t="str">
        <f>"Y"</f>
        <v>Y</v>
      </c>
      <c r="AA1765">
        <v>0</v>
      </c>
      <c r="AC1765">
        <v>0</v>
      </c>
      <c r="AE1765">
        <v>0</v>
      </c>
      <c r="AF1765">
        <v>0</v>
      </c>
      <c r="AG1765" s="2">
        <v>25012.080000000002</v>
      </c>
      <c r="AH1765">
        <v>0</v>
      </c>
      <c r="AI1765" s="2">
        <v>25012.080000000002</v>
      </c>
      <c r="AJ1765" s="2">
        <v>7490.89</v>
      </c>
      <c r="AK1765" s="2">
        <v>7490.89</v>
      </c>
      <c r="AL1765" t="str">
        <f>"$"</f>
        <v>$</v>
      </c>
    </row>
    <row r="1766" spans="1:38" x14ac:dyDescent="0.3">
      <c r="A1766" t="str">
        <f>"SO22000221"</f>
        <v>SO22000221</v>
      </c>
      <c r="B1766" t="str">
        <f>"E000364016"</f>
        <v>E000364016</v>
      </c>
      <c r="C1766" t="str">
        <f>"בוצעה"</f>
        <v>בוצעה</v>
      </c>
      <c r="E1766" s="3">
        <v>44720</v>
      </c>
      <c r="F1766" s="3">
        <v>44834</v>
      </c>
      <c r="G1766" t="str">
        <f>"700065"</f>
        <v>700065</v>
      </c>
      <c r="H1766" t="str">
        <f>"אלתא מערכות בע""מ"</f>
        <v>אלתא מערכות בע"מ</v>
      </c>
      <c r="I1766" t="str">
        <f>"ערן שלו"</f>
        <v>ערן שלו</v>
      </c>
      <c r="J1766" t="str">
        <f>"OP-AR03170"</f>
        <v>OP-AR03170</v>
      </c>
      <c r="K1766" s="1" t="str">
        <f>"1037T181-001   HARNESS WB181 - INTERCONNECTION PANEL TO"</f>
        <v>1037T181-001   HARNESS WB181 - INTERCONNECTION PANEL TO</v>
      </c>
      <c r="L1766">
        <v>1</v>
      </c>
      <c r="M1766" t="str">
        <f>"PR22000445"</f>
        <v>PR22000445</v>
      </c>
      <c r="N1766" t="str">
        <f>"E000364016"</f>
        <v>E000364016</v>
      </c>
      <c r="O1766" s="2">
        <v>5982.25</v>
      </c>
      <c r="P1766" t="str">
        <f>"$"</f>
        <v>$</v>
      </c>
      <c r="Q1766" t="str">
        <f>"117"</f>
        <v>117</v>
      </c>
      <c r="R1766" t="str">
        <f>"רתמות"</f>
        <v>רתמות</v>
      </c>
      <c r="S1766" t="str">
        <f>"034"</f>
        <v>034</v>
      </c>
      <c r="T1766" t="str">
        <f>"עמר ליגל"</f>
        <v>עמר ליגל</v>
      </c>
      <c r="U1766">
        <v>0</v>
      </c>
      <c r="V1766">
        <v>0</v>
      </c>
      <c r="W1766" s="2">
        <v>5982.25</v>
      </c>
      <c r="X1766" s="2">
        <v>5982.25</v>
      </c>
      <c r="Z1766" t="str">
        <f>"Y"</f>
        <v>Y</v>
      </c>
      <c r="AA1766">
        <v>0</v>
      </c>
      <c r="AC1766">
        <v>0</v>
      </c>
      <c r="AE1766">
        <v>0</v>
      </c>
      <c r="AF1766">
        <v>0</v>
      </c>
      <c r="AG1766" s="2">
        <v>19974.73</v>
      </c>
      <c r="AH1766">
        <v>0</v>
      </c>
      <c r="AI1766" s="2">
        <v>19974.73</v>
      </c>
      <c r="AJ1766" s="2">
        <v>5982.25</v>
      </c>
      <c r="AK1766" s="2">
        <v>5982.25</v>
      </c>
      <c r="AL1766" t="str">
        <f>"$"</f>
        <v>$</v>
      </c>
    </row>
    <row r="1767" spans="1:38" x14ac:dyDescent="0.3">
      <c r="A1767" t="str">
        <f>"SO22000221"</f>
        <v>SO22000221</v>
      </c>
      <c r="B1767" t="str">
        <f>"E000364016"</f>
        <v>E000364016</v>
      </c>
      <c r="C1767" t="str">
        <f>"בוצעה"</f>
        <v>בוצעה</v>
      </c>
      <c r="E1767" s="3">
        <v>44720</v>
      </c>
      <c r="F1767" s="3">
        <v>44834</v>
      </c>
      <c r="G1767" t="str">
        <f>"700065"</f>
        <v>700065</v>
      </c>
      <c r="H1767" t="str">
        <f>"אלתא מערכות בע""מ"</f>
        <v>אלתא מערכות בע"מ</v>
      </c>
      <c r="I1767" t="str">
        <f>"ערן שלו"</f>
        <v>ערן שלו</v>
      </c>
      <c r="J1767" t="str">
        <f>"OP-AR03171"</f>
        <v>OP-AR03171</v>
      </c>
      <c r="K1767" s="1" t="str">
        <f>"1037T238-001   HARNESS WB238 - RSU FAN ASSEMBLY"</f>
        <v>1037T238-001   HARNESS WB238 - RSU FAN ASSEMBLY</v>
      </c>
      <c r="L1767">
        <v>2</v>
      </c>
      <c r="M1767" t="str">
        <f>"PR22000445"</f>
        <v>PR22000445</v>
      </c>
      <c r="N1767" t="str">
        <f>"E000364016"</f>
        <v>E000364016</v>
      </c>
      <c r="O1767">
        <v>102.17</v>
      </c>
      <c r="P1767" t="str">
        <f>"$"</f>
        <v>$</v>
      </c>
      <c r="Q1767" t="str">
        <f>"117"</f>
        <v>117</v>
      </c>
      <c r="R1767" t="str">
        <f>"רתמות"</f>
        <v>רתמות</v>
      </c>
      <c r="S1767" t="str">
        <f>"034"</f>
        <v>034</v>
      </c>
      <c r="T1767" t="str">
        <f>"עמר ליגל"</f>
        <v>עמר ליגל</v>
      </c>
      <c r="U1767">
        <v>0</v>
      </c>
      <c r="V1767">
        <v>0</v>
      </c>
      <c r="W1767">
        <v>102.17</v>
      </c>
      <c r="X1767">
        <v>204.34</v>
      </c>
      <c r="Z1767" t="str">
        <f>"Y"</f>
        <v>Y</v>
      </c>
      <c r="AA1767">
        <v>0</v>
      </c>
      <c r="AC1767">
        <v>0</v>
      </c>
      <c r="AE1767">
        <v>0</v>
      </c>
      <c r="AF1767">
        <v>0</v>
      </c>
      <c r="AG1767">
        <v>341.15</v>
      </c>
      <c r="AH1767">
        <v>0</v>
      </c>
      <c r="AI1767">
        <v>682.29</v>
      </c>
      <c r="AJ1767">
        <v>204.34</v>
      </c>
      <c r="AK1767">
        <v>204.34</v>
      </c>
      <c r="AL1767" t="str">
        <f>"$"</f>
        <v>$</v>
      </c>
    </row>
    <row r="1768" spans="1:38" x14ac:dyDescent="0.3">
      <c r="A1768" t="str">
        <f>"SO22000222"</f>
        <v>SO22000222</v>
      </c>
      <c r="B1768" t="str">
        <f>"E000364757"</f>
        <v>E000364757</v>
      </c>
      <c r="C1768" t="str">
        <f>"בסיום הרכבה"</f>
        <v>בסיום הרכבה</v>
      </c>
      <c r="E1768" s="3">
        <v>44720</v>
      </c>
      <c r="F1768" s="3">
        <v>44834</v>
      </c>
      <c r="G1768" t="str">
        <f>"700065"</f>
        <v>700065</v>
      </c>
      <c r="H1768" t="str">
        <f>"אלתא מערכות בע""מ"</f>
        <v>אלתא מערכות בע"מ</v>
      </c>
      <c r="I1768" t="str">
        <f>"רחמים זרוק"</f>
        <v>רחמים זרוק</v>
      </c>
      <c r="J1768" t="str">
        <f>"OP-AR03159"</f>
        <v>OP-AR03159</v>
      </c>
      <c r="K1768" s="1" t="str">
        <f>"9000Y503-001    HARNESS WA003 - FULL TK"</f>
        <v>9000Y503-001    HARNESS WA003 - FULL TK</v>
      </c>
      <c r="L1768">
        <v>2</v>
      </c>
      <c r="M1768" t="str">
        <f>"PR22000442"</f>
        <v>PR22000442</v>
      </c>
      <c r="N1768" t="str">
        <f>"E000364757"</f>
        <v>E000364757</v>
      </c>
      <c r="O1768">
        <v>602.53</v>
      </c>
      <c r="P1768" t="str">
        <f>"$"</f>
        <v>$</v>
      </c>
      <c r="Q1768" t="str">
        <f>"117"</f>
        <v>117</v>
      </c>
      <c r="R1768" t="str">
        <f>"רתמות"</f>
        <v>רתמות</v>
      </c>
      <c r="S1768" t="str">
        <f>"040"</f>
        <v>040</v>
      </c>
      <c r="T1768" t="str">
        <f>"עמר ליגל"</f>
        <v>עמר ליגל</v>
      </c>
      <c r="U1768">
        <v>0</v>
      </c>
      <c r="V1768">
        <v>0</v>
      </c>
      <c r="W1768">
        <v>602.53</v>
      </c>
      <c r="X1768" s="2">
        <v>1205.06</v>
      </c>
      <c r="Z1768" t="str">
        <f>"Y"</f>
        <v>Y</v>
      </c>
      <c r="AA1768">
        <v>0</v>
      </c>
      <c r="AC1768">
        <v>0</v>
      </c>
      <c r="AE1768">
        <v>0</v>
      </c>
      <c r="AF1768">
        <v>0</v>
      </c>
      <c r="AG1768" s="2">
        <v>2011.85</v>
      </c>
      <c r="AH1768">
        <v>0</v>
      </c>
      <c r="AI1768" s="2">
        <v>4023.7</v>
      </c>
      <c r="AJ1768" s="2">
        <v>1205.06</v>
      </c>
      <c r="AK1768" s="2">
        <v>1205.06</v>
      </c>
      <c r="AL1768" t="str">
        <f>"$"</f>
        <v>$</v>
      </c>
    </row>
    <row r="1769" spans="1:38" x14ac:dyDescent="0.3">
      <c r="A1769" t="str">
        <f>"SO22000222"</f>
        <v>SO22000222</v>
      </c>
      <c r="B1769" t="str">
        <f>"E000364757"</f>
        <v>E000364757</v>
      </c>
      <c r="C1769" t="str">
        <f>"בסיום הרכבה"</f>
        <v>בסיום הרכבה</v>
      </c>
      <c r="E1769" s="3">
        <v>44720</v>
      </c>
      <c r="F1769" s="3">
        <v>44834</v>
      </c>
      <c r="G1769" t="str">
        <f>"700065"</f>
        <v>700065</v>
      </c>
      <c r="H1769" t="str">
        <f>"אלתא מערכות בע""מ"</f>
        <v>אלתא מערכות בע"מ</v>
      </c>
      <c r="I1769" t="str">
        <f>"רחמים זרוק"</f>
        <v>רחמים זרוק</v>
      </c>
      <c r="J1769" t="str">
        <f>"OP-AR03160"</f>
        <v>OP-AR03160</v>
      </c>
      <c r="K1769" s="1" t="str">
        <f>"9000Y504-001    HARNESS WA004 - FULL TK"</f>
        <v>9000Y504-001    HARNESS WA004 - FULL TK</v>
      </c>
      <c r="L1769">
        <v>1</v>
      </c>
      <c r="M1769" t="str">
        <f>"PR22000442"</f>
        <v>PR22000442</v>
      </c>
      <c r="N1769" t="str">
        <f>"E000364757"</f>
        <v>E000364757</v>
      </c>
      <c r="O1769">
        <v>362.11</v>
      </c>
      <c r="P1769" t="str">
        <f>"$"</f>
        <v>$</v>
      </c>
      <c r="Q1769" t="str">
        <f>"117"</f>
        <v>117</v>
      </c>
      <c r="R1769" t="str">
        <f>"רתמות"</f>
        <v>רתמות</v>
      </c>
      <c r="S1769" t="str">
        <f>"040"</f>
        <v>040</v>
      </c>
      <c r="T1769" t="str">
        <f>"עמר ליגל"</f>
        <v>עמר ליגל</v>
      </c>
      <c r="U1769">
        <v>0</v>
      </c>
      <c r="V1769">
        <v>0</v>
      </c>
      <c r="W1769">
        <v>362.11</v>
      </c>
      <c r="X1769">
        <v>362.11</v>
      </c>
      <c r="Z1769" t="str">
        <f>"Y"</f>
        <v>Y</v>
      </c>
      <c r="AA1769">
        <v>0</v>
      </c>
      <c r="AC1769">
        <v>0</v>
      </c>
      <c r="AE1769">
        <v>0</v>
      </c>
      <c r="AF1769">
        <v>0</v>
      </c>
      <c r="AG1769" s="2">
        <v>1209.0899999999999</v>
      </c>
      <c r="AH1769">
        <v>0</v>
      </c>
      <c r="AI1769" s="2">
        <v>1209.0899999999999</v>
      </c>
      <c r="AJ1769">
        <v>362.11</v>
      </c>
      <c r="AK1769">
        <v>362.11</v>
      </c>
      <c r="AL1769" t="str">
        <f>"$"</f>
        <v>$</v>
      </c>
    </row>
    <row r="1770" spans="1:38" x14ac:dyDescent="0.3">
      <c r="A1770" t="str">
        <f>"SO22000222"</f>
        <v>SO22000222</v>
      </c>
      <c r="B1770" t="str">
        <f>"E000364757"</f>
        <v>E000364757</v>
      </c>
      <c r="C1770" t="str">
        <f>"בסיום הרכבה"</f>
        <v>בסיום הרכבה</v>
      </c>
      <c r="E1770" s="3">
        <v>44720</v>
      </c>
      <c r="F1770" s="3">
        <v>44834</v>
      </c>
      <c r="G1770" t="str">
        <f>"700065"</f>
        <v>700065</v>
      </c>
      <c r="H1770" t="str">
        <f>"אלתא מערכות בע""מ"</f>
        <v>אלתא מערכות בע"מ</v>
      </c>
      <c r="I1770" t="str">
        <f>"רחמים זרוק"</f>
        <v>רחמים זרוק</v>
      </c>
      <c r="J1770" t="str">
        <f>"OP-AR03161"</f>
        <v>OP-AR03161</v>
      </c>
      <c r="K1770" s="1" t="str">
        <f>"9000Y505-001    HARNESS WA005 - FULL TK"</f>
        <v>9000Y505-001    HARNESS WA005 - FULL TK</v>
      </c>
      <c r="L1770">
        <v>2</v>
      </c>
      <c r="M1770" t="str">
        <f>"PR22000442"</f>
        <v>PR22000442</v>
      </c>
      <c r="N1770" t="str">
        <f>"E000364757"</f>
        <v>E000364757</v>
      </c>
      <c r="O1770">
        <v>351.16</v>
      </c>
      <c r="P1770" t="str">
        <f>"$"</f>
        <v>$</v>
      </c>
      <c r="Q1770" t="str">
        <f>"117"</f>
        <v>117</v>
      </c>
      <c r="R1770" t="str">
        <f>"רתמות"</f>
        <v>רתמות</v>
      </c>
      <c r="S1770" t="str">
        <f>"040"</f>
        <v>040</v>
      </c>
      <c r="T1770" t="str">
        <f>"עמר ליגל"</f>
        <v>עמר ליגל</v>
      </c>
      <c r="U1770">
        <v>0</v>
      </c>
      <c r="V1770">
        <v>0</v>
      </c>
      <c r="W1770">
        <v>351.16</v>
      </c>
      <c r="X1770">
        <v>702.32</v>
      </c>
      <c r="Z1770" t="str">
        <f>"Y"</f>
        <v>Y</v>
      </c>
      <c r="AA1770">
        <v>0</v>
      </c>
      <c r="AC1770">
        <v>0</v>
      </c>
      <c r="AE1770">
        <v>0</v>
      </c>
      <c r="AF1770">
        <v>0</v>
      </c>
      <c r="AG1770" s="2">
        <v>1172.52</v>
      </c>
      <c r="AH1770">
        <v>0</v>
      </c>
      <c r="AI1770" s="2">
        <v>2345.0500000000002</v>
      </c>
      <c r="AJ1770">
        <v>702.32</v>
      </c>
      <c r="AK1770">
        <v>702.32</v>
      </c>
      <c r="AL1770" t="str">
        <f>"$"</f>
        <v>$</v>
      </c>
    </row>
    <row r="1771" spans="1:38" x14ac:dyDescent="0.3">
      <c r="A1771" t="str">
        <f>"SO22000222"</f>
        <v>SO22000222</v>
      </c>
      <c r="B1771" t="str">
        <f>"E000364757"</f>
        <v>E000364757</v>
      </c>
      <c r="C1771" t="str">
        <f>"בסיום הרכבה"</f>
        <v>בסיום הרכבה</v>
      </c>
      <c r="E1771" s="3">
        <v>44720</v>
      </c>
      <c r="F1771" s="3">
        <v>44834</v>
      </c>
      <c r="G1771" t="str">
        <f>"700065"</f>
        <v>700065</v>
      </c>
      <c r="H1771" t="str">
        <f>"אלתא מערכות בע""מ"</f>
        <v>אלתא מערכות בע"מ</v>
      </c>
      <c r="I1771" t="str">
        <f>"רחמים זרוק"</f>
        <v>רחמים זרוק</v>
      </c>
      <c r="J1771" t="str">
        <f>"OP-AR03159"</f>
        <v>OP-AR03159</v>
      </c>
      <c r="K1771" s="1" t="str">
        <f>"9000Y503-001    HARNESS WA003 - FULL TK"</f>
        <v>9000Y503-001    HARNESS WA003 - FULL TK</v>
      </c>
      <c r="L1771">
        <v>2</v>
      </c>
      <c r="M1771" t="str">
        <f>"PR22000442"</f>
        <v>PR22000442</v>
      </c>
      <c r="N1771" t="str">
        <f>"E000364757"</f>
        <v>E000364757</v>
      </c>
      <c r="O1771">
        <v>602.53</v>
      </c>
      <c r="P1771" t="str">
        <f>"$"</f>
        <v>$</v>
      </c>
      <c r="Q1771" t="str">
        <f>"117"</f>
        <v>117</v>
      </c>
      <c r="R1771" t="str">
        <f>"רתמות"</f>
        <v>רתמות</v>
      </c>
      <c r="S1771" t="str">
        <f>"040"</f>
        <v>040</v>
      </c>
      <c r="T1771" t="str">
        <f>"עמר ליגל"</f>
        <v>עמר ליגל</v>
      </c>
      <c r="U1771">
        <v>0</v>
      </c>
      <c r="V1771">
        <v>0</v>
      </c>
      <c r="W1771">
        <v>602.53</v>
      </c>
      <c r="X1771" s="2">
        <v>1205.06</v>
      </c>
      <c r="Z1771" t="str">
        <f>"Y"</f>
        <v>Y</v>
      </c>
      <c r="AA1771">
        <v>0</v>
      </c>
      <c r="AC1771">
        <v>0</v>
      </c>
      <c r="AE1771">
        <v>0</v>
      </c>
      <c r="AF1771">
        <v>0</v>
      </c>
      <c r="AG1771" s="2">
        <v>2011.85</v>
      </c>
      <c r="AH1771">
        <v>0</v>
      </c>
      <c r="AI1771" s="2">
        <v>4023.7</v>
      </c>
      <c r="AJ1771" s="2">
        <v>1205.06</v>
      </c>
      <c r="AK1771" s="2">
        <v>1205.06</v>
      </c>
      <c r="AL1771" t="str">
        <f>"$"</f>
        <v>$</v>
      </c>
    </row>
    <row r="1772" spans="1:38" x14ac:dyDescent="0.3">
      <c r="A1772" t="str">
        <f>"SO22000222"</f>
        <v>SO22000222</v>
      </c>
      <c r="B1772" t="str">
        <f>"E000364757"</f>
        <v>E000364757</v>
      </c>
      <c r="C1772" t="str">
        <f>"בסיום הרכבה"</f>
        <v>בסיום הרכבה</v>
      </c>
      <c r="E1772" s="3">
        <v>44720</v>
      </c>
      <c r="F1772" s="3">
        <v>44834</v>
      </c>
      <c r="G1772" t="str">
        <f>"700065"</f>
        <v>700065</v>
      </c>
      <c r="H1772" t="str">
        <f>"אלתא מערכות בע""מ"</f>
        <v>אלתא מערכות בע"מ</v>
      </c>
      <c r="I1772" t="str">
        <f>"רחמים זרוק"</f>
        <v>רחמים זרוק</v>
      </c>
      <c r="J1772" t="str">
        <f>"OP-AR03161"</f>
        <v>OP-AR03161</v>
      </c>
      <c r="K1772" s="1" t="str">
        <f>"9000Y505-001    HARNESS WA005 - FULL TK"</f>
        <v>9000Y505-001    HARNESS WA005 - FULL TK</v>
      </c>
      <c r="L1772">
        <v>1</v>
      </c>
      <c r="M1772" t="str">
        <f>"PR22000442"</f>
        <v>PR22000442</v>
      </c>
      <c r="N1772" t="str">
        <f>"E000364757"</f>
        <v>E000364757</v>
      </c>
      <c r="O1772">
        <v>351.16</v>
      </c>
      <c r="P1772" t="str">
        <f>"$"</f>
        <v>$</v>
      </c>
      <c r="Q1772" t="str">
        <f>"117"</f>
        <v>117</v>
      </c>
      <c r="R1772" t="str">
        <f>"רתמות"</f>
        <v>רתמות</v>
      </c>
      <c r="S1772" t="str">
        <f>"040"</f>
        <v>040</v>
      </c>
      <c r="T1772" t="str">
        <f>"עמר ליגל"</f>
        <v>עמר ליגל</v>
      </c>
      <c r="U1772">
        <v>0</v>
      </c>
      <c r="V1772">
        <v>0</v>
      </c>
      <c r="W1772">
        <v>351.16</v>
      </c>
      <c r="X1772">
        <v>351.16</v>
      </c>
      <c r="Z1772" t="str">
        <f>"Y"</f>
        <v>Y</v>
      </c>
      <c r="AA1772">
        <v>0</v>
      </c>
      <c r="AC1772">
        <v>0</v>
      </c>
      <c r="AE1772">
        <v>0</v>
      </c>
      <c r="AF1772">
        <v>0</v>
      </c>
      <c r="AG1772" s="2">
        <v>1172.52</v>
      </c>
      <c r="AH1772">
        <v>0</v>
      </c>
      <c r="AI1772" s="2">
        <v>1172.52</v>
      </c>
      <c r="AJ1772">
        <v>351.16</v>
      </c>
      <c r="AK1772">
        <v>351.16</v>
      </c>
      <c r="AL1772" t="str">
        <f>"$"</f>
        <v>$</v>
      </c>
    </row>
    <row r="1773" spans="1:38" x14ac:dyDescent="0.3">
      <c r="A1773" t="str">
        <f>"SO22000223"</f>
        <v>SO22000223</v>
      </c>
      <c r="B1773" t="str">
        <f>"E000365581"</f>
        <v>E000365581</v>
      </c>
      <c r="C1773" t="str">
        <f>"מאושרת לבצוע"</f>
        <v>מאושרת לבצוע</v>
      </c>
      <c r="E1773" s="3">
        <v>44720</v>
      </c>
      <c r="F1773" s="3">
        <v>44788</v>
      </c>
      <c r="G1773" t="str">
        <f>"700065"</f>
        <v>700065</v>
      </c>
      <c r="H1773" t="str">
        <f>"אלתא מערכות בע""מ"</f>
        <v>אלתא מערכות בע"מ</v>
      </c>
      <c r="I1773" t="str">
        <f>"רוני דידי"</f>
        <v>רוני דידי</v>
      </c>
      <c r="J1773" t="str">
        <f>"PS0300006"</f>
        <v>PS0300006</v>
      </c>
      <c r="K1773" s="1" t="str">
        <f>"TSI-EPC - 380Vac-Module BRAVO"</f>
        <v>TSI-EPC - 380Vac-Module BRAVO</v>
      </c>
      <c r="L1773">
        <v>1</v>
      </c>
      <c r="M1773" t="str">
        <f>"PR22000446"</f>
        <v>PR22000446</v>
      </c>
      <c r="N1773" t="str">
        <f>"תיקון ספקים ללקוח בחול 000365581"</f>
        <v>תיקון ספקים ללקוח בחול 000365581</v>
      </c>
      <c r="O1773">
        <v>0</v>
      </c>
      <c r="P1773" t="str">
        <f>"$"</f>
        <v>$</v>
      </c>
      <c r="Q1773" t="str">
        <f>"112"</f>
        <v>112</v>
      </c>
      <c r="R1773" t="str">
        <f>"תיקון תקלות"</f>
        <v>תיקון תקלות</v>
      </c>
      <c r="S1773" t="str">
        <f>"007"</f>
        <v>007</v>
      </c>
      <c r="T1773" t="str">
        <f>"עמר ליגל"</f>
        <v>עמר ליגל</v>
      </c>
      <c r="U1773">
        <v>0</v>
      </c>
      <c r="V1773">
        <v>0</v>
      </c>
      <c r="W1773">
        <v>0</v>
      </c>
      <c r="X1773">
        <v>0</v>
      </c>
      <c r="AA1773">
        <v>1</v>
      </c>
      <c r="AC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 t="str">
        <f>"$"</f>
        <v>$</v>
      </c>
    </row>
    <row r="1774" spans="1:38" x14ac:dyDescent="0.3">
      <c r="A1774" t="str">
        <f>"SO22000223"</f>
        <v>SO22000223</v>
      </c>
      <c r="B1774" t="str">
        <f>"E000365581"</f>
        <v>E000365581</v>
      </c>
      <c r="C1774" t="str">
        <f>"מאושרת לבצוע"</f>
        <v>מאושרת לבצוע</v>
      </c>
      <c r="E1774" s="3">
        <v>44720</v>
      </c>
      <c r="F1774" s="3">
        <v>44788</v>
      </c>
      <c r="G1774" t="str">
        <f>"700065"</f>
        <v>700065</v>
      </c>
      <c r="H1774" t="str">
        <f>"אלתא מערכות בע""מ"</f>
        <v>אלתא מערכות בע"מ</v>
      </c>
      <c r="I1774" t="str">
        <f>"רוני דידי"</f>
        <v>רוני דידי</v>
      </c>
      <c r="J1774" t="str">
        <f>"PS0300006"</f>
        <v>PS0300006</v>
      </c>
      <c r="K1774" s="1" t="str">
        <f>"TSI-EPC - 380Vac-Module BRAVO"</f>
        <v>TSI-EPC - 380Vac-Module BRAVO</v>
      </c>
      <c r="L1774">
        <v>1</v>
      </c>
      <c r="M1774" t="str">
        <f>"PR22000446"</f>
        <v>PR22000446</v>
      </c>
      <c r="N1774" t="str">
        <f>"תיקון ספקים ללקוח בחול 000365581"</f>
        <v>תיקון ספקים ללקוח בחול 000365581</v>
      </c>
      <c r="O1774">
        <v>0</v>
      </c>
      <c r="P1774" t="str">
        <f>"$"</f>
        <v>$</v>
      </c>
      <c r="Q1774" t="str">
        <f>"112"</f>
        <v>112</v>
      </c>
      <c r="R1774" t="str">
        <f>"תיקון תקלות"</f>
        <v>תיקון תקלות</v>
      </c>
      <c r="S1774" t="str">
        <f>"007"</f>
        <v>007</v>
      </c>
      <c r="T1774" t="str">
        <f>"עמר ליגל"</f>
        <v>עמר ליגל</v>
      </c>
      <c r="U1774">
        <v>0</v>
      </c>
      <c r="V1774">
        <v>0</v>
      </c>
      <c r="W1774">
        <v>0</v>
      </c>
      <c r="X1774">
        <v>0</v>
      </c>
      <c r="AA1774">
        <v>1</v>
      </c>
      <c r="AC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 t="str">
        <f>"$"</f>
        <v>$</v>
      </c>
    </row>
    <row r="1775" spans="1:38" x14ac:dyDescent="0.3">
      <c r="A1775" t="str">
        <f>"SO22000223"</f>
        <v>SO22000223</v>
      </c>
      <c r="B1775" t="str">
        <f>"E000365581"</f>
        <v>E000365581</v>
      </c>
      <c r="C1775" t="str">
        <f>"מאושרת לבצוע"</f>
        <v>מאושרת לבצוע</v>
      </c>
      <c r="E1775" s="3">
        <v>44720</v>
      </c>
      <c r="F1775" s="3">
        <v>44788</v>
      </c>
      <c r="G1775" t="str">
        <f>"700065"</f>
        <v>700065</v>
      </c>
      <c r="H1775" t="str">
        <f>"אלתא מערכות בע""מ"</f>
        <v>אלתא מערכות בע"מ</v>
      </c>
      <c r="I1775" t="str">
        <f>"רוני דידי"</f>
        <v>רוני דידי</v>
      </c>
      <c r="J1775" t="str">
        <f>"PS0300006"</f>
        <v>PS0300006</v>
      </c>
      <c r="K1775" s="1" t="str">
        <f>"TSI-EPC - 380Vac-Module BRAVO"</f>
        <v>TSI-EPC - 380Vac-Module BRAVO</v>
      </c>
      <c r="L1775">
        <v>1</v>
      </c>
      <c r="M1775" t="str">
        <f>"PR22000446"</f>
        <v>PR22000446</v>
      </c>
      <c r="N1775" t="str">
        <f>"תיקון ספקים ללקוח בחול 000365581"</f>
        <v>תיקון ספקים ללקוח בחול 000365581</v>
      </c>
      <c r="O1775">
        <v>0</v>
      </c>
      <c r="P1775" t="str">
        <f>"$"</f>
        <v>$</v>
      </c>
      <c r="Q1775" t="str">
        <f>"112"</f>
        <v>112</v>
      </c>
      <c r="R1775" t="str">
        <f>"תיקון תקלות"</f>
        <v>תיקון תקלות</v>
      </c>
      <c r="S1775" t="str">
        <f>"007"</f>
        <v>007</v>
      </c>
      <c r="T1775" t="str">
        <f>"עמר ליגל"</f>
        <v>עמר ליגל</v>
      </c>
      <c r="U1775">
        <v>0</v>
      </c>
      <c r="V1775">
        <v>0</v>
      </c>
      <c r="W1775">
        <v>0</v>
      </c>
      <c r="X1775">
        <v>0</v>
      </c>
      <c r="AA1775">
        <v>1</v>
      </c>
      <c r="AC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 t="str">
        <f>"$"</f>
        <v>$</v>
      </c>
    </row>
    <row r="1776" spans="1:38" x14ac:dyDescent="0.3">
      <c r="A1776" t="str">
        <f>"SO22000223"</f>
        <v>SO22000223</v>
      </c>
      <c r="B1776" t="str">
        <f>"E000365581"</f>
        <v>E000365581</v>
      </c>
      <c r="C1776" t="str">
        <f>"מאושרת לבצוע"</f>
        <v>מאושרת לבצוע</v>
      </c>
      <c r="E1776" s="3">
        <v>44720</v>
      </c>
      <c r="F1776" s="3">
        <v>44788</v>
      </c>
      <c r="G1776" t="str">
        <f>"700065"</f>
        <v>700065</v>
      </c>
      <c r="H1776" t="str">
        <f>"אלתא מערכות בע""מ"</f>
        <v>אלתא מערכות בע"מ</v>
      </c>
      <c r="I1776" t="str">
        <f>"רוני דידי"</f>
        <v>רוני דידי</v>
      </c>
      <c r="J1776" t="str">
        <f>"PS0300006"</f>
        <v>PS0300006</v>
      </c>
      <c r="K1776" s="1" t="str">
        <f>"TSI-EPC - 380Vac-Module BRAVO"</f>
        <v>TSI-EPC - 380Vac-Module BRAVO</v>
      </c>
      <c r="L1776">
        <v>1</v>
      </c>
      <c r="M1776" t="str">
        <f>"PR22000446"</f>
        <v>PR22000446</v>
      </c>
      <c r="N1776" t="str">
        <f>"תיקון ספקים ללקוח בחול 000365581"</f>
        <v>תיקון ספקים ללקוח בחול 000365581</v>
      </c>
      <c r="O1776">
        <v>0</v>
      </c>
      <c r="P1776" t="str">
        <f>"$"</f>
        <v>$</v>
      </c>
      <c r="Q1776" t="str">
        <f>"112"</f>
        <v>112</v>
      </c>
      <c r="R1776" t="str">
        <f>"תיקון תקלות"</f>
        <v>תיקון תקלות</v>
      </c>
      <c r="S1776" t="str">
        <f>"007"</f>
        <v>007</v>
      </c>
      <c r="T1776" t="str">
        <f>"עמר ליגל"</f>
        <v>עמר ליגל</v>
      </c>
      <c r="U1776">
        <v>0</v>
      </c>
      <c r="V1776">
        <v>0</v>
      </c>
      <c r="W1776">
        <v>0</v>
      </c>
      <c r="X1776">
        <v>0</v>
      </c>
      <c r="AA1776">
        <v>1</v>
      </c>
      <c r="AC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 t="str">
        <f>"$"</f>
        <v>$</v>
      </c>
    </row>
    <row r="1777" spans="1:38" x14ac:dyDescent="0.3">
      <c r="A1777" t="str">
        <f>"SO22000223"</f>
        <v>SO22000223</v>
      </c>
      <c r="B1777" t="str">
        <f>"E000365581"</f>
        <v>E000365581</v>
      </c>
      <c r="C1777" t="str">
        <f>"מאושרת לבצוע"</f>
        <v>מאושרת לבצוע</v>
      </c>
      <c r="E1777" s="3">
        <v>44720</v>
      </c>
      <c r="F1777" s="3">
        <v>44788</v>
      </c>
      <c r="G1777" t="str">
        <f>"700065"</f>
        <v>700065</v>
      </c>
      <c r="H1777" t="str">
        <f>"אלתא מערכות בע""מ"</f>
        <v>אלתא מערכות בע"מ</v>
      </c>
      <c r="I1777" t="str">
        <f>"רוני דידי"</f>
        <v>רוני דידי</v>
      </c>
      <c r="J1777" t="str">
        <f>"PS0300006"</f>
        <v>PS0300006</v>
      </c>
      <c r="K1777" s="1" t="str">
        <f>"TSI-EPC - 380Vac-Module BRAVO"</f>
        <v>TSI-EPC - 380Vac-Module BRAVO</v>
      </c>
      <c r="L1777">
        <v>1</v>
      </c>
      <c r="M1777" t="str">
        <f>"PR22000446"</f>
        <v>PR22000446</v>
      </c>
      <c r="N1777" t="str">
        <f>"תיקון ספקים ללקוח בחול 000365581"</f>
        <v>תיקון ספקים ללקוח בחול 000365581</v>
      </c>
      <c r="O1777">
        <v>0</v>
      </c>
      <c r="P1777" t="str">
        <f>"$"</f>
        <v>$</v>
      </c>
      <c r="Q1777" t="str">
        <f>"112"</f>
        <v>112</v>
      </c>
      <c r="R1777" t="str">
        <f>"תיקון תקלות"</f>
        <v>תיקון תקלות</v>
      </c>
      <c r="S1777" t="str">
        <f>"007"</f>
        <v>007</v>
      </c>
      <c r="T1777" t="str">
        <f>"עמר ליגל"</f>
        <v>עמר ליגל</v>
      </c>
      <c r="U1777">
        <v>0</v>
      </c>
      <c r="V1777">
        <v>0</v>
      </c>
      <c r="W1777">
        <v>0</v>
      </c>
      <c r="X1777">
        <v>0</v>
      </c>
      <c r="AA1777">
        <v>1</v>
      </c>
      <c r="AC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 t="str">
        <f>"$"</f>
        <v>$</v>
      </c>
    </row>
    <row r="1778" spans="1:38" x14ac:dyDescent="0.3">
      <c r="A1778" t="str">
        <f>"SO22000223"</f>
        <v>SO22000223</v>
      </c>
      <c r="B1778" t="str">
        <f>"E000365581"</f>
        <v>E000365581</v>
      </c>
      <c r="C1778" t="str">
        <f>"מאושרת לבצוע"</f>
        <v>מאושרת לבצוע</v>
      </c>
      <c r="E1778" s="3">
        <v>44720</v>
      </c>
      <c r="F1778" s="3">
        <v>44788</v>
      </c>
      <c r="G1778" t="str">
        <f>"700065"</f>
        <v>700065</v>
      </c>
      <c r="H1778" t="str">
        <f>"אלתא מערכות בע""מ"</f>
        <v>אלתא מערכות בע"מ</v>
      </c>
      <c r="I1778" t="str">
        <f>"רוני דידי"</f>
        <v>רוני דידי</v>
      </c>
      <c r="J1778" t="str">
        <f>"PS0300006"</f>
        <v>PS0300006</v>
      </c>
      <c r="K1778" s="1" t="str">
        <f>"TSI-EPC - 380Vac-Module BRAVO"</f>
        <v>TSI-EPC - 380Vac-Module BRAVO</v>
      </c>
      <c r="L1778">
        <v>1</v>
      </c>
      <c r="M1778" t="str">
        <f>"PR22000446"</f>
        <v>PR22000446</v>
      </c>
      <c r="N1778" t="str">
        <f>"תיקון ספקים ללקוח בחול 000365581"</f>
        <v>תיקון ספקים ללקוח בחול 000365581</v>
      </c>
      <c r="O1778">
        <v>0</v>
      </c>
      <c r="P1778" t="str">
        <f>"$"</f>
        <v>$</v>
      </c>
      <c r="Q1778" t="str">
        <f>"112"</f>
        <v>112</v>
      </c>
      <c r="R1778" t="str">
        <f>"תיקון תקלות"</f>
        <v>תיקון תקלות</v>
      </c>
      <c r="S1778" t="str">
        <f>"007"</f>
        <v>007</v>
      </c>
      <c r="T1778" t="str">
        <f>"עמר ליגל"</f>
        <v>עמר ליגל</v>
      </c>
      <c r="U1778">
        <v>0</v>
      </c>
      <c r="V1778">
        <v>0</v>
      </c>
      <c r="W1778">
        <v>0</v>
      </c>
      <c r="X1778">
        <v>0</v>
      </c>
      <c r="AA1778">
        <v>1</v>
      </c>
      <c r="AC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 t="str">
        <f>"$"</f>
        <v>$</v>
      </c>
    </row>
    <row r="1779" spans="1:38" x14ac:dyDescent="0.3">
      <c r="A1779" t="str">
        <f>"SO22000223"</f>
        <v>SO22000223</v>
      </c>
      <c r="B1779" t="str">
        <f>"E000365581"</f>
        <v>E000365581</v>
      </c>
      <c r="C1779" t="str">
        <f>"מאושרת לבצוע"</f>
        <v>מאושרת לבצוע</v>
      </c>
      <c r="E1779" s="3">
        <v>44720</v>
      </c>
      <c r="F1779" s="3">
        <v>44788</v>
      </c>
      <c r="G1779" t="str">
        <f>"700065"</f>
        <v>700065</v>
      </c>
      <c r="H1779" t="str">
        <f>"אלתא מערכות בע""מ"</f>
        <v>אלתא מערכות בע"מ</v>
      </c>
      <c r="I1779" t="str">
        <f>"רוני דידי"</f>
        <v>רוני דידי</v>
      </c>
      <c r="J1779" t="str">
        <f>"PS0300006"</f>
        <v>PS0300006</v>
      </c>
      <c r="K1779" s="1" t="str">
        <f>"TSI-EPC - 380Vac-Module BRAVO"</f>
        <v>TSI-EPC - 380Vac-Module BRAVO</v>
      </c>
      <c r="L1779">
        <v>1</v>
      </c>
      <c r="M1779" t="str">
        <f>"PR22000446"</f>
        <v>PR22000446</v>
      </c>
      <c r="N1779" t="str">
        <f>"תיקון ספקים ללקוח בחול 000365581"</f>
        <v>תיקון ספקים ללקוח בחול 000365581</v>
      </c>
      <c r="O1779">
        <v>0</v>
      </c>
      <c r="P1779" t="str">
        <f>"$"</f>
        <v>$</v>
      </c>
      <c r="Q1779" t="str">
        <f>"112"</f>
        <v>112</v>
      </c>
      <c r="R1779" t="str">
        <f>"תיקון תקלות"</f>
        <v>תיקון תקלות</v>
      </c>
      <c r="S1779" t="str">
        <f>"007"</f>
        <v>007</v>
      </c>
      <c r="T1779" t="str">
        <f>"עמר ליגל"</f>
        <v>עמר ליגל</v>
      </c>
      <c r="U1779">
        <v>0</v>
      </c>
      <c r="V1779">
        <v>0</v>
      </c>
      <c r="W1779">
        <v>0</v>
      </c>
      <c r="X1779">
        <v>0</v>
      </c>
      <c r="AA1779">
        <v>1</v>
      </c>
      <c r="AC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 t="str">
        <f>"$"</f>
        <v>$</v>
      </c>
    </row>
    <row r="1780" spans="1:38" x14ac:dyDescent="0.3">
      <c r="A1780" t="str">
        <f>"SO22000223"</f>
        <v>SO22000223</v>
      </c>
      <c r="B1780" t="str">
        <f>"E000365581"</f>
        <v>E000365581</v>
      </c>
      <c r="C1780" t="str">
        <f>"מאושרת לבצוע"</f>
        <v>מאושרת לבצוע</v>
      </c>
      <c r="E1780" s="3">
        <v>44720</v>
      </c>
      <c r="F1780" s="3">
        <v>44788</v>
      </c>
      <c r="G1780" t="str">
        <f>"700065"</f>
        <v>700065</v>
      </c>
      <c r="H1780" t="str">
        <f>"אלתא מערכות בע""מ"</f>
        <v>אלתא מערכות בע"מ</v>
      </c>
      <c r="I1780" t="str">
        <f>"רוני דידי"</f>
        <v>רוני דידי</v>
      </c>
      <c r="J1780" t="str">
        <f>"PS0300006"</f>
        <v>PS0300006</v>
      </c>
      <c r="K1780" s="1" t="str">
        <f>"TSI-EPC - 380Vac-Module BRAVO"</f>
        <v>TSI-EPC - 380Vac-Module BRAVO</v>
      </c>
      <c r="L1780">
        <v>1</v>
      </c>
      <c r="M1780" t="str">
        <f>"PR22000446"</f>
        <v>PR22000446</v>
      </c>
      <c r="N1780" t="str">
        <f>"תיקון ספקים ללקוח בחול 000365581"</f>
        <v>תיקון ספקים ללקוח בחול 000365581</v>
      </c>
      <c r="O1780">
        <v>0</v>
      </c>
      <c r="P1780" t="str">
        <f>"$"</f>
        <v>$</v>
      </c>
      <c r="Q1780" t="str">
        <f>"112"</f>
        <v>112</v>
      </c>
      <c r="R1780" t="str">
        <f>"תיקון תקלות"</f>
        <v>תיקון תקלות</v>
      </c>
      <c r="S1780" t="str">
        <f>"007"</f>
        <v>007</v>
      </c>
      <c r="T1780" t="str">
        <f>"עמר ליגל"</f>
        <v>עמר ליגל</v>
      </c>
      <c r="U1780">
        <v>0</v>
      </c>
      <c r="V1780">
        <v>0</v>
      </c>
      <c r="W1780">
        <v>0</v>
      </c>
      <c r="X1780">
        <v>0</v>
      </c>
      <c r="AA1780">
        <v>1</v>
      </c>
      <c r="AC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 t="str">
        <f>"$"</f>
        <v>$</v>
      </c>
    </row>
    <row r="1781" spans="1:38" x14ac:dyDescent="0.3">
      <c r="A1781" t="str">
        <f>"SO22000223"</f>
        <v>SO22000223</v>
      </c>
      <c r="B1781" t="str">
        <f>"E000365581"</f>
        <v>E000365581</v>
      </c>
      <c r="C1781" t="str">
        <f>"מאושרת לבצוע"</f>
        <v>מאושרת לבצוע</v>
      </c>
      <c r="E1781" s="3">
        <v>44720</v>
      </c>
      <c r="F1781" s="3">
        <v>44788</v>
      </c>
      <c r="G1781" t="str">
        <f>"700065"</f>
        <v>700065</v>
      </c>
      <c r="H1781" t="str">
        <f>"אלתא מערכות בע""מ"</f>
        <v>אלתא מערכות בע"מ</v>
      </c>
      <c r="I1781" t="str">
        <f>"רוני דידי"</f>
        <v>רוני דידי</v>
      </c>
      <c r="J1781" t="str">
        <f>"PS0300006"</f>
        <v>PS0300006</v>
      </c>
      <c r="K1781" s="1" t="str">
        <f>"TSI-EPC - 380Vac-Module BRAVO"</f>
        <v>TSI-EPC - 380Vac-Module BRAVO</v>
      </c>
      <c r="L1781">
        <v>1</v>
      </c>
      <c r="M1781" t="str">
        <f>"PR22000446"</f>
        <v>PR22000446</v>
      </c>
      <c r="N1781" t="str">
        <f>"תיקון ספקים ללקוח בחול 000365581"</f>
        <v>תיקון ספקים ללקוח בחול 000365581</v>
      </c>
      <c r="O1781">
        <v>0</v>
      </c>
      <c r="P1781" t="str">
        <f>"$"</f>
        <v>$</v>
      </c>
      <c r="Q1781" t="str">
        <f>"112"</f>
        <v>112</v>
      </c>
      <c r="R1781" t="str">
        <f>"תיקון תקלות"</f>
        <v>תיקון תקלות</v>
      </c>
      <c r="S1781" t="str">
        <f>"007"</f>
        <v>007</v>
      </c>
      <c r="T1781" t="str">
        <f>"עמר ליגל"</f>
        <v>עמר ליגל</v>
      </c>
      <c r="U1781">
        <v>0</v>
      </c>
      <c r="V1781">
        <v>0</v>
      </c>
      <c r="W1781">
        <v>0</v>
      </c>
      <c r="X1781">
        <v>0</v>
      </c>
      <c r="AA1781">
        <v>1</v>
      </c>
      <c r="AC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 t="str">
        <f>"$"</f>
        <v>$</v>
      </c>
    </row>
    <row r="1782" spans="1:38" x14ac:dyDescent="0.3">
      <c r="A1782" t="str">
        <f>"SO22000223"</f>
        <v>SO22000223</v>
      </c>
      <c r="B1782" t="str">
        <f>"E000365581"</f>
        <v>E000365581</v>
      </c>
      <c r="C1782" t="str">
        <f>"מאושרת לבצוע"</f>
        <v>מאושרת לבצוע</v>
      </c>
      <c r="E1782" s="3">
        <v>44720</v>
      </c>
      <c r="F1782" s="3">
        <v>44788</v>
      </c>
      <c r="G1782" t="str">
        <f>"700065"</f>
        <v>700065</v>
      </c>
      <c r="H1782" t="str">
        <f>"אלתא מערכות בע""מ"</f>
        <v>אלתא מערכות בע"מ</v>
      </c>
      <c r="I1782" t="str">
        <f>"רוני דידי"</f>
        <v>רוני דידי</v>
      </c>
      <c r="J1782" t="str">
        <f>"PS0300006"</f>
        <v>PS0300006</v>
      </c>
      <c r="K1782" s="1" t="str">
        <f>"TSI-EPC - 380Vac-Module BRAVO"</f>
        <v>TSI-EPC - 380Vac-Module BRAVO</v>
      </c>
      <c r="L1782">
        <v>1</v>
      </c>
      <c r="M1782" t="str">
        <f>"PR22000446"</f>
        <v>PR22000446</v>
      </c>
      <c r="N1782" t="str">
        <f>"תיקון ספקים ללקוח בחול 000365581"</f>
        <v>תיקון ספקים ללקוח בחול 000365581</v>
      </c>
      <c r="O1782">
        <v>0</v>
      </c>
      <c r="P1782" t="str">
        <f>"$"</f>
        <v>$</v>
      </c>
      <c r="Q1782" t="str">
        <f>"112"</f>
        <v>112</v>
      </c>
      <c r="R1782" t="str">
        <f>"תיקון תקלות"</f>
        <v>תיקון תקלות</v>
      </c>
      <c r="S1782" t="str">
        <f>"007"</f>
        <v>007</v>
      </c>
      <c r="T1782" t="str">
        <f>"עמר ליגל"</f>
        <v>עמר ליגל</v>
      </c>
      <c r="U1782">
        <v>0</v>
      </c>
      <c r="V1782">
        <v>0</v>
      </c>
      <c r="W1782">
        <v>0</v>
      </c>
      <c r="X1782">
        <v>0</v>
      </c>
      <c r="AA1782">
        <v>1</v>
      </c>
      <c r="AC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 t="str">
        <f>"$"</f>
        <v>$</v>
      </c>
    </row>
    <row r="1783" spans="1:38" x14ac:dyDescent="0.3">
      <c r="A1783" t="str">
        <f>"SO22000223"</f>
        <v>SO22000223</v>
      </c>
      <c r="B1783" t="str">
        <f>"E000365581"</f>
        <v>E000365581</v>
      </c>
      <c r="C1783" t="str">
        <f>"מאושרת לבצוע"</f>
        <v>מאושרת לבצוע</v>
      </c>
      <c r="E1783" s="3">
        <v>44720</v>
      </c>
      <c r="F1783" s="3">
        <v>44788</v>
      </c>
      <c r="G1783" t="str">
        <f>"700065"</f>
        <v>700065</v>
      </c>
      <c r="H1783" t="str">
        <f>"אלתא מערכות בע""מ"</f>
        <v>אלתא מערכות בע"מ</v>
      </c>
      <c r="I1783" t="str">
        <f>"רוני דידי"</f>
        <v>רוני דידי</v>
      </c>
      <c r="J1783" t="str">
        <f>"PS0300006"</f>
        <v>PS0300006</v>
      </c>
      <c r="K1783" s="1" t="str">
        <f>"TSI-EPC - 380Vac-Module BRAVO"</f>
        <v>TSI-EPC - 380Vac-Module BRAVO</v>
      </c>
      <c r="L1783">
        <v>0</v>
      </c>
      <c r="M1783" t="str">
        <f>"PR22000446"</f>
        <v>PR22000446</v>
      </c>
      <c r="N1783" t="str">
        <f>"תיקון ספקים ללקוח בחול 000365581"</f>
        <v>תיקון ספקים ללקוח בחול 000365581</v>
      </c>
      <c r="O1783">
        <v>0</v>
      </c>
      <c r="P1783" t="str">
        <f>"$"</f>
        <v>$</v>
      </c>
      <c r="Q1783" t="str">
        <f>"112"</f>
        <v>112</v>
      </c>
      <c r="R1783" t="str">
        <f>"תיקון תקלות"</f>
        <v>תיקון תקלות</v>
      </c>
      <c r="S1783" t="str">
        <f>"007"</f>
        <v>007</v>
      </c>
      <c r="T1783" t="str">
        <f>"עמר ליגל"</f>
        <v>עמר ליגל</v>
      </c>
      <c r="U1783">
        <v>0</v>
      </c>
      <c r="V1783">
        <v>0</v>
      </c>
      <c r="W1783">
        <v>0</v>
      </c>
      <c r="X1783">
        <v>0</v>
      </c>
      <c r="AA1783">
        <v>0</v>
      </c>
      <c r="AC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 t="str">
        <f>"$"</f>
        <v>$</v>
      </c>
    </row>
    <row r="1784" spans="1:38" x14ac:dyDescent="0.3">
      <c r="A1784" t="str">
        <f>"SO22000224"</f>
        <v>SO22000224</v>
      </c>
      <c r="B1784" t="str">
        <f>"E000365358"</f>
        <v>E000365358</v>
      </c>
      <c r="C1784" t="str">
        <f>"בוצעה"</f>
        <v>בוצעה</v>
      </c>
      <c r="E1784" s="3">
        <v>44720</v>
      </c>
      <c r="F1784" s="3">
        <v>44743</v>
      </c>
      <c r="G1784" t="str">
        <f>"700065"</f>
        <v>700065</v>
      </c>
      <c r="H1784" t="str">
        <f>"אלתא מערכות בע""מ"</f>
        <v>אלתא מערכות בע"מ</v>
      </c>
      <c r="I1784" t="str">
        <f>"רחמים זרוק"</f>
        <v>רחמים זרוק</v>
      </c>
      <c r="J1784" t="str">
        <f>"cust001347"</f>
        <v>cust001347</v>
      </c>
      <c r="K1784" s="1" t="str">
        <f>"1036U472-001 ELTA"</f>
        <v>1036U472-001 ELTA</v>
      </c>
      <c r="L1784">
        <v>5</v>
      </c>
      <c r="O1784">
        <v>0.01</v>
      </c>
      <c r="P1784" t="str">
        <f>"$"</f>
        <v>$</v>
      </c>
      <c r="Q1784" t="str">
        <f>"117"</f>
        <v>117</v>
      </c>
      <c r="R1784" t="str">
        <f>"רתמות"</f>
        <v>רתמות</v>
      </c>
      <c r="S1784" t="str">
        <f>"040"</f>
        <v>040</v>
      </c>
      <c r="T1784" t="str">
        <f>"עמר ליגל"</f>
        <v>עמר ליגל</v>
      </c>
      <c r="U1784">
        <v>0</v>
      </c>
      <c r="V1784">
        <v>0</v>
      </c>
      <c r="W1784">
        <v>0.01</v>
      </c>
      <c r="X1784">
        <v>0.05</v>
      </c>
      <c r="Z1784" t="str">
        <f>"Y"</f>
        <v>Y</v>
      </c>
      <c r="AA1784">
        <v>0</v>
      </c>
      <c r="AC1784">
        <v>0</v>
      </c>
      <c r="AE1784">
        <v>0</v>
      </c>
      <c r="AF1784">
        <v>0</v>
      </c>
      <c r="AG1784">
        <v>0.03</v>
      </c>
      <c r="AH1784">
        <v>0</v>
      </c>
      <c r="AI1784">
        <v>0.17</v>
      </c>
      <c r="AJ1784">
        <v>0.05</v>
      </c>
      <c r="AK1784">
        <v>0.05</v>
      </c>
      <c r="AL1784" t="str">
        <f>"$"</f>
        <v>$</v>
      </c>
    </row>
    <row r="1785" spans="1:38" x14ac:dyDescent="0.3">
      <c r="A1785" t="str">
        <f>"SO22000224"</f>
        <v>SO22000224</v>
      </c>
      <c r="B1785" t="str">
        <f>"E000365358"</f>
        <v>E000365358</v>
      </c>
      <c r="C1785" t="str">
        <f>"בוצעה"</f>
        <v>בוצעה</v>
      </c>
      <c r="E1785" s="3">
        <v>44720</v>
      </c>
      <c r="F1785" s="3">
        <v>44743</v>
      </c>
      <c r="G1785" t="str">
        <f>"700065"</f>
        <v>700065</v>
      </c>
      <c r="H1785" t="str">
        <f>"אלתא מערכות בע""מ"</f>
        <v>אלתא מערכות בע"מ</v>
      </c>
      <c r="I1785" t="str">
        <f>"רחמים זרוק"</f>
        <v>רחמים זרוק</v>
      </c>
      <c r="J1785" t="str">
        <f>"cust001347"</f>
        <v>cust001347</v>
      </c>
      <c r="K1785" s="1" t="str">
        <f>"1036U472-001 ELTA"</f>
        <v>1036U472-001 ELTA</v>
      </c>
      <c r="L1785">
        <v>2</v>
      </c>
      <c r="O1785">
        <v>0.01</v>
      </c>
      <c r="P1785" t="str">
        <f>"$"</f>
        <v>$</v>
      </c>
      <c r="Q1785" t="str">
        <f>"117"</f>
        <v>117</v>
      </c>
      <c r="R1785" t="str">
        <f>"רתמות"</f>
        <v>רתמות</v>
      </c>
      <c r="S1785" t="str">
        <f>"040"</f>
        <v>040</v>
      </c>
      <c r="T1785" t="str">
        <f>"עמר ליגל"</f>
        <v>עמר ליגל</v>
      </c>
      <c r="U1785">
        <v>0</v>
      </c>
      <c r="V1785">
        <v>0</v>
      </c>
      <c r="W1785">
        <v>0.01</v>
      </c>
      <c r="X1785">
        <v>0.02</v>
      </c>
      <c r="Z1785" t="str">
        <f>"Y"</f>
        <v>Y</v>
      </c>
      <c r="AA1785">
        <v>0</v>
      </c>
      <c r="AC1785">
        <v>0</v>
      </c>
      <c r="AE1785">
        <v>0</v>
      </c>
      <c r="AF1785">
        <v>0</v>
      </c>
      <c r="AG1785">
        <v>0.03</v>
      </c>
      <c r="AH1785">
        <v>0</v>
      </c>
      <c r="AI1785">
        <v>7.0000000000000007E-2</v>
      </c>
      <c r="AJ1785">
        <v>0.02</v>
      </c>
      <c r="AK1785">
        <v>0.02</v>
      </c>
      <c r="AL1785" t="str">
        <f>"$"</f>
        <v>$</v>
      </c>
    </row>
    <row r="1786" spans="1:38" x14ac:dyDescent="0.3">
      <c r="A1786" t="str">
        <f>"SO22000224"</f>
        <v>SO22000224</v>
      </c>
      <c r="B1786" t="str">
        <f>"E000365358"</f>
        <v>E000365358</v>
      </c>
      <c r="C1786" t="str">
        <f>"בוצעה"</f>
        <v>בוצעה</v>
      </c>
      <c r="E1786" s="3">
        <v>44720</v>
      </c>
      <c r="F1786" s="3">
        <v>44743</v>
      </c>
      <c r="G1786" t="str">
        <f>"700065"</f>
        <v>700065</v>
      </c>
      <c r="H1786" t="str">
        <f>"אלתא מערכות בע""מ"</f>
        <v>אלתא מערכות בע"מ</v>
      </c>
      <c r="I1786" t="str">
        <f>"רחמים זרוק"</f>
        <v>רחמים זרוק</v>
      </c>
      <c r="J1786" t="str">
        <f>"cust001346"</f>
        <v>cust001346</v>
      </c>
      <c r="K1786" s="1" t="str">
        <f>"1036U471-001 ELTA"</f>
        <v>1036U471-001 ELTA</v>
      </c>
      <c r="L1786">
        <v>7</v>
      </c>
      <c r="O1786">
        <v>0.01</v>
      </c>
      <c r="P1786" t="str">
        <f>"$"</f>
        <v>$</v>
      </c>
      <c r="Q1786" t="str">
        <f>"117"</f>
        <v>117</v>
      </c>
      <c r="R1786" t="str">
        <f>"רתמות"</f>
        <v>רתמות</v>
      </c>
      <c r="S1786" t="str">
        <f>"040"</f>
        <v>040</v>
      </c>
      <c r="T1786" t="str">
        <f>"עמר ליגל"</f>
        <v>עמר ליגל</v>
      </c>
      <c r="U1786">
        <v>0</v>
      </c>
      <c r="V1786">
        <v>0</v>
      </c>
      <c r="W1786">
        <v>0.01</v>
      </c>
      <c r="X1786">
        <v>7.0000000000000007E-2</v>
      </c>
      <c r="Z1786" t="str">
        <f>"Y"</f>
        <v>Y</v>
      </c>
      <c r="AA1786">
        <v>0</v>
      </c>
      <c r="AC1786">
        <v>0</v>
      </c>
      <c r="AE1786">
        <v>0</v>
      </c>
      <c r="AF1786">
        <v>0</v>
      </c>
      <c r="AG1786">
        <v>0.03</v>
      </c>
      <c r="AH1786">
        <v>0</v>
      </c>
      <c r="AI1786">
        <v>0.23</v>
      </c>
      <c r="AJ1786">
        <v>7.0000000000000007E-2</v>
      </c>
      <c r="AK1786">
        <v>7.0000000000000007E-2</v>
      </c>
      <c r="AL1786" t="str">
        <f>"$"</f>
        <v>$</v>
      </c>
    </row>
    <row r="1787" spans="1:38" x14ac:dyDescent="0.3">
      <c r="A1787" t="str">
        <f>"SO22000225"</f>
        <v>SO22000225</v>
      </c>
      <c r="B1787" t="str">
        <f>"E000365974"</f>
        <v>E000365974</v>
      </c>
      <c r="C1787" t="str">
        <f>"בוצעה"</f>
        <v>בוצעה</v>
      </c>
      <c r="E1787" s="3">
        <v>44720</v>
      </c>
      <c r="F1787" s="3">
        <v>44742</v>
      </c>
      <c r="G1787" t="str">
        <f>"700065"</f>
        <v>700065</v>
      </c>
      <c r="H1787" t="str">
        <f>"אלתא מערכות בע""מ"</f>
        <v>אלתא מערכות בע"מ</v>
      </c>
      <c r="I1787" t="str">
        <f>"רוני דידי"</f>
        <v>רוני דידי</v>
      </c>
      <c r="J1787" t="str">
        <f>"PS0300006"</f>
        <v>PS0300006</v>
      </c>
      <c r="K1787" s="1" t="str">
        <f>"TSI-EPC - 380Vac-Module BRAVO"</f>
        <v>TSI-EPC - 380Vac-Module BRAVO</v>
      </c>
      <c r="L1787">
        <v>28</v>
      </c>
      <c r="M1787" t="str">
        <f>"PR22000469"</f>
        <v>PR22000469</v>
      </c>
      <c r="N1787" t="str">
        <f>"PS0300006"</f>
        <v>PS0300006</v>
      </c>
      <c r="O1787" s="2">
        <v>1950</v>
      </c>
      <c r="P1787" t="str">
        <f>"$"</f>
        <v>$</v>
      </c>
      <c r="Q1787" t="str">
        <f>"118"</f>
        <v>118</v>
      </c>
      <c r="R1787" t="str">
        <f>"מערכות"</f>
        <v>מערכות</v>
      </c>
      <c r="S1787" t="str">
        <f>"007"</f>
        <v>007</v>
      </c>
      <c r="T1787" t="str">
        <f>"עמר ליגל"</f>
        <v>עמר ליגל</v>
      </c>
      <c r="U1787">
        <v>0</v>
      </c>
      <c r="V1787">
        <v>0</v>
      </c>
      <c r="W1787" s="2">
        <v>1950</v>
      </c>
      <c r="X1787" s="2">
        <v>54600</v>
      </c>
      <c r="Z1787" t="str">
        <f>"Y"</f>
        <v>Y</v>
      </c>
      <c r="AA1787">
        <v>0</v>
      </c>
      <c r="AC1787">
        <v>0</v>
      </c>
      <c r="AE1787">
        <v>0</v>
      </c>
      <c r="AF1787">
        <v>0</v>
      </c>
      <c r="AG1787" s="2">
        <v>6511.05</v>
      </c>
      <c r="AH1787">
        <v>0</v>
      </c>
      <c r="AI1787" s="2">
        <v>182309.4</v>
      </c>
      <c r="AJ1787" s="2">
        <v>54600</v>
      </c>
      <c r="AK1787" s="2">
        <v>54600</v>
      </c>
      <c r="AL1787" t="str">
        <f>"$"</f>
        <v>$</v>
      </c>
    </row>
    <row r="1788" spans="1:38" x14ac:dyDescent="0.3">
      <c r="A1788" t="str">
        <f>"SO22000225"</f>
        <v>SO22000225</v>
      </c>
      <c r="B1788" t="str">
        <f>"E000365974"</f>
        <v>E000365974</v>
      </c>
      <c r="C1788" t="str">
        <f>"בוצעה"</f>
        <v>בוצעה</v>
      </c>
      <c r="E1788" s="3">
        <v>44720</v>
      </c>
      <c r="F1788" s="3">
        <v>44742</v>
      </c>
      <c r="G1788" t="str">
        <f>"700065"</f>
        <v>700065</v>
      </c>
      <c r="H1788" t="str">
        <f>"אלתא מערכות בע""מ"</f>
        <v>אלתא מערכות בע"מ</v>
      </c>
      <c r="I1788" t="str">
        <f>"רוני דידי"</f>
        <v>רוני דידי</v>
      </c>
      <c r="J1788" t="str">
        <f>"PS0300006"</f>
        <v>PS0300006</v>
      </c>
      <c r="K1788" s="1" t="str">
        <f>"TSI-EPC - 380Vac-Module BRAVO"</f>
        <v>TSI-EPC - 380Vac-Module BRAVO</v>
      </c>
      <c r="L1788">
        <v>4</v>
      </c>
      <c r="M1788" t="str">
        <f>"PR22000469"</f>
        <v>PR22000469</v>
      </c>
      <c r="N1788" t="str">
        <f>"PS0300006"</f>
        <v>PS0300006</v>
      </c>
      <c r="O1788" s="2">
        <v>1950</v>
      </c>
      <c r="P1788" t="str">
        <f>"$"</f>
        <v>$</v>
      </c>
      <c r="Q1788" t="str">
        <f>"118"</f>
        <v>118</v>
      </c>
      <c r="R1788" t="str">
        <f>"מערכות"</f>
        <v>מערכות</v>
      </c>
      <c r="S1788" t="str">
        <f>"007"</f>
        <v>007</v>
      </c>
      <c r="T1788" t="str">
        <f>"עמר ליגל"</f>
        <v>עמר ליגל</v>
      </c>
      <c r="U1788">
        <v>0</v>
      </c>
      <c r="V1788">
        <v>0</v>
      </c>
      <c r="W1788" s="2">
        <v>1950</v>
      </c>
      <c r="X1788" s="2">
        <v>7800</v>
      </c>
      <c r="Z1788" t="str">
        <f>"Y"</f>
        <v>Y</v>
      </c>
      <c r="AA1788">
        <v>0</v>
      </c>
      <c r="AC1788">
        <v>0</v>
      </c>
      <c r="AE1788">
        <v>0</v>
      </c>
      <c r="AF1788">
        <v>0</v>
      </c>
      <c r="AG1788" s="2">
        <v>6511.05</v>
      </c>
      <c r="AH1788">
        <v>0</v>
      </c>
      <c r="AI1788" s="2">
        <v>26044.2</v>
      </c>
      <c r="AJ1788" s="2">
        <v>7800</v>
      </c>
      <c r="AK1788" s="2">
        <v>7800</v>
      </c>
      <c r="AL1788" t="str">
        <f>"$"</f>
        <v>$</v>
      </c>
    </row>
    <row r="1789" spans="1:38" x14ac:dyDescent="0.3">
      <c r="A1789" t="str">
        <f>"SO22000228"</f>
        <v>SO22000228</v>
      </c>
      <c r="B1789" t="str">
        <f>"E000366429"</f>
        <v>E000366429</v>
      </c>
      <c r="C1789" t="str">
        <f>"בוצעה"</f>
        <v>בוצעה</v>
      </c>
      <c r="E1789" s="3">
        <v>44721</v>
      </c>
      <c r="F1789" s="3">
        <v>44804</v>
      </c>
      <c r="G1789" t="str">
        <f>"700065"</f>
        <v>700065</v>
      </c>
      <c r="H1789" t="str">
        <f>"אלתא מערכות בע""מ"</f>
        <v>אלתא מערכות בע"מ</v>
      </c>
      <c r="I1789" t="str">
        <f>"רוני דידי"</f>
        <v>רוני דידי</v>
      </c>
      <c r="J1789" t="str">
        <f>"cust001348"</f>
        <v>cust001348</v>
      </c>
      <c r="K1789" s="1" t="str">
        <f>"241119.815 ELTA"</f>
        <v>241119.815 ELTA</v>
      </c>
      <c r="L1789">
        <v>1</v>
      </c>
      <c r="O1789">
        <v>0.1</v>
      </c>
      <c r="P1789" t="str">
        <f>"$"</f>
        <v>$</v>
      </c>
      <c r="Q1789" t="str">
        <f>"118"</f>
        <v>118</v>
      </c>
      <c r="R1789" t="str">
        <f>"מערכות"</f>
        <v>מערכות</v>
      </c>
      <c r="S1789" t="str">
        <f>"007"</f>
        <v>007</v>
      </c>
      <c r="T1789" t="str">
        <f>"עמר ליגל"</f>
        <v>עמר ליגל</v>
      </c>
      <c r="U1789">
        <v>0</v>
      </c>
      <c r="V1789">
        <v>0</v>
      </c>
      <c r="W1789">
        <v>0.1</v>
      </c>
      <c r="X1789">
        <v>0.1</v>
      </c>
      <c r="Z1789" t="str">
        <f>"Y"</f>
        <v>Y</v>
      </c>
      <c r="AA1789">
        <v>0</v>
      </c>
      <c r="AC1789">
        <v>0</v>
      </c>
      <c r="AE1789">
        <v>0</v>
      </c>
      <c r="AF1789">
        <v>0</v>
      </c>
      <c r="AG1789">
        <v>0.33</v>
      </c>
      <c r="AH1789">
        <v>0</v>
      </c>
      <c r="AI1789">
        <v>0.33</v>
      </c>
      <c r="AJ1789">
        <v>0.1</v>
      </c>
      <c r="AK1789">
        <v>0.1</v>
      </c>
      <c r="AL1789" t="str">
        <f>"$"</f>
        <v>$</v>
      </c>
    </row>
    <row r="1790" spans="1:38" x14ac:dyDescent="0.3">
      <c r="A1790" t="str">
        <f>"SO22000228"</f>
        <v>SO22000228</v>
      </c>
      <c r="B1790" t="str">
        <f>"E000366429"</f>
        <v>E000366429</v>
      </c>
      <c r="C1790" t="str">
        <f>"בוצעה"</f>
        <v>בוצעה</v>
      </c>
      <c r="E1790" s="3">
        <v>44721</v>
      </c>
      <c r="F1790" s="3">
        <v>44912</v>
      </c>
      <c r="G1790" t="str">
        <f>"700065"</f>
        <v>700065</v>
      </c>
      <c r="H1790" t="str">
        <f>"אלתא מערכות בע""מ"</f>
        <v>אלתא מערכות בע"מ</v>
      </c>
      <c r="I1790" t="str">
        <f>"רוני דידי"</f>
        <v>רוני דידי</v>
      </c>
      <c r="J1790" t="str">
        <f>"cust001348"</f>
        <v>cust001348</v>
      </c>
      <c r="K1790" s="1" t="str">
        <f>"241119.815 ELTA"</f>
        <v>241119.815 ELTA</v>
      </c>
      <c r="L1790">
        <v>1</v>
      </c>
      <c r="O1790">
        <v>0</v>
      </c>
      <c r="P1790" t="str">
        <f>"$"</f>
        <v>$</v>
      </c>
      <c r="Q1790" t="str">
        <f>"118"</f>
        <v>118</v>
      </c>
      <c r="R1790" t="str">
        <f>"מערכות"</f>
        <v>מערכות</v>
      </c>
      <c r="S1790" t="str">
        <f>"007"</f>
        <v>007</v>
      </c>
      <c r="T1790" t="str">
        <f>"עמר ליגל"</f>
        <v>עמר ליגל</v>
      </c>
      <c r="U1790">
        <v>0</v>
      </c>
      <c r="V1790">
        <v>0</v>
      </c>
      <c r="W1790">
        <v>0</v>
      </c>
      <c r="X1790">
        <v>0</v>
      </c>
      <c r="Z1790" t="str">
        <f>"Y"</f>
        <v>Y</v>
      </c>
      <c r="AA1790">
        <v>0</v>
      </c>
      <c r="AC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 t="str">
        <f>"$"</f>
        <v>$</v>
      </c>
    </row>
    <row r="1791" spans="1:38" x14ac:dyDescent="0.3">
      <c r="A1791" t="str">
        <f>"SO22000228"</f>
        <v>SO22000228</v>
      </c>
      <c r="B1791" t="str">
        <f>"E000366429"</f>
        <v>E000366429</v>
      </c>
      <c r="C1791" t="str">
        <f>"בוצעה"</f>
        <v>בוצעה</v>
      </c>
      <c r="E1791" s="3">
        <v>44721</v>
      </c>
      <c r="F1791" s="3">
        <v>44912</v>
      </c>
      <c r="G1791" t="str">
        <f>"700065"</f>
        <v>700065</v>
      </c>
      <c r="H1791" t="str">
        <f>"אלתא מערכות בע""מ"</f>
        <v>אלתא מערכות בע"מ</v>
      </c>
      <c r="I1791" t="str">
        <f>"רוני דידי"</f>
        <v>רוני דידי</v>
      </c>
      <c r="J1791" t="str">
        <f>"cust001348"</f>
        <v>cust001348</v>
      </c>
      <c r="K1791" s="1" t="str">
        <f>"241119.815 ELTA"</f>
        <v>241119.815 ELTA</v>
      </c>
      <c r="L1791">
        <v>1</v>
      </c>
      <c r="O1791">
        <v>0</v>
      </c>
      <c r="P1791" t="str">
        <f>"$"</f>
        <v>$</v>
      </c>
      <c r="Q1791" t="str">
        <f>"118"</f>
        <v>118</v>
      </c>
      <c r="R1791" t="str">
        <f>"מערכות"</f>
        <v>מערכות</v>
      </c>
      <c r="S1791" t="str">
        <f>"007"</f>
        <v>007</v>
      </c>
      <c r="T1791" t="str">
        <f>"עמר ליגל"</f>
        <v>עמר ליגל</v>
      </c>
      <c r="U1791">
        <v>0</v>
      </c>
      <c r="V1791">
        <v>0</v>
      </c>
      <c r="W1791">
        <v>0</v>
      </c>
      <c r="X1791">
        <v>0</v>
      </c>
      <c r="Z1791" t="str">
        <f>"Y"</f>
        <v>Y</v>
      </c>
      <c r="AA1791">
        <v>0</v>
      </c>
      <c r="AC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 t="str">
        <f>"$"</f>
        <v>$</v>
      </c>
    </row>
    <row r="1792" spans="1:38" x14ac:dyDescent="0.3">
      <c r="A1792" t="str">
        <f>"SO22000228"</f>
        <v>SO22000228</v>
      </c>
      <c r="B1792" t="str">
        <f>"E000366429"</f>
        <v>E000366429</v>
      </c>
      <c r="C1792" t="str">
        <f>"בוצעה"</f>
        <v>בוצעה</v>
      </c>
      <c r="E1792" s="3">
        <v>44721</v>
      </c>
      <c r="F1792" s="3">
        <v>44912</v>
      </c>
      <c r="G1792" t="str">
        <f>"700065"</f>
        <v>700065</v>
      </c>
      <c r="H1792" t="str">
        <f>"אלתא מערכות בע""מ"</f>
        <v>אלתא מערכות בע"מ</v>
      </c>
      <c r="I1792" t="str">
        <f>"רוני דידי"</f>
        <v>רוני דידי</v>
      </c>
      <c r="J1792" t="str">
        <f>"cust001348"</f>
        <v>cust001348</v>
      </c>
      <c r="K1792" s="1" t="str">
        <f>"241119.815 ELTA"</f>
        <v>241119.815 ELTA</v>
      </c>
      <c r="L1792">
        <v>1</v>
      </c>
      <c r="O1792">
        <v>0</v>
      </c>
      <c r="P1792" t="str">
        <f>"$"</f>
        <v>$</v>
      </c>
      <c r="Q1792" t="str">
        <f>"118"</f>
        <v>118</v>
      </c>
      <c r="R1792" t="str">
        <f>"מערכות"</f>
        <v>מערכות</v>
      </c>
      <c r="S1792" t="str">
        <f>"007"</f>
        <v>007</v>
      </c>
      <c r="T1792" t="str">
        <f>"עמר ליגל"</f>
        <v>עמר ליגל</v>
      </c>
      <c r="U1792">
        <v>0</v>
      </c>
      <c r="V1792">
        <v>0</v>
      </c>
      <c r="W1792">
        <v>0</v>
      </c>
      <c r="X1792">
        <v>0</v>
      </c>
      <c r="Z1792" t="str">
        <f>"Y"</f>
        <v>Y</v>
      </c>
      <c r="AA1792">
        <v>0</v>
      </c>
      <c r="AC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 t="str">
        <f>"$"</f>
        <v>$</v>
      </c>
    </row>
    <row r="1793" spans="1:38" x14ac:dyDescent="0.3">
      <c r="A1793" t="str">
        <f>"SO22000228"</f>
        <v>SO22000228</v>
      </c>
      <c r="B1793" t="str">
        <f>"E000366429"</f>
        <v>E000366429</v>
      </c>
      <c r="C1793" t="str">
        <f>"בוצעה"</f>
        <v>בוצעה</v>
      </c>
      <c r="E1793" s="3">
        <v>44721</v>
      </c>
      <c r="F1793" s="3">
        <v>44912</v>
      </c>
      <c r="G1793" t="str">
        <f>"700065"</f>
        <v>700065</v>
      </c>
      <c r="H1793" t="str">
        <f>"אלתא מערכות בע""מ"</f>
        <v>אלתא מערכות בע"מ</v>
      </c>
      <c r="I1793" t="str">
        <f>"רוני דידי"</f>
        <v>רוני דידי</v>
      </c>
      <c r="J1793" t="str">
        <f>"cust001348"</f>
        <v>cust001348</v>
      </c>
      <c r="K1793" s="1" t="str">
        <f>"241119.815 ELTA"</f>
        <v>241119.815 ELTA</v>
      </c>
      <c r="L1793">
        <v>1</v>
      </c>
      <c r="O1793">
        <v>0</v>
      </c>
      <c r="P1793" t="str">
        <f>"$"</f>
        <v>$</v>
      </c>
      <c r="Q1793" t="str">
        <f>"118"</f>
        <v>118</v>
      </c>
      <c r="R1793" t="str">
        <f>"מערכות"</f>
        <v>מערכות</v>
      </c>
      <c r="S1793" t="str">
        <f>"007"</f>
        <v>007</v>
      </c>
      <c r="T1793" t="str">
        <f>"עמר ליגל"</f>
        <v>עמר ליגל</v>
      </c>
      <c r="U1793">
        <v>0</v>
      </c>
      <c r="V1793">
        <v>0</v>
      </c>
      <c r="W1793">
        <v>0</v>
      </c>
      <c r="X1793">
        <v>0</v>
      </c>
      <c r="Z1793" t="str">
        <f>"Y"</f>
        <v>Y</v>
      </c>
      <c r="AA1793">
        <v>0</v>
      </c>
      <c r="AC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 t="str">
        <f>"$"</f>
        <v>$</v>
      </c>
    </row>
    <row r="1794" spans="1:38" x14ac:dyDescent="0.3">
      <c r="A1794" t="str">
        <f>"SO22000228"</f>
        <v>SO22000228</v>
      </c>
      <c r="B1794" t="str">
        <f>"E000366429"</f>
        <v>E000366429</v>
      </c>
      <c r="C1794" t="str">
        <f>"בוצעה"</f>
        <v>בוצעה</v>
      </c>
      <c r="E1794" s="3">
        <v>44721</v>
      </c>
      <c r="F1794" s="3">
        <v>44912</v>
      </c>
      <c r="G1794" t="str">
        <f>"700065"</f>
        <v>700065</v>
      </c>
      <c r="H1794" t="str">
        <f>"אלתא מערכות בע""מ"</f>
        <v>אלתא מערכות בע"מ</v>
      </c>
      <c r="I1794" t="str">
        <f>"רוני דידי"</f>
        <v>רוני דידי</v>
      </c>
      <c r="J1794" t="str">
        <f>"cust001348"</f>
        <v>cust001348</v>
      </c>
      <c r="K1794" s="1" t="str">
        <f>"241119.815 ELTA"</f>
        <v>241119.815 ELTA</v>
      </c>
      <c r="L1794">
        <v>1</v>
      </c>
      <c r="O1794">
        <v>0</v>
      </c>
      <c r="P1794" t="str">
        <f>"$"</f>
        <v>$</v>
      </c>
      <c r="Q1794" t="str">
        <f>"118"</f>
        <v>118</v>
      </c>
      <c r="R1794" t="str">
        <f>"מערכות"</f>
        <v>מערכות</v>
      </c>
      <c r="S1794" t="str">
        <f>"007"</f>
        <v>007</v>
      </c>
      <c r="T1794" t="str">
        <f>"עמר ליגל"</f>
        <v>עמר ליגל</v>
      </c>
      <c r="U1794">
        <v>0</v>
      </c>
      <c r="V1794">
        <v>0</v>
      </c>
      <c r="W1794">
        <v>0</v>
      </c>
      <c r="X1794">
        <v>0</v>
      </c>
      <c r="Z1794" t="str">
        <f>"Y"</f>
        <v>Y</v>
      </c>
      <c r="AA1794">
        <v>0</v>
      </c>
      <c r="AC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 t="str">
        <f>"$"</f>
        <v>$</v>
      </c>
    </row>
    <row r="1795" spans="1:38" x14ac:dyDescent="0.3">
      <c r="A1795" t="str">
        <f>"SO22000228"</f>
        <v>SO22000228</v>
      </c>
      <c r="B1795" t="str">
        <f>"E000366429"</f>
        <v>E000366429</v>
      </c>
      <c r="C1795" t="str">
        <f>"בוצעה"</f>
        <v>בוצעה</v>
      </c>
      <c r="E1795" s="3">
        <v>44721</v>
      </c>
      <c r="F1795" s="3">
        <v>44912</v>
      </c>
      <c r="G1795" t="str">
        <f>"700065"</f>
        <v>700065</v>
      </c>
      <c r="H1795" t="str">
        <f>"אלתא מערכות בע""מ"</f>
        <v>אלתא מערכות בע"מ</v>
      </c>
      <c r="I1795" t="str">
        <f>"רוני דידי"</f>
        <v>רוני דידי</v>
      </c>
      <c r="J1795" t="str">
        <f>"cust001348"</f>
        <v>cust001348</v>
      </c>
      <c r="K1795" s="1" t="str">
        <f>"241119.815 ELTA"</f>
        <v>241119.815 ELTA</v>
      </c>
      <c r="L1795">
        <v>1</v>
      </c>
      <c r="O1795">
        <v>0</v>
      </c>
      <c r="P1795" t="str">
        <f>"$"</f>
        <v>$</v>
      </c>
      <c r="Q1795" t="str">
        <f>"118"</f>
        <v>118</v>
      </c>
      <c r="R1795" t="str">
        <f>"מערכות"</f>
        <v>מערכות</v>
      </c>
      <c r="S1795" t="str">
        <f>"007"</f>
        <v>007</v>
      </c>
      <c r="T1795" t="str">
        <f>"עמר ליגל"</f>
        <v>עמר ליגל</v>
      </c>
      <c r="U1795">
        <v>0</v>
      </c>
      <c r="V1795">
        <v>0</v>
      </c>
      <c r="W1795">
        <v>0</v>
      </c>
      <c r="X1795">
        <v>0</v>
      </c>
      <c r="Z1795" t="str">
        <f>"Y"</f>
        <v>Y</v>
      </c>
      <c r="AA1795">
        <v>0</v>
      </c>
      <c r="AC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 t="str">
        <f>"$"</f>
        <v>$</v>
      </c>
    </row>
    <row r="1796" spans="1:38" x14ac:dyDescent="0.3">
      <c r="A1796" t="str">
        <f>"SO22000228"</f>
        <v>SO22000228</v>
      </c>
      <c r="B1796" t="str">
        <f>"E000366429"</f>
        <v>E000366429</v>
      </c>
      <c r="C1796" t="str">
        <f>"בוצעה"</f>
        <v>בוצעה</v>
      </c>
      <c r="E1796" s="3">
        <v>44721</v>
      </c>
      <c r="F1796" s="3">
        <v>44912</v>
      </c>
      <c r="G1796" t="str">
        <f>"700065"</f>
        <v>700065</v>
      </c>
      <c r="H1796" t="str">
        <f>"אלתא מערכות בע""מ"</f>
        <v>אלתא מערכות בע"מ</v>
      </c>
      <c r="I1796" t="str">
        <f>"רוני דידי"</f>
        <v>רוני דידי</v>
      </c>
      <c r="J1796" t="str">
        <f>"cust001348"</f>
        <v>cust001348</v>
      </c>
      <c r="K1796" s="1" t="str">
        <f>"241119.815 ELTA"</f>
        <v>241119.815 ELTA</v>
      </c>
      <c r="L1796">
        <v>1</v>
      </c>
      <c r="O1796">
        <v>0</v>
      </c>
      <c r="P1796" t="str">
        <f>"$"</f>
        <v>$</v>
      </c>
      <c r="Q1796" t="str">
        <f>"118"</f>
        <v>118</v>
      </c>
      <c r="R1796" t="str">
        <f>"מערכות"</f>
        <v>מערכות</v>
      </c>
      <c r="S1796" t="str">
        <f>"007"</f>
        <v>007</v>
      </c>
      <c r="T1796" t="str">
        <f>"עמר ליגל"</f>
        <v>עמר ליגל</v>
      </c>
      <c r="U1796">
        <v>0</v>
      </c>
      <c r="V1796">
        <v>0</v>
      </c>
      <c r="W1796">
        <v>0</v>
      </c>
      <c r="X1796">
        <v>0</v>
      </c>
      <c r="Z1796" t="str">
        <f>"Y"</f>
        <v>Y</v>
      </c>
      <c r="AA1796">
        <v>0</v>
      </c>
      <c r="AC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 t="str">
        <f>"$"</f>
        <v>$</v>
      </c>
    </row>
    <row r="1797" spans="1:38" x14ac:dyDescent="0.3">
      <c r="A1797" t="str">
        <f>"SO22000228"</f>
        <v>SO22000228</v>
      </c>
      <c r="B1797" t="str">
        <f>"E000366429"</f>
        <v>E000366429</v>
      </c>
      <c r="C1797" t="str">
        <f>"בוצעה"</f>
        <v>בוצעה</v>
      </c>
      <c r="E1797" s="3">
        <v>44721</v>
      </c>
      <c r="F1797" s="3">
        <v>44912</v>
      </c>
      <c r="G1797" t="str">
        <f>"700065"</f>
        <v>700065</v>
      </c>
      <c r="H1797" t="str">
        <f>"אלתא מערכות בע""מ"</f>
        <v>אלתא מערכות בע"מ</v>
      </c>
      <c r="I1797" t="str">
        <f>"רוני דידי"</f>
        <v>רוני דידי</v>
      </c>
      <c r="J1797" t="str">
        <f>"cust001348"</f>
        <v>cust001348</v>
      </c>
      <c r="K1797" s="1" t="str">
        <f>"241119.815 ELTA"</f>
        <v>241119.815 ELTA</v>
      </c>
      <c r="L1797">
        <v>1</v>
      </c>
      <c r="O1797">
        <v>0</v>
      </c>
      <c r="P1797" t="str">
        <f>"$"</f>
        <v>$</v>
      </c>
      <c r="Q1797" t="str">
        <f>"118"</f>
        <v>118</v>
      </c>
      <c r="R1797" t="str">
        <f>"מערכות"</f>
        <v>מערכות</v>
      </c>
      <c r="S1797" t="str">
        <f>"007"</f>
        <v>007</v>
      </c>
      <c r="T1797" t="str">
        <f>"עמר ליגל"</f>
        <v>עמר ליגל</v>
      </c>
      <c r="U1797">
        <v>0</v>
      </c>
      <c r="V1797">
        <v>0</v>
      </c>
      <c r="W1797">
        <v>0</v>
      </c>
      <c r="X1797">
        <v>0</v>
      </c>
      <c r="Z1797" t="str">
        <f>"Y"</f>
        <v>Y</v>
      </c>
      <c r="AA1797">
        <v>0</v>
      </c>
      <c r="AC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 t="str">
        <f>"$"</f>
        <v>$</v>
      </c>
    </row>
    <row r="1798" spans="1:38" x14ac:dyDescent="0.3">
      <c r="A1798" t="str">
        <f>"SO22000228"</f>
        <v>SO22000228</v>
      </c>
      <c r="B1798" t="str">
        <f>"E000366429"</f>
        <v>E000366429</v>
      </c>
      <c r="C1798" t="str">
        <f>"בוצעה"</f>
        <v>בוצעה</v>
      </c>
      <c r="E1798" s="3">
        <v>44721</v>
      </c>
      <c r="F1798" s="3">
        <v>44912</v>
      </c>
      <c r="G1798" t="str">
        <f>"700065"</f>
        <v>700065</v>
      </c>
      <c r="H1798" t="str">
        <f>"אלתא מערכות בע""מ"</f>
        <v>אלתא מערכות בע"מ</v>
      </c>
      <c r="I1798" t="str">
        <f>"רוני דידי"</f>
        <v>רוני דידי</v>
      </c>
      <c r="J1798" t="str">
        <f>"cust001348"</f>
        <v>cust001348</v>
      </c>
      <c r="K1798" s="1" t="str">
        <f>"241119.815 ELTA"</f>
        <v>241119.815 ELTA</v>
      </c>
      <c r="L1798">
        <v>1</v>
      </c>
      <c r="O1798">
        <v>0</v>
      </c>
      <c r="P1798" t="str">
        <f>"$"</f>
        <v>$</v>
      </c>
      <c r="Q1798" t="str">
        <f>"118"</f>
        <v>118</v>
      </c>
      <c r="R1798" t="str">
        <f>"מערכות"</f>
        <v>מערכות</v>
      </c>
      <c r="S1798" t="str">
        <f>"007"</f>
        <v>007</v>
      </c>
      <c r="T1798" t="str">
        <f>"עמר ליגל"</f>
        <v>עמר ליגל</v>
      </c>
      <c r="U1798">
        <v>0</v>
      </c>
      <c r="V1798">
        <v>0</v>
      </c>
      <c r="W1798">
        <v>0</v>
      </c>
      <c r="X1798">
        <v>0</v>
      </c>
      <c r="Z1798" t="str">
        <f>"Y"</f>
        <v>Y</v>
      </c>
      <c r="AA1798">
        <v>0</v>
      </c>
      <c r="AC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 t="str">
        <f>"$"</f>
        <v>$</v>
      </c>
    </row>
    <row r="1799" spans="1:38" x14ac:dyDescent="0.3">
      <c r="A1799" t="str">
        <f>"SO22000228"</f>
        <v>SO22000228</v>
      </c>
      <c r="B1799" t="str">
        <f>"E000366429"</f>
        <v>E000366429</v>
      </c>
      <c r="C1799" t="str">
        <f>"בוצעה"</f>
        <v>בוצעה</v>
      </c>
      <c r="E1799" s="3">
        <v>44721</v>
      </c>
      <c r="F1799" s="3">
        <v>44912</v>
      </c>
      <c r="G1799" t="str">
        <f>"700065"</f>
        <v>700065</v>
      </c>
      <c r="H1799" t="str">
        <f>"אלתא מערכות בע""מ"</f>
        <v>אלתא מערכות בע"מ</v>
      </c>
      <c r="I1799" t="str">
        <f>"רוני דידי"</f>
        <v>רוני דידי</v>
      </c>
      <c r="J1799" t="str">
        <f>"cust001348"</f>
        <v>cust001348</v>
      </c>
      <c r="K1799" s="1" t="str">
        <f>"241119.815 ELTA"</f>
        <v>241119.815 ELTA</v>
      </c>
      <c r="L1799">
        <v>1</v>
      </c>
      <c r="O1799">
        <v>0</v>
      </c>
      <c r="P1799" t="str">
        <f>"$"</f>
        <v>$</v>
      </c>
      <c r="Q1799" t="str">
        <f>"118"</f>
        <v>118</v>
      </c>
      <c r="R1799" t="str">
        <f>"מערכות"</f>
        <v>מערכות</v>
      </c>
      <c r="S1799" t="str">
        <f>"007"</f>
        <v>007</v>
      </c>
      <c r="T1799" t="str">
        <f>"עמר ליגל"</f>
        <v>עמר ליגל</v>
      </c>
      <c r="U1799">
        <v>0</v>
      </c>
      <c r="V1799">
        <v>0</v>
      </c>
      <c r="W1799">
        <v>0</v>
      </c>
      <c r="X1799">
        <v>0</v>
      </c>
      <c r="Z1799" t="str">
        <f>"Y"</f>
        <v>Y</v>
      </c>
      <c r="AA1799">
        <v>0</v>
      </c>
      <c r="AC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 t="str">
        <f>"$"</f>
        <v>$</v>
      </c>
    </row>
    <row r="1800" spans="1:38" x14ac:dyDescent="0.3">
      <c r="A1800" t="str">
        <f>"SO22000234"</f>
        <v>SO22000234</v>
      </c>
      <c r="B1800" t="str">
        <f>"E000364208"</f>
        <v>E000364208</v>
      </c>
      <c r="C1800" t="str">
        <f>"בוצעה"</f>
        <v>בוצעה</v>
      </c>
      <c r="E1800" s="3">
        <v>44727</v>
      </c>
      <c r="F1800" s="3">
        <v>44808</v>
      </c>
      <c r="G1800" t="str">
        <f>"700065"</f>
        <v>700065</v>
      </c>
      <c r="H1800" t="str">
        <f>"אלתא מערכות בע""מ"</f>
        <v>אלתא מערכות בע"מ</v>
      </c>
      <c r="I1800" t="str">
        <f>"רחמים זרוק"</f>
        <v>רחמים זרוק</v>
      </c>
      <c r="J1800" t="str">
        <f>"OP-AR02306"</f>
        <v>OP-AR02306</v>
      </c>
      <c r="K1800" s="1" t="str">
        <f>"HVJB 1026L230-001"</f>
        <v>HVJB 1026L230-001</v>
      </c>
      <c r="L1800">
        <v>1</v>
      </c>
      <c r="M1800" t="str">
        <f>"PR22000450"</f>
        <v>PR22000450</v>
      </c>
      <c r="N1800" t="str">
        <f>"תיקון HIGH VOLTAGE JUCTION BOX"</f>
        <v>תיקון HIGH VOLTAGE JUCTION BOX</v>
      </c>
      <c r="O1800">
        <v>380</v>
      </c>
      <c r="P1800" t="str">
        <f>"$"</f>
        <v>$</v>
      </c>
      <c r="Q1800" t="str">
        <f>"117"</f>
        <v>117</v>
      </c>
      <c r="R1800" t="str">
        <f>"רתמות"</f>
        <v>רתמות</v>
      </c>
      <c r="S1800" t="str">
        <f>"040"</f>
        <v>040</v>
      </c>
      <c r="T1800" t="str">
        <f>"עמר ליגל"</f>
        <v>עמר ליגל</v>
      </c>
      <c r="U1800">
        <v>0</v>
      </c>
      <c r="V1800">
        <v>0</v>
      </c>
      <c r="W1800">
        <v>380</v>
      </c>
      <c r="X1800">
        <v>380</v>
      </c>
      <c r="Z1800" t="str">
        <f>"Y"</f>
        <v>Y</v>
      </c>
      <c r="AA1800">
        <v>0</v>
      </c>
      <c r="AC1800">
        <v>0</v>
      </c>
      <c r="AE1800">
        <v>0</v>
      </c>
      <c r="AF1800">
        <v>0</v>
      </c>
      <c r="AG1800" s="2">
        <v>1312.52</v>
      </c>
      <c r="AH1800">
        <v>0</v>
      </c>
      <c r="AI1800" s="2">
        <v>1312.52</v>
      </c>
      <c r="AJ1800">
        <v>380</v>
      </c>
      <c r="AK1800">
        <v>380</v>
      </c>
      <c r="AL1800" t="str">
        <f>"$"</f>
        <v>$</v>
      </c>
    </row>
    <row r="1801" spans="1:38" x14ac:dyDescent="0.3">
      <c r="A1801" t="str">
        <f>"SO22000235"</f>
        <v>SO22000235</v>
      </c>
      <c r="B1801" t="str">
        <f>"E000366546"</f>
        <v>E000366546</v>
      </c>
      <c r="C1801" t="str">
        <f>"בסיום הרכבה"</f>
        <v>בסיום הרכבה</v>
      </c>
      <c r="E1801" s="3">
        <v>44727</v>
      </c>
      <c r="F1801" s="3">
        <v>44805</v>
      </c>
      <c r="G1801" t="str">
        <f>"700065"</f>
        <v>700065</v>
      </c>
      <c r="H1801" t="str">
        <f>"אלתא מערכות בע""מ"</f>
        <v>אלתא מערכות בע"מ</v>
      </c>
      <c r="I1801" t="str">
        <f>"רחמים זרוק"</f>
        <v>רחמים זרוק</v>
      </c>
      <c r="J1801" t="str">
        <f>"OP-AR03192"</f>
        <v>OP-AR03192</v>
      </c>
      <c r="K1801" s="1" t="str">
        <f>"1023B180-001   WA371 DP SENSOR"</f>
        <v>1023B180-001   WA371 DP SENSOR</v>
      </c>
      <c r="L1801">
        <v>1</v>
      </c>
      <c r="M1801" t="str">
        <f>"PR22000460"</f>
        <v>PR22000460</v>
      </c>
      <c r="N1801" t="str">
        <f>"E000366546"</f>
        <v>E000366546</v>
      </c>
      <c r="O1801">
        <v>210.63</v>
      </c>
      <c r="P1801" t="str">
        <f>"$"</f>
        <v>$</v>
      </c>
      <c r="Q1801" t="str">
        <f>"117"</f>
        <v>117</v>
      </c>
      <c r="R1801" t="str">
        <f>"רתמות"</f>
        <v>רתמות</v>
      </c>
      <c r="S1801" t="str">
        <f>"040"</f>
        <v>040</v>
      </c>
      <c r="T1801" t="str">
        <f>"עמר ליגל"</f>
        <v>עמר ליגל</v>
      </c>
      <c r="U1801">
        <v>0</v>
      </c>
      <c r="V1801">
        <v>0</v>
      </c>
      <c r="W1801">
        <v>210.63</v>
      </c>
      <c r="X1801">
        <v>210.63</v>
      </c>
      <c r="Z1801" t="str">
        <f>"Y"</f>
        <v>Y</v>
      </c>
      <c r="AA1801">
        <v>0</v>
      </c>
      <c r="AC1801">
        <v>0</v>
      </c>
      <c r="AE1801">
        <v>0</v>
      </c>
      <c r="AF1801">
        <v>0</v>
      </c>
      <c r="AG1801">
        <v>727.52</v>
      </c>
      <c r="AH1801">
        <v>0</v>
      </c>
      <c r="AI1801">
        <v>727.52</v>
      </c>
      <c r="AJ1801">
        <v>210.63</v>
      </c>
      <c r="AK1801">
        <v>210.63</v>
      </c>
      <c r="AL1801" t="str">
        <f>"$"</f>
        <v>$</v>
      </c>
    </row>
    <row r="1802" spans="1:38" x14ac:dyDescent="0.3">
      <c r="A1802" t="str">
        <f>"SO22000235"</f>
        <v>SO22000235</v>
      </c>
      <c r="B1802" t="str">
        <f>"E000366546"</f>
        <v>E000366546</v>
      </c>
      <c r="C1802" t="str">
        <f>"בסיום הרכבה"</f>
        <v>בסיום הרכבה</v>
      </c>
      <c r="E1802" s="3">
        <v>44727</v>
      </c>
      <c r="F1802" s="3">
        <v>45085</v>
      </c>
      <c r="G1802" t="str">
        <f>"700065"</f>
        <v>700065</v>
      </c>
      <c r="H1802" t="str">
        <f>"אלתא מערכות בע""מ"</f>
        <v>אלתא מערכות בע"מ</v>
      </c>
      <c r="I1802" t="str">
        <f>"רחמים זרוק"</f>
        <v>רחמים זרוק</v>
      </c>
      <c r="J1802" t="str">
        <f>"OP-AR03193"</f>
        <v>OP-AR03193</v>
      </c>
      <c r="K1802" s="1" t="str">
        <f>"1027C341-001    WGV051 PED UP PANEL TO PEDES IN"</f>
        <v>1027C341-001    WGV051 PED UP PANEL TO PEDES IN</v>
      </c>
      <c r="L1802">
        <v>4</v>
      </c>
      <c r="M1802" t="str">
        <f>"PR22000460"</f>
        <v>PR22000460</v>
      </c>
      <c r="N1802" t="str">
        <f>"E000366546"</f>
        <v>E000366546</v>
      </c>
      <c r="O1802">
        <v>117.91</v>
      </c>
      <c r="P1802" t="str">
        <f>"$"</f>
        <v>$</v>
      </c>
      <c r="Q1802" t="str">
        <f>"117"</f>
        <v>117</v>
      </c>
      <c r="R1802" t="str">
        <f>"רתמות"</f>
        <v>רתמות</v>
      </c>
      <c r="S1802" t="str">
        <f>"040"</f>
        <v>040</v>
      </c>
      <c r="T1802" t="str">
        <f>"עמר ליגל"</f>
        <v>עמר ליגל</v>
      </c>
      <c r="U1802">
        <v>0</v>
      </c>
      <c r="V1802">
        <v>0</v>
      </c>
      <c r="W1802">
        <v>117.91</v>
      </c>
      <c r="X1802">
        <v>471.64</v>
      </c>
      <c r="Z1802" t="str">
        <f>"Y"</f>
        <v>Y</v>
      </c>
      <c r="AA1802">
        <v>0</v>
      </c>
      <c r="AC1802">
        <v>0</v>
      </c>
      <c r="AE1802">
        <v>0</v>
      </c>
      <c r="AF1802">
        <v>0</v>
      </c>
      <c r="AG1802">
        <v>407.26</v>
      </c>
      <c r="AH1802">
        <v>0</v>
      </c>
      <c r="AI1802" s="2">
        <v>1629.04</v>
      </c>
      <c r="AJ1802">
        <v>471.64</v>
      </c>
      <c r="AK1802">
        <v>471.64</v>
      </c>
      <c r="AL1802" t="str">
        <f>"$"</f>
        <v>$</v>
      </c>
    </row>
    <row r="1803" spans="1:38" x14ac:dyDescent="0.3">
      <c r="A1803" t="str">
        <f>"SO22000235"</f>
        <v>SO22000235</v>
      </c>
      <c r="B1803" t="str">
        <f>"E000366546"</f>
        <v>E000366546</v>
      </c>
      <c r="C1803" t="str">
        <f>"בסיום הרכבה"</f>
        <v>בסיום הרכבה</v>
      </c>
      <c r="E1803" s="3">
        <v>44727</v>
      </c>
      <c r="F1803" s="3">
        <v>44809</v>
      </c>
      <c r="G1803" t="str">
        <f>"700065"</f>
        <v>700065</v>
      </c>
      <c r="H1803" t="str">
        <f>"אלתא מערכות בע""מ"</f>
        <v>אלתא מערכות בע"מ</v>
      </c>
      <c r="I1803" t="str">
        <f>"רחמים זרוק"</f>
        <v>רחמים זרוק</v>
      </c>
      <c r="J1803" t="str">
        <f>"OP-AR03193"</f>
        <v>OP-AR03193</v>
      </c>
      <c r="K1803" s="1" t="str">
        <f>"1027C341-001    WGV051 PED UP PANEL TO PEDES IN"</f>
        <v>1027C341-001    WGV051 PED UP PANEL TO PEDES IN</v>
      </c>
      <c r="L1803">
        <v>1</v>
      </c>
      <c r="M1803" t="str">
        <f>"PR22000460"</f>
        <v>PR22000460</v>
      </c>
      <c r="N1803" t="str">
        <f>"E000366546"</f>
        <v>E000366546</v>
      </c>
      <c r="O1803">
        <v>117.91</v>
      </c>
      <c r="P1803" t="str">
        <f>"$"</f>
        <v>$</v>
      </c>
      <c r="Q1803" t="str">
        <f>"117"</f>
        <v>117</v>
      </c>
      <c r="R1803" t="str">
        <f>"רתמות"</f>
        <v>רתמות</v>
      </c>
      <c r="S1803" t="str">
        <f>"040"</f>
        <v>040</v>
      </c>
      <c r="T1803" t="str">
        <f>"עמר ליגל"</f>
        <v>עמר ליגל</v>
      </c>
      <c r="U1803">
        <v>0</v>
      </c>
      <c r="V1803">
        <v>0</v>
      </c>
      <c r="W1803">
        <v>117.91</v>
      </c>
      <c r="X1803">
        <v>117.91</v>
      </c>
      <c r="Z1803" t="str">
        <f>"Y"</f>
        <v>Y</v>
      </c>
      <c r="AA1803">
        <v>0</v>
      </c>
      <c r="AC1803">
        <v>0</v>
      </c>
      <c r="AE1803">
        <v>0</v>
      </c>
      <c r="AF1803">
        <v>0</v>
      </c>
      <c r="AG1803">
        <v>407.26</v>
      </c>
      <c r="AH1803">
        <v>0</v>
      </c>
      <c r="AI1803">
        <v>407.26</v>
      </c>
      <c r="AJ1803">
        <v>117.91</v>
      </c>
      <c r="AK1803">
        <v>117.91</v>
      </c>
      <c r="AL1803" t="str">
        <f>"$"</f>
        <v>$</v>
      </c>
    </row>
    <row r="1804" spans="1:38" x14ac:dyDescent="0.3">
      <c r="A1804" t="str">
        <f>"SO22000235"</f>
        <v>SO22000235</v>
      </c>
      <c r="B1804" t="str">
        <f>"E000366546"</f>
        <v>E000366546</v>
      </c>
      <c r="C1804" t="str">
        <f>"בסיום הרכבה"</f>
        <v>בסיום הרכבה</v>
      </c>
      <c r="E1804" s="3">
        <v>44727</v>
      </c>
      <c r="F1804" s="3">
        <v>44711</v>
      </c>
      <c r="G1804" t="str">
        <f>"700065"</f>
        <v>700065</v>
      </c>
      <c r="H1804" t="str">
        <f>"אלתא מערכות בע""מ"</f>
        <v>אלתא מערכות בע"מ</v>
      </c>
      <c r="I1804" t="str">
        <f>"רחמים זרוק"</f>
        <v>רחמים זרוק</v>
      </c>
      <c r="J1804" t="str">
        <f>"OP-AR03193"</f>
        <v>OP-AR03193</v>
      </c>
      <c r="K1804" s="1" t="str">
        <f>"1027C341-001    WGV051 PED UP PANEL TO PEDES IN"</f>
        <v>1027C341-001    WGV051 PED UP PANEL TO PEDES IN</v>
      </c>
      <c r="L1804">
        <v>3</v>
      </c>
      <c r="M1804" t="str">
        <f>"PR22000460"</f>
        <v>PR22000460</v>
      </c>
      <c r="N1804" t="str">
        <f>"E000366546"</f>
        <v>E000366546</v>
      </c>
      <c r="O1804">
        <v>117.91</v>
      </c>
      <c r="P1804" t="str">
        <f>"$"</f>
        <v>$</v>
      </c>
      <c r="Q1804" t="str">
        <f>"117"</f>
        <v>117</v>
      </c>
      <c r="R1804" t="str">
        <f>"רתמות"</f>
        <v>רתמות</v>
      </c>
      <c r="S1804" t="str">
        <f>"040"</f>
        <v>040</v>
      </c>
      <c r="T1804" t="str">
        <f>"עמר ליגל"</f>
        <v>עמר ליגל</v>
      </c>
      <c r="U1804">
        <v>0</v>
      </c>
      <c r="V1804">
        <v>0</v>
      </c>
      <c r="W1804">
        <v>117.91</v>
      </c>
      <c r="X1804">
        <v>353.73</v>
      </c>
      <c r="Z1804" t="str">
        <f>"Y"</f>
        <v>Y</v>
      </c>
      <c r="AA1804">
        <v>0</v>
      </c>
      <c r="AC1804">
        <v>0</v>
      </c>
      <c r="AE1804">
        <v>0</v>
      </c>
      <c r="AF1804">
        <v>0</v>
      </c>
      <c r="AG1804">
        <v>407.26</v>
      </c>
      <c r="AH1804">
        <v>0</v>
      </c>
      <c r="AI1804" s="2">
        <v>1221.78</v>
      </c>
      <c r="AJ1804">
        <v>353.73</v>
      </c>
      <c r="AK1804">
        <v>353.73</v>
      </c>
      <c r="AL1804" t="str">
        <f>"$"</f>
        <v>$</v>
      </c>
    </row>
    <row r="1805" spans="1:38" x14ac:dyDescent="0.3">
      <c r="A1805" t="str">
        <f>"SO22000241"</f>
        <v>SO22000241</v>
      </c>
      <c r="B1805" t="str">
        <f>"E000365938"</f>
        <v>E000365938</v>
      </c>
      <c r="C1805" t="str">
        <f>"בוצעה"</f>
        <v>בוצעה</v>
      </c>
      <c r="E1805" s="3">
        <v>44731</v>
      </c>
      <c r="F1805" s="3">
        <v>44849</v>
      </c>
      <c r="G1805" t="str">
        <f>"700065"</f>
        <v>700065</v>
      </c>
      <c r="H1805" t="str">
        <f>"אלתא מערכות בע""מ"</f>
        <v>אלתא מערכות בע"מ</v>
      </c>
      <c r="I1805" t="str">
        <f>"רחמים זרוק"</f>
        <v>רחמים זרוק</v>
      </c>
      <c r="J1805" t="str">
        <f>"OP-AR03175"</f>
        <v>OP-AR03175</v>
      </c>
      <c r="K1805" s="1" t="str">
        <f>"2068B572-001    CABLE ASSY FPGA W1"</f>
        <v>2068B572-001    CABLE ASSY FPGA W1</v>
      </c>
      <c r="L1805">
        <v>2</v>
      </c>
      <c r="M1805" t="str">
        <f>"PR22000459"</f>
        <v>PR22000459</v>
      </c>
      <c r="N1805" t="str">
        <f>"E000365938"</f>
        <v>E000365938</v>
      </c>
      <c r="O1805">
        <v>121.19</v>
      </c>
      <c r="P1805" t="str">
        <f>"$"</f>
        <v>$</v>
      </c>
      <c r="Q1805" t="str">
        <f>"117"</f>
        <v>117</v>
      </c>
      <c r="R1805" t="str">
        <f>"רתמות"</f>
        <v>רתמות</v>
      </c>
      <c r="S1805" t="str">
        <f>"040"</f>
        <v>040</v>
      </c>
      <c r="T1805" t="str">
        <f>"עמר ליגל"</f>
        <v>עמר ליגל</v>
      </c>
      <c r="U1805">
        <v>0</v>
      </c>
      <c r="V1805">
        <v>0</v>
      </c>
      <c r="W1805">
        <v>121.19</v>
      </c>
      <c r="X1805">
        <v>242.38</v>
      </c>
      <c r="Z1805" t="str">
        <f>"Y"</f>
        <v>Y</v>
      </c>
      <c r="AA1805">
        <v>0</v>
      </c>
      <c r="AC1805">
        <v>0</v>
      </c>
      <c r="AE1805">
        <v>0</v>
      </c>
      <c r="AF1805">
        <v>0</v>
      </c>
      <c r="AG1805">
        <v>419.32</v>
      </c>
      <c r="AH1805">
        <v>0</v>
      </c>
      <c r="AI1805">
        <v>838.63</v>
      </c>
      <c r="AJ1805">
        <v>242.38</v>
      </c>
      <c r="AK1805">
        <v>242.38</v>
      </c>
      <c r="AL1805" t="str">
        <f>"$"</f>
        <v>$</v>
      </c>
    </row>
    <row r="1806" spans="1:38" x14ac:dyDescent="0.3">
      <c r="A1806" t="str">
        <f>"SO22000241"</f>
        <v>SO22000241</v>
      </c>
      <c r="B1806" t="str">
        <f>"E000365938"</f>
        <v>E000365938</v>
      </c>
      <c r="C1806" t="str">
        <f>"בוצעה"</f>
        <v>בוצעה</v>
      </c>
      <c r="E1806" s="3">
        <v>44731</v>
      </c>
      <c r="F1806" s="3">
        <v>44849</v>
      </c>
      <c r="G1806" t="str">
        <f>"700065"</f>
        <v>700065</v>
      </c>
      <c r="H1806" t="str">
        <f>"אלתא מערכות בע""מ"</f>
        <v>אלתא מערכות בע"מ</v>
      </c>
      <c r="I1806" t="str">
        <f>"רחמים זרוק"</f>
        <v>רחמים זרוק</v>
      </c>
      <c r="J1806" t="str">
        <f>"OP-AR03176"</f>
        <v>OP-AR03176</v>
      </c>
      <c r="K1806" s="1" t="str">
        <f>"2083B314-001    CABLE ASSY VPW4"</f>
        <v>2083B314-001    CABLE ASSY VPW4</v>
      </c>
      <c r="L1806">
        <v>1</v>
      </c>
      <c r="M1806" t="str">
        <f>"PR22000459"</f>
        <v>PR22000459</v>
      </c>
      <c r="N1806" t="str">
        <f>"E000365938"</f>
        <v>E000365938</v>
      </c>
      <c r="O1806">
        <v>625.33000000000004</v>
      </c>
      <c r="P1806" t="str">
        <f>"$"</f>
        <v>$</v>
      </c>
      <c r="Q1806" t="str">
        <f>"117"</f>
        <v>117</v>
      </c>
      <c r="R1806" t="str">
        <f>"רתמות"</f>
        <v>רתמות</v>
      </c>
      <c r="S1806" t="str">
        <f>"040"</f>
        <v>040</v>
      </c>
      <c r="T1806" t="str">
        <f>"עמר ליגל"</f>
        <v>עמר ליגל</v>
      </c>
      <c r="U1806">
        <v>0</v>
      </c>
      <c r="V1806">
        <v>0</v>
      </c>
      <c r="W1806">
        <v>625.33000000000004</v>
      </c>
      <c r="X1806">
        <v>625.33000000000004</v>
      </c>
      <c r="Z1806" t="str">
        <f>"Y"</f>
        <v>Y</v>
      </c>
      <c r="AA1806">
        <v>0</v>
      </c>
      <c r="AC1806">
        <v>0</v>
      </c>
      <c r="AE1806">
        <v>0</v>
      </c>
      <c r="AF1806">
        <v>0</v>
      </c>
      <c r="AG1806" s="2">
        <v>2163.64</v>
      </c>
      <c r="AH1806">
        <v>0</v>
      </c>
      <c r="AI1806" s="2">
        <v>2163.64</v>
      </c>
      <c r="AJ1806">
        <v>625.33000000000004</v>
      </c>
      <c r="AK1806">
        <v>625.33000000000004</v>
      </c>
      <c r="AL1806" t="str">
        <f>"$"</f>
        <v>$</v>
      </c>
    </row>
    <row r="1807" spans="1:38" x14ac:dyDescent="0.3">
      <c r="A1807" t="str">
        <f>"SO22000241"</f>
        <v>SO22000241</v>
      </c>
      <c r="B1807" t="str">
        <f>"E000365938"</f>
        <v>E000365938</v>
      </c>
      <c r="C1807" t="str">
        <f>"בוצעה"</f>
        <v>בוצעה</v>
      </c>
      <c r="E1807" s="3">
        <v>44731</v>
      </c>
      <c r="F1807" s="3">
        <v>44849</v>
      </c>
      <c r="G1807" t="str">
        <f>"700065"</f>
        <v>700065</v>
      </c>
      <c r="H1807" t="str">
        <f>"אלתא מערכות בע""מ"</f>
        <v>אלתא מערכות בע"מ</v>
      </c>
      <c r="I1807" t="str">
        <f>"רחמים זרוק"</f>
        <v>רחמים זרוק</v>
      </c>
      <c r="J1807" t="str">
        <f>"OP-AR03177"</f>
        <v>OP-AR03177</v>
      </c>
      <c r="K1807" s="1" t="str">
        <f>"2083B316-001    CABLE ASSY VPW5"</f>
        <v>2083B316-001    CABLE ASSY VPW5</v>
      </c>
      <c r="L1807">
        <v>1</v>
      </c>
      <c r="M1807" t="str">
        <f>"PR22000459"</f>
        <v>PR22000459</v>
      </c>
      <c r="N1807" t="str">
        <f>"E000365938"</f>
        <v>E000365938</v>
      </c>
      <c r="O1807">
        <v>625.33000000000004</v>
      </c>
      <c r="P1807" t="str">
        <f>"$"</f>
        <v>$</v>
      </c>
      <c r="Q1807" t="str">
        <f>"117"</f>
        <v>117</v>
      </c>
      <c r="R1807" t="str">
        <f>"רתמות"</f>
        <v>רתמות</v>
      </c>
      <c r="S1807" t="str">
        <f>"040"</f>
        <v>040</v>
      </c>
      <c r="T1807" t="str">
        <f>"עמר ליגל"</f>
        <v>עמר ליגל</v>
      </c>
      <c r="U1807">
        <v>0</v>
      </c>
      <c r="V1807">
        <v>0</v>
      </c>
      <c r="W1807">
        <v>625.33000000000004</v>
      </c>
      <c r="X1807">
        <v>625.33000000000004</v>
      </c>
      <c r="Z1807" t="str">
        <f>"Y"</f>
        <v>Y</v>
      </c>
      <c r="AA1807">
        <v>0</v>
      </c>
      <c r="AC1807">
        <v>0</v>
      </c>
      <c r="AE1807">
        <v>0</v>
      </c>
      <c r="AF1807">
        <v>0</v>
      </c>
      <c r="AG1807" s="2">
        <v>2163.64</v>
      </c>
      <c r="AH1807">
        <v>0</v>
      </c>
      <c r="AI1807" s="2">
        <v>2163.64</v>
      </c>
      <c r="AJ1807">
        <v>625.33000000000004</v>
      </c>
      <c r="AK1807">
        <v>625.33000000000004</v>
      </c>
      <c r="AL1807" t="str">
        <f>"$"</f>
        <v>$</v>
      </c>
    </row>
    <row r="1808" spans="1:38" x14ac:dyDescent="0.3">
      <c r="A1808" t="str">
        <f>"SO22000241"</f>
        <v>SO22000241</v>
      </c>
      <c r="B1808" t="str">
        <f>"E000365938"</f>
        <v>E000365938</v>
      </c>
      <c r="C1808" t="str">
        <f>"בוצעה"</f>
        <v>בוצעה</v>
      </c>
      <c r="E1808" s="3">
        <v>44731</v>
      </c>
      <c r="F1808" s="3">
        <v>44849</v>
      </c>
      <c r="G1808" t="str">
        <f>"700065"</f>
        <v>700065</v>
      </c>
      <c r="H1808" t="str">
        <f>"אלתא מערכות בע""מ"</f>
        <v>אלתא מערכות בע"מ</v>
      </c>
      <c r="I1808" t="str">
        <f>"רחמים זרוק"</f>
        <v>רחמים זרוק</v>
      </c>
      <c r="J1808" t="str">
        <f>"OP-AR03178"</f>
        <v>OP-AR03178</v>
      </c>
      <c r="K1808" s="1" t="str">
        <f>"2083B320-001    CABLE ASSY VPW7"</f>
        <v>2083B320-001    CABLE ASSY VPW7</v>
      </c>
      <c r="L1808">
        <v>1</v>
      </c>
      <c r="M1808" t="str">
        <f>"PR22000459"</f>
        <v>PR22000459</v>
      </c>
      <c r="N1808" t="str">
        <f>"E000365938"</f>
        <v>E000365938</v>
      </c>
      <c r="O1808">
        <v>625.33000000000004</v>
      </c>
      <c r="P1808" t="str">
        <f>"$"</f>
        <v>$</v>
      </c>
      <c r="Q1808" t="str">
        <f>"117"</f>
        <v>117</v>
      </c>
      <c r="R1808" t="str">
        <f>"רתמות"</f>
        <v>רתמות</v>
      </c>
      <c r="S1808" t="str">
        <f>"040"</f>
        <v>040</v>
      </c>
      <c r="T1808" t="str">
        <f>"עמר ליגל"</f>
        <v>עמר ליגל</v>
      </c>
      <c r="U1808">
        <v>0</v>
      </c>
      <c r="V1808">
        <v>0</v>
      </c>
      <c r="W1808">
        <v>625.33000000000004</v>
      </c>
      <c r="X1808">
        <v>625.33000000000004</v>
      </c>
      <c r="Z1808" t="str">
        <f>"Y"</f>
        <v>Y</v>
      </c>
      <c r="AA1808">
        <v>0</v>
      </c>
      <c r="AC1808">
        <v>0</v>
      </c>
      <c r="AE1808">
        <v>0</v>
      </c>
      <c r="AF1808">
        <v>0</v>
      </c>
      <c r="AG1808" s="2">
        <v>2163.64</v>
      </c>
      <c r="AH1808">
        <v>0</v>
      </c>
      <c r="AI1808" s="2">
        <v>2163.64</v>
      </c>
      <c r="AJ1808">
        <v>625.33000000000004</v>
      </c>
      <c r="AK1808">
        <v>625.33000000000004</v>
      </c>
      <c r="AL1808" t="str">
        <f>"$"</f>
        <v>$</v>
      </c>
    </row>
    <row r="1809" spans="1:38" x14ac:dyDescent="0.3">
      <c r="A1809" t="str">
        <f>"SO22000241"</f>
        <v>SO22000241</v>
      </c>
      <c r="B1809" t="str">
        <f>"E000365938"</f>
        <v>E000365938</v>
      </c>
      <c r="C1809" t="str">
        <f>"בוצעה"</f>
        <v>בוצעה</v>
      </c>
      <c r="E1809" s="3">
        <v>44731</v>
      </c>
      <c r="F1809" s="3">
        <v>44849</v>
      </c>
      <c r="G1809" t="str">
        <f>"700065"</f>
        <v>700065</v>
      </c>
      <c r="H1809" t="str">
        <f>"אלתא מערכות בע""מ"</f>
        <v>אלתא מערכות בע"מ</v>
      </c>
      <c r="I1809" t="str">
        <f>"רחמים זרוק"</f>
        <v>רחמים זרוק</v>
      </c>
      <c r="J1809" t="str">
        <f>"OP-AR03179"</f>
        <v>OP-AR03179</v>
      </c>
      <c r="K1809" s="1" t="str">
        <f>"2083B322-001    CABLE ASSY VPW8"</f>
        <v>2083B322-001    CABLE ASSY VPW8</v>
      </c>
      <c r="L1809">
        <v>1</v>
      </c>
      <c r="M1809" t="str">
        <f>"PR22000459"</f>
        <v>PR22000459</v>
      </c>
      <c r="N1809" t="str">
        <f>"E000365938"</f>
        <v>E000365938</v>
      </c>
      <c r="O1809">
        <v>625.33000000000004</v>
      </c>
      <c r="P1809" t="str">
        <f>"$"</f>
        <v>$</v>
      </c>
      <c r="Q1809" t="str">
        <f>"117"</f>
        <v>117</v>
      </c>
      <c r="R1809" t="str">
        <f>"רתמות"</f>
        <v>רתמות</v>
      </c>
      <c r="S1809" t="str">
        <f>"040"</f>
        <v>040</v>
      </c>
      <c r="T1809" t="str">
        <f>"עמר ליגל"</f>
        <v>עמר ליגל</v>
      </c>
      <c r="U1809">
        <v>0</v>
      </c>
      <c r="V1809">
        <v>0</v>
      </c>
      <c r="W1809">
        <v>625.33000000000004</v>
      </c>
      <c r="X1809">
        <v>625.33000000000004</v>
      </c>
      <c r="Z1809" t="str">
        <f>"Y"</f>
        <v>Y</v>
      </c>
      <c r="AA1809">
        <v>0</v>
      </c>
      <c r="AC1809">
        <v>0</v>
      </c>
      <c r="AE1809">
        <v>0</v>
      </c>
      <c r="AF1809">
        <v>0</v>
      </c>
      <c r="AG1809" s="2">
        <v>2163.64</v>
      </c>
      <c r="AH1809">
        <v>0</v>
      </c>
      <c r="AI1809" s="2">
        <v>2163.64</v>
      </c>
      <c r="AJ1809">
        <v>625.33000000000004</v>
      </c>
      <c r="AK1809">
        <v>625.33000000000004</v>
      </c>
      <c r="AL1809" t="str">
        <f>"$"</f>
        <v>$</v>
      </c>
    </row>
    <row r="1810" spans="1:38" x14ac:dyDescent="0.3">
      <c r="A1810" t="str">
        <f>"SO22000241"</f>
        <v>SO22000241</v>
      </c>
      <c r="B1810" t="str">
        <f>"E000365938"</f>
        <v>E000365938</v>
      </c>
      <c r="C1810" t="str">
        <f>"בוצעה"</f>
        <v>בוצעה</v>
      </c>
      <c r="E1810" s="3">
        <v>44731</v>
      </c>
      <c r="F1810" s="3">
        <v>44849</v>
      </c>
      <c r="G1810" t="str">
        <f>"700065"</f>
        <v>700065</v>
      </c>
      <c r="H1810" t="str">
        <f>"אלתא מערכות בע""מ"</f>
        <v>אלתא מערכות בע"מ</v>
      </c>
      <c r="I1810" t="str">
        <f>"רחמים זרוק"</f>
        <v>רחמים זרוק</v>
      </c>
      <c r="J1810" t="str">
        <f>"OP-AR03180"</f>
        <v>OP-AR03180</v>
      </c>
      <c r="K1810" s="1" t="str">
        <f>"2227B054-001    MPR-RP-IO CABLE ASSY"</f>
        <v>2227B054-001    MPR-RP-IO CABLE ASSY</v>
      </c>
      <c r="L1810">
        <v>2</v>
      </c>
      <c r="M1810" t="str">
        <f>"PR22000459"</f>
        <v>PR22000459</v>
      </c>
      <c r="N1810" t="str">
        <f>"E000365938"</f>
        <v>E000365938</v>
      </c>
      <c r="O1810" s="2">
        <v>2320.7600000000002</v>
      </c>
      <c r="P1810" t="str">
        <f>"$"</f>
        <v>$</v>
      </c>
      <c r="Q1810" t="str">
        <f>"117"</f>
        <v>117</v>
      </c>
      <c r="R1810" t="str">
        <f>"רתמות"</f>
        <v>רתמות</v>
      </c>
      <c r="S1810" t="str">
        <f>"040"</f>
        <v>040</v>
      </c>
      <c r="T1810" t="str">
        <f>"עמר ליגל"</f>
        <v>עמר ליגל</v>
      </c>
      <c r="U1810">
        <v>0</v>
      </c>
      <c r="V1810">
        <v>0</v>
      </c>
      <c r="W1810" s="2">
        <v>2320.7600000000002</v>
      </c>
      <c r="X1810" s="2">
        <v>4641.5200000000004</v>
      </c>
      <c r="Z1810" t="str">
        <f>"Y"</f>
        <v>Y</v>
      </c>
      <c r="AA1810">
        <v>0</v>
      </c>
      <c r="AC1810">
        <v>0</v>
      </c>
      <c r="AE1810">
        <v>0</v>
      </c>
      <c r="AF1810">
        <v>0</v>
      </c>
      <c r="AG1810" s="2">
        <v>8029.83</v>
      </c>
      <c r="AH1810">
        <v>0</v>
      </c>
      <c r="AI1810" s="2">
        <v>16059.66</v>
      </c>
      <c r="AJ1810" s="2">
        <v>4641.5200000000004</v>
      </c>
      <c r="AK1810" s="2">
        <v>4641.5200000000004</v>
      </c>
      <c r="AL1810" t="str">
        <f>"$"</f>
        <v>$</v>
      </c>
    </row>
    <row r="1811" spans="1:38" x14ac:dyDescent="0.3">
      <c r="A1811" t="str">
        <f>"SO22000241"</f>
        <v>SO22000241</v>
      </c>
      <c r="B1811" t="str">
        <f>"E000365938"</f>
        <v>E000365938</v>
      </c>
      <c r="C1811" t="str">
        <f>"בוצעה"</f>
        <v>בוצעה</v>
      </c>
      <c r="E1811" s="3">
        <v>44731</v>
      </c>
      <c r="F1811" s="3">
        <v>44955</v>
      </c>
      <c r="G1811" t="str">
        <f>"700065"</f>
        <v>700065</v>
      </c>
      <c r="H1811" t="str">
        <f>"אלתא מערכות בע""מ"</f>
        <v>אלתא מערכות בע"מ</v>
      </c>
      <c r="I1811" t="str">
        <f>"רחמים זרוק"</f>
        <v>רחמים זרוק</v>
      </c>
      <c r="J1811" t="str">
        <f>"OP-AR03135"</f>
        <v>OP-AR03135</v>
      </c>
      <c r="K1811" s="1" t="str">
        <f>"1039B413-001    HARNESS WR013 - RED FALCON COMM"</f>
        <v>1039B413-001    HARNESS WR013 - RED FALCON COMM</v>
      </c>
      <c r="L1811">
        <v>1</v>
      </c>
      <c r="M1811" t="str">
        <f>"PR22000459"</f>
        <v>PR22000459</v>
      </c>
      <c r="N1811" t="str">
        <f>"E000365938"</f>
        <v>E000365938</v>
      </c>
      <c r="O1811" s="2">
        <v>1245.1099999999999</v>
      </c>
      <c r="P1811" t="str">
        <f>"$"</f>
        <v>$</v>
      </c>
      <c r="Q1811" t="str">
        <f>"117"</f>
        <v>117</v>
      </c>
      <c r="R1811" t="str">
        <f>"רתמות"</f>
        <v>רתמות</v>
      </c>
      <c r="S1811" t="str">
        <f>"040"</f>
        <v>040</v>
      </c>
      <c r="T1811" t="str">
        <f>"עמר ליגל"</f>
        <v>עמר ליגל</v>
      </c>
      <c r="U1811">
        <v>0</v>
      </c>
      <c r="V1811">
        <v>0</v>
      </c>
      <c r="W1811" s="2">
        <v>1245.1099999999999</v>
      </c>
      <c r="X1811" s="2">
        <v>1245.1099999999999</v>
      </c>
      <c r="Z1811" t="str">
        <f>"Y"</f>
        <v>Y</v>
      </c>
      <c r="AA1811">
        <v>0</v>
      </c>
      <c r="AC1811">
        <v>0</v>
      </c>
      <c r="AE1811">
        <v>0</v>
      </c>
      <c r="AF1811">
        <v>0</v>
      </c>
      <c r="AG1811" s="2">
        <v>4308.08</v>
      </c>
      <c r="AH1811">
        <v>0</v>
      </c>
      <c r="AI1811" s="2">
        <v>4308.08</v>
      </c>
      <c r="AJ1811" s="2">
        <v>1245.1099999999999</v>
      </c>
      <c r="AK1811" s="2">
        <v>1245.1099999999999</v>
      </c>
      <c r="AL1811" t="str">
        <f>"$"</f>
        <v>$</v>
      </c>
    </row>
    <row r="1812" spans="1:38" x14ac:dyDescent="0.3">
      <c r="A1812" t="str">
        <f>"SO22000241"</f>
        <v>SO22000241</v>
      </c>
      <c r="B1812" t="str">
        <f>"E000365938"</f>
        <v>E000365938</v>
      </c>
      <c r="C1812" t="str">
        <f>"בוצעה"</f>
        <v>בוצעה</v>
      </c>
      <c r="E1812" s="3">
        <v>44731</v>
      </c>
      <c r="F1812" s="3">
        <v>44849</v>
      </c>
      <c r="G1812" t="str">
        <f>"700065"</f>
        <v>700065</v>
      </c>
      <c r="H1812" t="str">
        <f>"אלתא מערכות בע""מ"</f>
        <v>אלתא מערכות בע"מ</v>
      </c>
      <c r="I1812" t="str">
        <f>"רחמים זרוק"</f>
        <v>רחמים זרוק</v>
      </c>
      <c r="J1812" t="str">
        <f>"OP-AR03181"</f>
        <v>OP-AR03181</v>
      </c>
      <c r="K1812" s="1" t="str">
        <f>"1025R610-001   HARNESS WP10 - POWER CABLE MOTOR 220V"</f>
        <v>1025R610-001   HARNESS WP10 - POWER CABLE MOTOR 220V</v>
      </c>
      <c r="L1812">
        <v>1</v>
      </c>
      <c r="M1812" t="str">
        <f>"PR22000459"</f>
        <v>PR22000459</v>
      </c>
      <c r="N1812" t="str">
        <f>"E000365938"</f>
        <v>E000365938</v>
      </c>
      <c r="O1812">
        <v>392.83</v>
      </c>
      <c r="P1812" t="str">
        <f>"$"</f>
        <v>$</v>
      </c>
      <c r="Q1812" t="str">
        <f>"117"</f>
        <v>117</v>
      </c>
      <c r="R1812" t="str">
        <f>"רתמות"</f>
        <v>רתמות</v>
      </c>
      <c r="S1812" t="str">
        <f>"040"</f>
        <v>040</v>
      </c>
      <c r="T1812" t="str">
        <f>"עמר ליגל"</f>
        <v>עמר ליגל</v>
      </c>
      <c r="U1812">
        <v>0</v>
      </c>
      <c r="V1812">
        <v>0</v>
      </c>
      <c r="W1812">
        <v>392.83</v>
      </c>
      <c r="X1812">
        <v>392.83</v>
      </c>
      <c r="Z1812" t="str">
        <f>"Y"</f>
        <v>Y</v>
      </c>
      <c r="AA1812">
        <v>0</v>
      </c>
      <c r="AC1812">
        <v>0</v>
      </c>
      <c r="AE1812">
        <v>0</v>
      </c>
      <c r="AF1812">
        <v>0</v>
      </c>
      <c r="AG1812" s="2">
        <v>1359.19</v>
      </c>
      <c r="AH1812">
        <v>0</v>
      </c>
      <c r="AI1812" s="2">
        <v>1359.19</v>
      </c>
      <c r="AJ1812">
        <v>392.83</v>
      </c>
      <c r="AK1812">
        <v>392.83</v>
      </c>
      <c r="AL1812" t="str">
        <f>"$"</f>
        <v>$</v>
      </c>
    </row>
    <row r="1813" spans="1:38" x14ac:dyDescent="0.3">
      <c r="A1813" t="str">
        <f>"SO22000241"</f>
        <v>SO22000241</v>
      </c>
      <c r="B1813" t="str">
        <f>"E000365938"</f>
        <v>E000365938</v>
      </c>
      <c r="C1813" t="str">
        <f>"בוצעה"</f>
        <v>בוצעה</v>
      </c>
      <c r="E1813" s="3">
        <v>44731</v>
      </c>
      <c r="F1813" s="3">
        <v>44849</v>
      </c>
      <c r="G1813" t="str">
        <f>"700065"</f>
        <v>700065</v>
      </c>
      <c r="H1813" t="str">
        <f>"אלתא מערכות בע""מ"</f>
        <v>אלתא מערכות בע"מ</v>
      </c>
      <c r="I1813" t="str">
        <f>"רחמים זרוק"</f>
        <v>רחמים זרוק</v>
      </c>
      <c r="J1813" t="str">
        <f>"OP-AR03182"</f>
        <v>OP-AR03182</v>
      </c>
      <c r="K1813" s="1" t="str">
        <f>"1025R611-001   HARNESS WP11 - POWER CABLE MOTOR 220V"</f>
        <v>1025R611-001   HARNESS WP11 - POWER CABLE MOTOR 220V</v>
      </c>
      <c r="L1813">
        <v>1</v>
      </c>
      <c r="M1813" t="str">
        <f>"PR22000459"</f>
        <v>PR22000459</v>
      </c>
      <c r="N1813" t="str">
        <f>"E000365938"</f>
        <v>E000365938</v>
      </c>
      <c r="O1813">
        <v>362.77</v>
      </c>
      <c r="P1813" t="str">
        <f>"$"</f>
        <v>$</v>
      </c>
      <c r="Q1813" t="str">
        <f>"117"</f>
        <v>117</v>
      </c>
      <c r="R1813" t="str">
        <f>"רתמות"</f>
        <v>רתמות</v>
      </c>
      <c r="S1813" t="str">
        <f>"040"</f>
        <v>040</v>
      </c>
      <c r="T1813" t="str">
        <f>"עמר ליגל"</f>
        <v>עמר ליגל</v>
      </c>
      <c r="U1813">
        <v>0</v>
      </c>
      <c r="V1813">
        <v>0</v>
      </c>
      <c r="W1813">
        <v>362.77</v>
      </c>
      <c r="X1813">
        <v>362.77</v>
      </c>
      <c r="Z1813" t="str">
        <f>"Y"</f>
        <v>Y</v>
      </c>
      <c r="AA1813">
        <v>0</v>
      </c>
      <c r="AC1813">
        <v>0</v>
      </c>
      <c r="AE1813">
        <v>0</v>
      </c>
      <c r="AF1813">
        <v>0</v>
      </c>
      <c r="AG1813" s="2">
        <v>1255.18</v>
      </c>
      <c r="AH1813">
        <v>0</v>
      </c>
      <c r="AI1813" s="2">
        <v>1255.18</v>
      </c>
      <c r="AJ1813">
        <v>362.77</v>
      </c>
      <c r="AK1813">
        <v>362.77</v>
      </c>
      <c r="AL1813" t="str">
        <f>"$"</f>
        <v>$</v>
      </c>
    </row>
    <row r="1814" spans="1:38" x14ac:dyDescent="0.3">
      <c r="A1814" t="str">
        <f>"SO22000241"</f>
        <v>SO22000241</v>
      </c>
      <c r="B1814" t="str">
        <f>"E000365938"</f>
        <v>E000365938</v>
      </c>
      <c r="C1814" t="str">
        <f>"בוצעה"</f>
        <v>בוצעה</v>
      </c>
      <c r="E1814" s="3">
        <v>44731</v>
      </c>
      <c r="F1814" s="3">
        <v>44849</v>
      </c>
      <c r="G1814" t="str">
        <f>"700065"</f>
        <v>700065</v>
      </c>
      <c r="H1814" t="str">
        <f>"אלתא מערכות בע""מ"</f>
        <v>אלתא מערכות בע"מ</v>
      </c>
      <c r="I1814" t="str">
        <f>"רחמים זרוק"</f>
        <v>רחמים זרוק</v>
      </c>
      <c r="J1814" t="str">
        <f>"OP-AR03183"</f>
        <v>OP-AR03183</v>
      </c>
      <c r="K1814" s="1" t="str">
        <f>"1025R629-001   HARNESS WC07 - CONTROL CABLE MOTOR"</f>
        <v>1025R629-001   HARNESS WC07 - CONTROL CABLE MOTOR</v>
      </c>
      <c r="L1814">
        <v>1</v>
      </c>
      <c r="M1814" t="str">
        <f>"PR22000459"</f>
        <v>PR22000459</v>
      </c>
      <c r="N1814" t="str">
        <f>"E000365938"</f>
        <v>E000365938</v>
      </c>
      <c r="O1814">
        <v>252.15</v>
      </c>
      <c r="P1814" t="str">
        <f>"$"</f>
        <v>$</v>
      </c>
      <c r="Q1814" t="str">
        <f>"117"</f>
        <v>117</v>
      </c>
      <c r="R1814" t="str">
        <f>"רתמות"</f>
        <v>רתמות</v>
      </c>
      <c r="S1814" t="str">
        <f>"040"</f>
        <v>040</v>
      </c>
      <c r="T1814" t="str">
        <f>"עמר ליגל"</f>
        <v>עמר ליגל</v>
      </c>
      <c r="U1814">
        <v>0</v>
      </c>
      <c r="V1814">
        <v>0</v>
      </c>
      <c r="W1814">
        <v>252.15</v>
      </c>
      <c r="X1814">
        <v>252.15</v>
      </c>
      <c r="Z1814" t="str">
        <f>"Y"</f>
        <v>Y</v>
      </c>
      <c r="AA1814">
        <v>0</v>
      </c>
      <c r="AC1814">
        <v>0</v>
      </c>
      <c r="AE1814">
        <v>0</v>
      </c>
      <c r="AF1814">
        <v>0</v>
      </c>
      <c r="AG1814">
        <v>872.44</v>
      </c>
      <c r="AH1814">
        <v>0</v>
      </c>
      <c r="AI1814">
        <v>872.44</v>
      </c>
      <c r="AJ1814">
        <v>252.15</v>
      </c>
      <c r="AK1814">
        <v>252.15</v>
      </c>
      <c r="AL1814" t="str">
        <f>"$"</f>
        <v>$</v>
      </c>
    </row>
    <row r="1815" spans="1:38" x14ac:dyDescent="0.3">
      <c r="A1815" t="str">
        <f>"SO22000241"</f>
        <v>SO22000241</v>
      </c>
      <c r="B1815" t="str">
        <f>"E000365938"</f>
        <v>E000365938</v>
      </c>
      <c r="C1815" t="str">
        <f>"בוצעה"</f>
        <v>בוצעה</v>
      </c>
      <c r="E1815" s="3">
        <v>44731</v>
      </c>
      <c r="F1815" s="3">
        <v>44849</v>
      </c>
      <c r="G1815" t="str">
        <f>"700065"</f>
        <v>700065</v>
      </c>
      <c r="H1815" t="str">
        <f>"אלתא מערכות בע""מ"</f>
        <v>אלתא מערכות בע"מ</v>
      </c>
      <c r="I1815" t="str">
        <f>"רחמים זרוק"</f>
        <v>רחמים זרוק</v>
      </c>
      <c r="J1815" t="str">
        <f>"OP-AR03184"</f>
        <v>OP-AR03184</v>
      </c>
      <c r="K1815" s="1" t="str">
        <f>"1037R620-001    WL4 North Finder Indoor Cable"</f>
        <v>1037R620-001    WL4 North Finder Indoor Cable</v>
      </c>
      <c r="L1815">
        <v>1</v>
      </c>
      <c r="M1815" t="str">
        <f>"PR22000459"</f>
        <v>PR22000459</v>
      </c>
      <c r="N1815" t="str">
        <f>"E000365938"</f>
        <v>E000365938</v>
      </c>
      <c r="O1815">
        <v>525.54999999999995</v>
      </c>
      <c r="P1815" t="str">
        <f>"$"</f>
        <v>$</v>
      </c>
      <c r="Q1815" t="str">
        <f>"117"</f>
        <v>117</v>
      </c>
      <c r="R1815" t="str">
        <f>"רתמות"</f>
        <v>רתמות</v>
      </c>
      <c r="S1815" t="str">
        <f>"040"</f>
        <v>040</v>
      </c>
      <c r="T1815" t="str">
        <f>"עמר ליגל"</f>
        <v>עמר ליגל</v>
      </c>
      <c r="U1815">
        <v>0</v>
      </c>
      <c r="V1815">
        <v>0</v>
      </c>
      <c r="W1815">
        <v>525.54999999999995</v>
      </c>
      <c r="X1815">
        <v>525.54999999999995</v>
      </c>
      <c r="Z1815" t="str">
        <f>"Y"</f>
        <v>Y</v>
      </c>
      <c r="AA1815">
        <v>0</v>
      </c>
      <c r="AC1815">
        <v>0</v>
      </c>
      <c r="AE1815">
        <v>0</v>
      </c>
      <c r="AF1815">
        <v>0</v>
      </c>
      <c r="AG1815" s="2">
        <v>1818.4</v>
      </c>
      <c r="AH1815">
        <v>0</v>
      </c>
      <c r="AI1815" s="2">
        <v>1818.4</v>
      </c>
      <c r="AJ1815">
        <v>525.54999999999995</v>
      </c>
      <c r="AK1815">
        <v>525.54999999999995</v>
      </c>
      <c r="AL1815" t="str">
        <f>"$"</f>
        <v>$</v>
      </c>
    </row>
    <row r="1816" spans="1:38" x14ac:dyDescent="0.3">
      <c r="A1816" t="str">
        <f>"SO22000241"</f>
        <v>SO22000241</v>
      </c>
      <c r="B1816" t="str">
        <f>"E000365938"</f>
        <v>E000365938</v>
      </c>
      <c r="C1816" t="str">
        <f>"בוצעה"</f>
        <v>בוצעה</v>
      </c>
      <c r="E1816" s="3">
        <v>44731</v>
      </c>
      <c r="F1816" s="3">
        <v>44849</v>
      </c>
      <c r="G1816" t="str">
        <f>"700065"</f>
        <v>700065</v>
      </c>
      <c r="H1816" t="str">
        <f>"אלתא מערכות בע""מ"</f>
        <v>אלתא מערכות בע"מ</v>
      </c>
      <c r="I1816" t="str">
        <f>"רחמים זרוק"</f>
        <v>רחמים זרוק</v>
      </c>
      <c r="J1816" t="str">
        <f>"OP-AR03185"</f>
        <v>OP-AR03185</v>
      </c>
      <c r="K1816" s="1" t="str">
        <f>"1038N297-001   GROUND CABLE WN297 - ROD TO PALLET CHASS"</f>
        <v>1038N297-001   GROUND CABLE WN297 - ROD TO PALLET CHASS</v>
      </c>
      <c r="L1816">
        <v>15</v>
      </c>
      <c r="M1816" t="str">
        <f>"PR22000459"</f>
        <v>PR22000459</v>
      </c>
      <c r="N1816" t="str">
        <f>"E000365938"</f>
        <v>E000365938</v>
      </c>
      <c r="O1816">
        <v>261.88</v>
      </c>
      <c r="P1816" t="str">
        <f>"$"</f>
        <v>$</v>
      </c>
      <c r="Q1816" t="str">
        <f>"117"</f>
        <v>117</v>
      </c>
      <c r="R1816" t="str">
        <f>"רתמות"</f>
        <v>רתמות</v>
      </c>
      <c r="S1816" t="str">
        <f>"040"</f>
        <v>040</v>
      </c>
      <c r="T1816" t="str">
        <f>"עמר ליגל"</f>
        <v>עמר ליגל</v>
      </c>
      <c r="U1816">
        <v>0</v>
      </c>
      <c r="V1816">
        <v>0</v>
      </c>
      <c r="W1816">
        <v>261.88</v>
      </c>
      <c r="X1816" s="2">
        <v>3928.2</v>
      </c>
      <c r="Z1816" t="str">
        <f>"Y"</f>
        <v>Y</v>
      </c>
      <c r="AA1816">
        <v>0</v>
      </c>
      <c r="AC1816">
        <v>0</v>
      </c>
      <c r="AE1816">
        <v>0</v>
      </c>
      <c r="AF1816">
        <v>0</v>
      </c>
      <c r="AG1816">
        <v>906.1</v>
      </c>
      <c r="AH1816">
        <v>0</v>
      </c>
      <c r="AI1816" s="2">
        <v>13591.57</v>
      </c>
      <c r="AJ1816" s="2">
        <v>3928.2</v>
      </c>
      <c r="AK1816" s="2">
        <v>3928.2</v>
      </c>
      <c r="AL1816" t="str">
        <f>"$"</f>
        <v>$</v>
      </c>
    </row>
    <row r="1817" spans="1:38" x14ac:dyDescent="0.3">
      <c r="A1817" t="str">
        <f>"SO22000241"</f>
        <v>SO22000241</v>
      </c>
      <c r="B1817" t="str">
        <f>"E000365938"</f>
        <v>E000365938</v>
      </c>
      <c r="C1817" t="str">
        <f>"בוצעה"</f>
        <v>בוצעה</v>
      </c>
      <c r="E1817" s="3">
        <v>44731</v>
      </c>
      <c r="F1817" s="3">
        <v>44865</v>
      </c>
      <c r="G1817" t="str">
        <f>"700065"</f>
        <v>700065</v>
      </c>
      <c r="H1817" t="str">
        <f>"אלתא מערכות בע""מ"</f>
        <v>אלתא מערכות בע"מ</v>
      </c>
      <c r="I1817" t="str">
        <f>"רחמים זרוק"</f>
        <v>רחמים זרוק</v>
      </c>
      <c r="J1817" t="str">
        <f>"OP-AR03187"</f>
        <v>OP-AR03187</v>
      </c>
      <c r="K1817" s="1" t="str">
        <f>"1023B536-001    WV036 CONTROL - CU GROUP TO BFU &amp; CAMERA"</f>
        <v>1023B536-001    WV036 CONTROL - CU GROUP TO BFU &amp; CAMERA</v>
      </c>
      <c r="L1817">
        <v>2</v>
      </c>
      <c r="M1817" t="str">
        <f>"PR22000459"</f>
        <v>PR22000459</v>
      </c>
      <c r="N1817" t="str">
        <f>"E000365938"</f>
        <v>E000365938</v>
      </c>
      <c r="O1817">
        <v>901.54</v>
      </c>
      <c r="P1817" t="str">
        <f>"$"</f>
        <v>$</v>
      </c>
      <c r="Q1817" t="str">
        <f>"117"</f>
        <v>117</v>
      </c>
      <c r="R1817" t="str">
        <f>"רתמות"</f>
        <v>רתמות</v>
      </c>
      <c r="S1817" t="str">
        <f>"040"</f>
        <v>040</v>
      </c>
      <c r="T1817" t="str">
        <f>"עמר ליגל"</f>
        <v>עמר ליגל</v>
      </c>
      <c r="U1817">
        <v>0</v>
      </c>
      <c r="V1817">
        <v>0</v>
      </c>
      <c r="W1817">
        <v>901.54</v>
      </c>
      <c r="X1817" s="2">
        <v>1803.08</v>
      </c>
      <c r="Z1817" t="str">
        <f>"Y"</f>
        <v>Y</v>
      </c>
      <c r="AA1817">
        <v>0</v>
      </c>
      <c r="AC1817">
        <v>0</v>
      </c>
      <c r="AE1817">
        <v>0</v>
      </c>
      <c r="AF1817">
        <v>0</v>
      </c>
      <c r="AG1817" s="2">
        <v>3119.33</v>
      </c>
      <c r="AH1817">
        <v>0</v>
      </c>
      <c r="AI1817" s="2">
        <v>6238.66</v>
      </c>
      <c r="AJ1817" s="2">
        <v>1803.08</v>
      </c>
      <c r="AK1817" s="2">
        <v>1803.08</v>
      </c>
      <c r="AL1817" t="str">
        <f>"$"</f>
        <v>$</v>
      </c>
    </row>
    <row r="1818" spans="1:38" x14ac:dyDescent="0.3">
      <c r="A1818" t="str">
        <f>"SO22000241"</f>
        <v>SO22000241</v>
      </c>
      <c r="B1818" t="str">
        <f>"E000365938"</f>
        <v>E000365938</v>
      </c>
      <c r="C1818" t="str">
        <f>"בוצעה"</f>
        <v>בוצעה</v>
      </c>
      <c r="E1818" s="3">
        <v>44731</v>
      </c>
      <c r="F1818" s="3">
        <v>44865</v>
      </c>
      <c r="G1818" t="str">
        <f>"700065"</f>
        <v>700065</v>
      </c>
      <c r="H1818" t="str">
        <f>"אלתא מערכות בע""מ"</f>
        <v>אלתא מערכות בע"מ</v>
      </c>
      <c r="I1818" t="str">
        <f>"רחמים זרוק"</f>
        <v>רחמים זרוק</v>
      </c>
      <c r="J1818" t="str">
        <f>"OP-AR03188"</f>
        <v>OP-AR03188</v>
      </c>
      <c r="K1818" s="1" t="str">
        <f>"1023B597-001    WV097 CABLE ASSY"</f>
        <v>1023B597-001    WV097 CABLE ASSY</v>
      </c>
      <c r="L1818">
        <v>2</v>
      </c>
      <c r="M1818" t="str">
        <f>"PR22000459"</f>
        <v>PR22000459</v>
      </c>
      <c r="N1818" t="str">
        <f>"E000365938"</f>
        <v>E000365938</v>
      </c>
      <c r="O1818">
        <v>651.22</v>
      </c>
      <c r="P1818" t="str">
        <f>"$"</f>
        <v>$</v>
      </c>
      <c r="Q1818" t="str">
        <f>"117"</f>
        <v>117</v>
      </c>
      <c r="R1818" t="str">
        <f>"רתמות"</f>
        <v>רתמות</v>
      </c>
      <c r="S1818" t="str">
        <f>"040"</f>
        <v>040</v>
      </c>
      <c r="T1818" t="str">
        <f>"עמר ליגל"</f>
        <v>עמר ליגל</v>
      </c>
      <c r="U1818">
        <v>0</v>
      </c>
      <c r="V1818">
        <v>0</v>
      </c>
      <c r="W1818">
        <v>651.22</v>
      </c>
      <c r="X1818" s="2">
        <v>1302.44</v>
      </c>
      <c r="Z1818" t="str">
        <f>"Y"</f>
        <v>Y</v>
      </c>
      <c r="AA1818">
        <v>0</v>
      </c>
      <c r="AC1818">
        <v>0</v>
      </c>
      <c r="AE1818">
        <v>0</v>
      </c>
      <c r="AF1818">
        <v>0</v>
      </c>
      <c r="AG1818" s="2">
        <v>2253.2199999999998</v>
      </c>
      <c r="AH1818">
        <v>0</v>
      </c>
      <c r="AI1818" s="2">
        <v>4506.4399999999996</v>
      </c>
      <c r="AJ1818" s="2">
        <v>1302.44</v>
      </c>
      <c r="AK1818" s="2">
        <v>1302.44</v>
      </c>
      <c r="AL1818" t="str">
        <f>"$"</f>
        <v>$</v>
      </c>
    </row>
    <row r="1819" spans="1:38" x14ac:dyDescent="0.3">
      <c r="A1819" t="str">
        <f>"SO22000241"</f>
        <v>SO22000241</v>
      </c>
      <c r="B1819" t="str">
        <f>"E000365938"</f>
        <v>E000365938</v>
      </c>
      <c r="C1819" t="str">
        <f>"בוצעה"</f>
        <v>בוצעה</v>
      </c>
      <c r="E1819" s="3">
        <v>44731</v>
      </c>
      <c r="F1819" s="3">
        <v>44865</v>
      </c>
      <c r="G1819" t="str">
        <f>"700065"</f>
        <v>700065</v>
      </c>
      <c r="H1819" t="str">
        <f>"אלתא מערכות בע""מ"</f>
        <v>אלתא מערכות בע"מ</v>
      </c>
      <c r="I1819" t="str">
        <f>"רחמים זרוק"</f>
        <v>רחמים זרוק</v>
      </c>
      <c r="J1819" t="str">
        <f>"OP-AR03189"</f>
        <v>OP-AR03189</v>
      </c>
      <c r="K1819" s="1" t="str">
        <f>"1023B598-001    WV098 CABLE ASSY"</f>
        <v>1023B598-001    WV098 CABLE ASSY</v>
      </c>
      <c r="L1819">
        <v>1</v>
      </c>
      <c r="M1819" t="str">
        <f>"PR22000459"</f>
        <v>PR22000459</v>
      </c>
      <c r="N1819" t="str">
        <f>"E000365938"</f>
        <v>E000365938</v>
      </c>
      <c r="O1819">
        <v>872.22</v>
      </c>
      <c r="P1819" t="str">
        <f>"$"</f>
        <v>$</v>
      </c>
      <c r="Q1819" t="str">
        <f>"117"</f>
        <v>117</v>
      </c>
      <c r="R1819" t="str">
        <f>"רתמות"</f>
        <v>רתמות</v>
      </c>
      <c r="S1819" t="str">
        <f>"040"</f>
        <v>040</v>
      </c>
      <c r="T1819" t="str">
        <f>"עמר ליגל"</f>
        <v>עמר ליגל</v>
      </c>
      <c r="U1819">
        <v>0</v>
      </c>
      <c r="V1819">
        <v>0</v>
      </c>
      <c r="W1819">
        <v>872.22</v>
      </c>
      <c r="X1819">
        <v>872.22</v>
      </c>
      <c r="Z1819" t="str">
        <f>"Y"</f>
        <v>Y</v>
      </c>
      <c r="AA1819">
        <v>0</v>
      </c>
      <c r="AC1819">
        <v>0</v>
      </c>
      <c r="AE1819">
        <v>0</v>
      </c>
      <c r="AF1819">
        <v>0</v>
      </c>
      <c r="AG1819" s="2">
        <v>3017.88</v>
      </c>
      <c r="AH1819">
        <v>0</v>
      </c>
      <c r="AI1819" s="2">
        <v>3017.88</v>
      </c>
      <c r="AJ1819">
        <v>872.22</v>
      </c>
      <c r="AK1819">
        <v>872.22</v>
      </c>
      <c r="AL1819" t="str">
        <f>"$"</f>
        <v>$</v>
      </c>
    </row>
    <row r="1820" spans="1:38" x14ac:dyDescent="0.3">
      <c r="A1820" t="str">
        <f>"SO22000241"</f>
        <v>SO22000241</v>
      </c>
      <c r="B1820" t="str">
        <f>"E000365938"</f>
        <v>E000365938</v>
      </c>
      <c r="C1820" t="str">
        <f>"בוצעה"</f>
        <v>בוצעה</v>
      </c>
      <c r="E1820" s="3">
        <v>44731</v>
      </c>
      <c r="F1820" s="3">
        <v>44865</v>
      </c>
      <c r="G1820" t="str">
        <f>"700065"</f>
        <v>700065</v>
      </c>
      <c r="H1820" t="str">
        <f>"אלתא מערכות בע""מ"</f>
        <v>אלתא מערכות בע"מ</v>
      </c>
      <c r="I1820" t="str">
        <f>"רחמים זרוק"</f>
        <v>רחמים זרוק</v>
      </c>
      <c r="J1820" t="str">
        <f>"OP-AR01937"</f>
        <v>OP-AR01937</v>
      </c>
      <c r="K1820" s="1" t="str">
        <f>"1023B599-001  WV099 ELEVATION AXIS WARING SWIT"</f>
        <v>1023B599-001  WV099 ELEVATION AXIS WARING SWIT</v>
      </c>
      <c r="L1820">
        <v>2</v>
      </c>
      <c r="M1820" t="str">
        <f>"PR22000459"</f>
        <v>PR22000459</v>
      </c>
      <c r="N1820" t="str">
        <f>"E000365938"</f>
        <v>E000365938</v>
      </c>
      <c r="O1820" s="2">
        <v>1101.68</v>
      </c>
      <c r="P1820" t="str">
        <f>"$"</f>
        <v>$</v>
      </c>
      <c r="Q1820" t="str">
        <f>"117"</f>
        <v>117</v>
      </c>
      <c r="R1820" t="str">
        <f>"רתמות"</f>
        <v>רתמות</v>
      </c>
      <c r="S1820" t="str">
        <f>"040"</f>
        <v>040</v>
      </c>
      <c r="T1820" t="str">
        <f>"עמר ליגל"</f>
        <v>עמר ליגל</v>
      </c>
      <c r="U1820">
        <v>0</v>
      </c>
      <c r="V1820">
        <v>0</v>
      </c>
      <c r="W1820" s="2">
        <v>1101.68</v>
      </c>
      <c r="X1820" s="2">
        <v>2203.36</v>
      </c>
      <c r="Z1820" t="str">
        <f>"Y"</f>
        <v>Y</v>
      </c>
      <c r="AA1820">
        <v>0</v>
      </c>
      <c r="AC1820">
        <v>0</v>
      </c>
      <c r="AE1820">
        <v>0</v>
      </c>
      <c r="AF1820">
        <v>0</v>
      </c>
      <c r="AG1820" s="2">
        <v>3811.81</v>
      </c>
      <c r="AH1820">
        <v>0</v>
      </c>
      <c r="AI1820" s="2">
        <v>7623.63</v>
      </c>
      <c r="AJ1820" s="2">
        <v>2203.36</v>
      </c>
      <c r="AK1820" s="2">
        <v>2203.36</v>
      </c>
      <c r="AL1820" t="str">
        <f>"$"</f>
        <v>$</v>
      </c>
    </row>
    <row r="1821" spans="1:38" x14ac:dyDescent="0.3">
      <c r="A1821" t="str">
        <f>"SO22000241"</f>
        <v>SO22000241</v>
      </c>
      <c r="B1821" t="str">
        <f>"E000365938"</f>
        <v>E000365938</v>
      </c>
      <c r="C1821" t="str">
        <f>"בוצעה"</f>
        <v>בוצעה</v>
      </c>
      <c r="E1821" s="3">
        <v>44731</v>
      </c>
      <c r="F1821" s="3">
        <v>44788</v>
      </c>
      <c r="G1821" t="str">
        <f>"700065"</f>
        <v>700065</v>
      </c>
      <c r="H1821" t="str">
        <f>"אלתא מערכות בע""מ"</f>
        <v>אלתא מערכות בע"מ</v>
      </c>
      <c r="I1821" t="str">
        <f>"רחמים זרוק"</f>
        <v>רחמים זרוק</v>
      </c>
      <c r="J1821" t="str">
        <f>"OP-AR03190"</f>
        <v>OP-AR03190</v>
      </c>
      <c r="K1821" s="1" t="str">
        <f>"9009M460-001    HARNESS WRS60 - LEDS CABLE"</f>
        <v>9009M460-001    HARNESS WRS60 - LEDS CABLE</v>
      </c>
      <c r="L1821">
        <v>2</v>
      </c>
      <c r="M1821" t="str">
        <f>"PR22000459"</f>
        <v>PR22000459</v>
      </c>
      <c r="N1821" t="str">
        <f>"E000365938"</f>
        <v>E000365938</v>
      </c>
      <c r="O1821">
        <v>212.35</v>
      </c>
      <c r="P1821" t="str">
        <f>"$"</f>
        <v>$</v>
      </c>
      <c r="Q1821" t="str">
        <f>"117"</f>
        <v>117</v>
      </c>
      <c r="R1821" t="str">
        <f>"רתמות"</f>
        <v>רתמות</v>
      </c>
      <c r="S1821" t="str">
        <f>"040"</f>
        <v>040</v>
      </c>
      <c r="T1821" t="str">
        <f>"עמר ליגל"</f>
        <v>עמר ליגל</v>
      </c>
      <c r="U1821">
        <v>0</v>
      </c>
      <c r="V1821">
        <v>0</v>
      </c>
      <c r="W1821">
        <v>212.35</v>
      </c>
      <c r="X1821">
        <v>424.7</v>
      </c>
      <c r="Z1821" t="str">
        <f>"Y"</f>
        <v>Y</v>
      </c>
      <c r="AA1821">
        <v>0</v>
      </c>
      <c r="AC1821">
        <v>0</v>
      </c>
      <c r="AE1821">
        <v>0</v>
      </c>
      <c r="AF1821">
        <v>0</v>
      </c>
      <c r="AG1821">
        <v>734.73</v>
      </c>
      <c r="AH1821">
        <v>0</v>
      </c>
      <c r="AI1821" s="2">
        <v>1469.46</v>
      </c>
      <c r="AJ1821">
        <v>424.7</v>
      </c>
      <c r="AK1821">
        <v>424.7</v>
      </c>
      <c r="AL1821" t="str">
        <f>"$"</f>
        <v>$</v>
      </c>
    </row>
    <row r="1822" spans="1:38" x14ac:dyDescent="0.3">
      <c r="A1822" t="str">
        <f>"SO22000241"</f>
        <v>SO22000241</v>
      </c>
      <c r="B1822" t="str">
        <f>"E000365938"</f>
        <v>E000365938</v>
      </c>
      <c r="C1822" t="str">
        <f>"בוצעה"</f>
        <v>בוצעה</v>
      </c>
      <c r="E1822" s="3">
        <v>44731</v>
      </c>
      <c r="F1822" s="3">
        <v>44788</v>
      </c>
      <c r="G1822" t="str">
        <f>"700065"</f>
        <v>700065</v>
      </c>
      <c r="H1822" t="str">
        <f>"אלתא מערכות בע""מ"</f>
        <v>אלתא מערכות בע"מ</v>
      </c>
      <c r="I1822" t="str">
        <f>"רחמים זרוק"</f>
        <v>רחמים זרוק</v>
      </c>
      <c r="J1822" t="str">
        <f>"OP-AR03190"</f>
        <v>OP-AR03190</v>
      </c>
      <c r="K1822" s="1" t="str">
        <f>"9009M460-001    HARNESS WRS60 - LEDS CABLE"</f>
        <v>9009M460-001    HARNESS WRS60 - LEDS CABLE</v>
      </c>
      <c r="L1822">
        <v>1</v>
      </c>
      <c r="M1822" t="str">
        <f>"PR22000459"</f>
        <v>PR22000459</v>
      </c>
      <c r="N1822" t="str">
        <f>"E000365938"</f>
        <v>E000365938</v>
      </c>
      <c r="O1822">
        <v>212.35</v>
      </c>
      <c r="P1822" t="str">
        <f>"$"</f>
        <v>$</v>
      </c>
      <c r="Q1822" t="str">
        <f>"117"</f>
        <v>117</v>
      </c>
      <c r="R1822" t="str">
        <f>"רתמות"</f>
        <v>רתמות</v>
      </c>
      <c r="S1822" t="str">
        <f>"040"</f>
        <v>040</v>
      </c>
      <c r="T1822" t="str">
        <f>"עמר ליגל"</f>
        <v>עמר ליגל</v>
      </c>
      <c r="U1822">
        <v>0</v>
      </c>
      <c r="V1822">
        <v>0</v>
      </c>
      <c r="W1822">
        <v>212.35</v>
      </c>
      <c r="X1822">
        <v>212.35</v>
      </c>
      <c r="Z1822" t="str">
        <f>"Y"</f>
        <v>Y</v>
      </c>
      <c r="AA1822">
        <v>0</v>
      </c>
      <c r="AC1822">
        <v>0</v>
      </c>
      <c r="AE1822">
        <v>0</v>
      </c>
      <c r="AF1822">
        <v>0</v>
      </c>
      <c r="AG1822">
        <v>734.73</v>
      </c>
      <c r="AH1822">
        <v>0</v>
      </c>
      <c r="AI1822">
        <v>734.73</v>
      </c>
      <c r="AJ1822">
        <v>212.35</v>
      </c>
      <c r="AK1822">
        <v>212.35</v>
      </c>
      <c r="AL1822" t="str">
        <f>"$"</f>
        <v>$</v>
      </c>
    </row>
    <row r="1823" spans="1:38" x14ac:dyDescent="0.3">
      <c r="A1823" t="str">
        <f>"SO22000242"</f>
        <v>SO22000242</v>
      </c>
      <c r="B1823" t="str">
        <f>"E000367373"</f>
        <v>E000367373</v>
      </c>
      <c r="C1823" t="str">
        <f>"בסיום הרכבה"</f>
        <v>בסיום הרכבה</v>
      </c>
      <c r="E1823" s="3">
        <v>44731</v>
      </c>
      <c r="F1823" s="3">
        <v>44834</v>
      </c>
      <c r="G1823" t="str">
        <f>"700065"</f>
        <v>700065</v>
      </c>
      <c r="H1823" t="str">
        <f>"אלתא מערכות בע""מ"</f>
        <v>אלתא מערכות בע"מ</v>
      </c>
      <c r="I1823" t="str">
        <f>"רחמים זרוק"</f>
        <v>רחמים זרוק</v>
      </c>
      <c r="J1823" t="str">
        <f>"OP-AR03199"</f>
        <v>OP-AR03199</v>
      </c>
      <c r="K1823" s="1" t="str">
        <f>"1032M789-002    HARNESS 1W117 - TCG"</f>
        <v>1032M789-002    HARNESS 1W117 - TCG</v>
      </c>
      <c r="L1823">
        <v>4</v>
      </c>
      <c r="M1823" t="str">
        <f>"PR22000471"</f>
        <v>PR22000471</v>
      </c>
      <c r="N1823" t="str">
        <f>"E000367373"</f>
        <v>E000367373</v>
      </c>
      <c r="O1823">
        <v>753.88</v>
      </c>
      <c r="P1823" t="str">
        <f>"$"</f>
        <v>$</v>
      </c>
      <c r="Q1823" t="str">
        <f>"117"</f>
        <v>117</v>
      </c>
      <c r="R1823" t="str">
        <f>"רתמות"</f>
        <v>רתמות</v>
      </c>
      <c r="S1823" t="str">
        <f>"040"</f>
        <v>040</v>
      </c>
      <c r="T1823" t="str">
        <f>"עמר ליגל"</f>
        <v>עמר ליגל</v>
      </c>
      <c r="U1823">
        <v>0</v>
      </c>
      <c r="V1823">
        <v>0</v>
      </c>
      <c r="W1823">
        <v>753.88</v>
      </c>
      <c r="X1823" s="2">
        <v>3015.52</v>
      </c>
      <c r="Z1823" t="str">
        <f>"Y"</f>
        <v>Y</v>
      </c>
      <c r="AA1823">
        <v>0</v>
      </c>
      <c r="AC1823">
        <v>0</v>
      </c>
      <c r="AE1823">
        <v>0</v>
      </c>
      <c r="AF1823">
        <v>0</v>
      </c>
      <c r="AG1823" s="2">
        <v>2608.42</v>
      </c>
      <c r="AH1823">
        <v>0</v>
      </c>
      <c r="AI1823" s="2">
        <v>10433.700000000001</v>
      </c>
      <c r="AJ1823" s="2">
        <v>3015.52</v>
      </c>
      <c r="AK1823" s="2">
        <v>3015.52</v>
      </c>
      <c r="AL1823" t="str">
        <f>"$"</f>
        <v>$</v>
      </c>
    </row>
    <row r="1824" spans="1:38" x14ac:dyDescent="0.3">
      <c r="A1824" t="str">
        <f>"SO22000243"</f>
        <v>SO22000243</v>
      </c>
      <c r="B1824" t="str">
        <f>"E000367370"</f>
        <v>E000367370</v>
      </c>
      <c r="C1824" t="str">
        <f>"בוצעה"</f>
        <v>בוצעה</v>
      </c>
      <c r="E1824" s="3">
        <v>44731</v>
      </c>
      <c r="F1824" s="3">
        <v>44829</v>
      </c>
      <c r="G1824" t="str">
        <f>"700065"</f>
        <v>700065</v>
      </c>
      <c r="H1824" t="str">
        <f>"אלתא מערכות בע""מ"</f>
        <v>אלתא מערכות בע"מ</v>
      </c>
      <c r="I1824" t="str">
        <f>"רחמים זרוק"</f>
        <v>רחמים זרוק</v>
      </c>
      <c r="J1824" t="str">
        <f>"OP-AR03201"</f>
        <v>OP-AR03201</v>
      </c>
      <c r="K1824" s="1" t="str">
        <f>"2014E737-002   BCU IFFMC ETH. CABLE"</f>
        <v>2014E737-002   BCU IFFMC ETH. CABLE</v>
      </c>
      <c r="L1824">
        <v>10</v>
      </c>
      <c r="M1824" t="str">
        <f>"PR22000479"</f>
        <v>PR22000479</v>
      </c>
      <c r="N1824" t="str">
        <f>"E000367370"</f>
        <v>E000367370</v>
      </c>
      <c r="O1824">
        <v>131.24</v>
      </c>
      <c r="P1824" t="str">
        <f>"$"</f>
        <v>$</v>
      </c>
      <c r="Q1824" t="str">
        <f>"117"</f>
        <v>117</v>
      </c>
      <c r="R1824" t="str">
        <f>"רתמות"</f>
        <v>רתמות</v>
      </c>
      <c r="S1824" t="str">
        <f>"040"</f>
        <v>040</v>
      </c>
      <c r="T1824" t="str">
        <f>"עמר ליגל"</f>
        <v>עמר ליגל</v>
      </c>
      <c r="U1824">
        <v>0</v>
      </c>
      <c r="V1824">
        <v>0</v>
      </c>
      <c r="W1824">
        <v>131.24</v>
      </c>
      <c r="X1824" s="2">
        <v>1312.4</v>
      </c>
      <c r="Z1824" t="str">
        <f>"Y"</f>
        <v>Y</v>
      </c>
      <c r="AA1824">
        <v>0</v>
      </c>
      <c r="AC1824">
        <v>0</v>
      </c>
      <c r="AE1824">
        <v>0</v>
      </c>
      <c r="AF1824">
        <v>0</v>
      </c>
      <c r="AG1824">
        <v>454.09</v>
      </c>
      <c r="AH1824">
        <v>0</v>
      </c>
      <c r="AI1824" s="2">
        <v>4540.8999999999996</v>
      </c>
      <c r="AJ1824" s="2">
        <v>1312.4</v>
      </c>
      <c r="AK1824" s="2">
        <v>1312.4</v>
      </c>
      <c r="AL1824" t="str">
        <f>"$"</f>
        <v>$</v>
      </c>
    </row>
    <row r="1825" spans="1:38" x14ac:dyDescent="0.3">
      <c r="A1825" t="str">
        <f>"SO22000243"</f>
        <v>SO22000243</v>
      </c>
      <c r="B1825" t="str">
        <f>"E000367370"</f>
        <v>E000367370</v>
      </c>
      <c r="C1825" t="str">
        <f>"בוצעה"</f>
        <v>בוצעה</v>
      </c>
      <c r="E1825" s="3">
        <v>44731</v>
      </c>
      <c r="F1825" s="3">
        <v>44864</v>
      </c>
      <c r="G1825" t="str">
        <f>"700065"</f>
        <v>700065</v>
      </c>
      <c r="H1825" t="str">
        <f>"אלתא מערכות בע""מ"</f>
        <v>אלתא מערכות בע"מ</v>
      </c>
      <c r="I1825" t="str">
        <f>"רחמים זרוק"</f>
        <v>רחמים זרוק</v>
      </c>
      <c r="J1825" t="str">
        <f>"OP-AR03202"</f>
        <v>OP-AR03202</v>
      </c>
      <c r="K1825" s="1" t="str">
        <f>"2060B170-001   CABLE ASSY CRW21"</f>
        <v>2060B170-001   CABLE ASSY CRW21</v>
      </c>
      <c r="L1825">
        <v>1</v>
      </c>
      <c r="M1825" t="str">
        <f>"PR22000479"</f>
        <v>PR22000479</v>
      </c>
      <c r="N1825" t="str">
        <f>"E000367370"</f>
        <v>E000367370</v>
      </c>
      <c r="O1825">
        <v>261.23</v>
      </c>
      <c r="P1825" t="str">
        <f>"$"</f>
        <v>$</v>
      </c>
      <c r="Q1825" t="str">
        <f>"117"</f>
        <v>117</v>
      </c>
      <c r="R1825" t="str">
        <f>"רתמות"</f>
        <v>רתמות</v>
      </c>
      <c r="S1825" t="str">
        <f>"040"</f>
        <v>040</v>
      </c>
      <c r="T1825" t="str">
        <f>"עמר ליגל"</f>
        <v>עמר ליגל</v>
      </c>
      <c r="U1825">
        <v>0</v>
      </c>
      <c r="V1825">
        <v>0</v>
      </c>
      <c r="W1825">
        <v>261.23</v>
      </c>
      <c r="X1825">
        <v>261.23</v>
      </c>
      <c r="Z1825" t="str">
        <f>"Y"</f>
        <v>Y</v>
      </c>
      <c r="AA1825">
        <v>0</v>
      </c>
      <c r="AC1825">
        <v>0</v>
      </c>
      <c r="AE1825">
        <v>0</v>
      </c>
      <c r="AF1825">
        <v>0</v>
      </c>
      <c r="AG1825">
        <v>903.86</v>
      </c>
      <c r="AH1825">
        <v>0</v>
      </c>
      <c r="AI1825">
        <v>903.86</v>
      </c>
      <c r="AJ1825">
        <v>261.23</v>
      </c>
      <c r="AK1825">
        <v>261.23</v>
      </c>
      <c r="AL1825" t="str">
        <f>"$"</f>
        <v>$</v>
      </c>
    </row>
    <row r="1826" spans="1:38" x14ac:dyDescent="0.3">
      <c r="A1826" t="str">
        <f>"SO22000243"</f>
        <v>SO22000243</v>
      </c>
      <c r="B1826" t="str">
        <f>"E000367370"</f>
        <v>E000367370</v>
      </c>
      <c r="C1826" t="str">
        <f>"בוצעה"</f>
        <v>בוצעה</v>
      </c>
      <c r="E1826" s="3">
        <v>44731</v>
      </c>
      <c r="F1826" s="3">
        <v>44864</v>
      </c>
      <c r="G1826" t="str">
        <f>"700065"</f>
        <v>700065</v>
      </c>
      <c r="H1826" t="str">
        <f>"אלתא מערכות בע""מ"</f>
        <v>אלתא מערכות בע"מ</v>
      </c>
      <c r="I1826" t="str">
        <f>"רחמים זרוק"</f>
        <v>רחמים זרוק</v>
      </c>
      <c r="J1826" t="str">
        <f>"OP-AR02086"</f>
        <v>OP-AR02086</v>
      </c>
      <c r="K1826" s="1" t="str">
        <f>"2060B171-001  CABLE ASSY CRW22"</f>
        <v>2060B171-001  CABLE ASSY CRW22</v>
      </c>
      <c r="L1826">
        <v>1</v>
      </c>
      <c r="M1826" t="str">
        <f>"PR22000479"</f>
        <v>PR22000479</v>
      </c>
      <c r="N1826" t="str">
        <f>"E000367370"</f>
        <v>E000367370</v>
      </c>
      <c r="O1826">
        <v>623.46</v>
      </c>
      <c r="P1826" t="str">
        <f>"$"</f>
        <v>$</v>
      </c>
      <c r="Q1826" t="str">
        <f>"117"</f>
        <v>117</v>
      </c>
      <c r="R1826" t="str">
        <f>"רתמות"</f>
        <v>רתמות</v>
      </c>
      <c r="S1826" t="str">
        <f>"040"</f>
        <v>040</v>
      </c>
      <c r="T1826" t="str">
        <f>"עמר ליגל"</f>
        <v>עמר ליגל</v>
      </c>
      <c r="U1826">
        <v>0</v>
      </c>
      <c r="V1826">
        <v>0</v>
      </c>
      <c r="W1826">
        <v>623.46</v>
      </c>
      <c r="X1826">
        <v>623.46</v>
      </c>
      <c r="Z1826" t="str">
        <f>"Y"</f>
        <v>Y</v>
      </c>
      <c r="AA1826">
        <v>0</v>
      </c>
      <c r="AC1826">
        <v>0</v>
      </c>
      <c r="AE1826">
        <v>0</v>
      </c>
      <c r="AF1826">
        <v>0</v>
      </c>
      <c r="AG1826" s="2">
        <v>2157.17</v>
      </c>
      <c r="AH1826">
        <v>0</v>
      </c>
      <c r="AI1826" s="2">
        <v>2157.17</v>
      </c>
      <c r="AJ1826">
        <v>623.46</v>
      </c>
      <c r="AK1826">
        <v>623.46</v>
      </c>
      <c r="AL1826" t="str">
        <f>"$"</f>
        <v>$</v>
      </c>
    </row>
    <row r="1827" spans="1:38" x14ac:dyDescent="0.3">
      <c r="A1827" t="str">
        <f>"SO22000243"</f>
        <v>SO22000243</v>
      </c>
      <c r="B1827" t="str">
        <f>"E000367370"</f>
        <v>E000367370</v>
      </c>
      <c r="C1827" t="str">
        <f>"בוצעה"</f>
        <v>בוצעה</v>
      </c>
      <c r="E1827" s="3">
        <v>44731</v>
      </c>
      <c r="F1827" s="3">
        <v>44864</v>
      </c>
      <c r="G1827" t="str">
        <f>"700065"</f>
        <v>700065</v>
      </c>
      <c r="H1827" t="str">
        <f>"אלתא מערכות בע""מ"</f>
        <v>אלתא מערכות בע"מ</v>
      </c>
      <c r="I1827" t="str">
        <f>"רחמים זרוק"</f>
        <v>רחמים זרוק</v>
      </c>
      <c r="J1827" t="str">
        <f>"OP-AR03011"</f>
        <v>OP-AR03011</v>
      </c>
      <c r="K1827" s="1" t="str">
        <f>"2083B310-002   VPW2 CABLE ASSY"</f>
        <v>2083B310-002   VPW2 CABLE ASSY</v>
      </c>
      <c r="L1827">
        <v>1</v>
      </c>
      <c r="M1827" t="str">
        <f>"PR22000479"</f>
        <v>PR22000479</v>
      </c>
      <c r="N1827" t="str">
        <f>"E000367370"</f>
        <v>E000367370</v>
      </c>
      <c r="O1827" s="2">
        <v>1022.92</v>
      </c>
      <c r="P1827" t="str">
        <f>"$"</f>
        <v>$</v>
      </c>
      <c r="Q1827" t="str">
        <f>"117"</f>
        <v>117</v>
      </c>
      <c r="R1827" t="str">
        <f>"רתמות"</f>
        <v>רתמות</v>
      </c>
      <c r="S1827" t="str">
        <f>"040"</f>
        <v>040</v>
      </c>
      <c r="T1827" t="str">
        <f>"עמר ליגל"</f>
        <v>עמר ליגל</v>
      </c>
      <c r="U1827">
        <v>0</v>
      </c>
      <c r="V1827">
        <v>0</v>
      </c>
      <c r="W1827" s="2">
        <v>1022.92</v>
      </c>
      <c r="X1827" s="2">
        <v>1022.92</v>
      </c>
      <c r="Z1827" t="str">
        <f>"Y"</f>
        <v>Y</v>
      </c>
      <c r="AA1827">
        <v>0</v>
      </c>
      <c r="AC1827">
        <v>0</v>
      </c>
      <c r="AE1827">
        <v>0</v>
      </c>
      <c r="AF1827">
        <v>0</v>
      </c>
      <c r="AG1827" s="2">
        <v>3539.3</v>
      </c>
      <c r="AH1827">
        <v>0</v>
      </c>
      <c r="AI1827" s="2">
        <v>3539.3</v>
      </c>
      <c r="AJ1827" s="2">
        <v>1022.92</v>
      </c>
      <c r="AK1827" s="2">
        <v>1022.92</v>
      </c>
      <c r="AL1827" t="str">
        <f>"$"</f>
        <v>$</v>
      </c>
    </row>
    <row r="1828" spans="1:38" x14ac:dyDescent="0.3">
      <c r="A1828" t="str">
        <f>"SO22000243"</f>
        <v>SO22000243</v>
      </c>
      <c r="B1828" t="str">
        <f>"E000367370"</f>
        <v>E000367370</v>
      </c>
      <c r="C1828" t="str">
        <f>"בוצעה"</f>
        <v>בוצעה</v>
      </c>
      <c r="E1828" s="3">
        <v>44731</v>
      </c>
      <c r="F1828" s="3">
        <v>44864</v>
      </c>
      <c r="G1828" t="str">
        <f>"700065"</f>
        <v>700065</v>
      </c>
      <c r="H1828" t="str">
        <f>"אלתא מערכות בע""מ"</f>
        <v>אלתא מערכות בע"מ</v>
      </c>
      <c r="I1828" t="str">
        <f>"רחמים זרוק"</f>
        <v>רחמים זרוק</v>
      </c>
      <c r="J1828" t="str">
        <f>"OP-AR03203"</f>
        <v>OP-AR03203</v>
      </c>
      <c r="K1828" s="1" t="str">
        <f>"2083B312-001   VPW3 CABLE ASSY"</f>
        <v>2083B312-001   VPW3 CABLE ASSY</v>
      </c>
      <c r="L1828">
        <v>1</v>
      </c>
      <c r="M1828" t="str">
        <f>"PR22000479"</f>
        <v>PR22000479</v>
      </c>
      <c r="N1828" t="str">
        <f>"E000367370"</f>
        <v>E000367370</v>
      </c>
      <c r="O1828">
        <v>684.11</v>
      </c>
      <c r="P1828" t="str">
        <f>"$"</f>
        <v>$</v>
      </c>
      <c r="Q1828" t="str">
        <f>"117"</f>
        <v>117</v>
      </c>
      <c r="R1828" t="str">
        <f>"רתמות"</f>
        <v>רתמות</v>
      </c>
      <c r="S1828" t="str">
        <f>"040"</f>
        <v>040</v>
      </c>
      <c r="T1828" t="str">
        <f>"עמר ליגל"</f>
        <v>עמר ליגל</v>
      </c>
      <c r="U1828">
        <v>0</v>
      </c>
      <c r="V1828">
        <v>0</v>
      </c>
      <c r="W1828">
        <v>684.11</v>
      </c>
      <c r="X1828">
        <v>684.11</v>
      </c>
      <c r="Z1828" t="str">
        <f>"Y"</f>
        <v>Y</v>
      </c>
      <c r="AA1828">
        <v>0</v>
      </c>
      <c r="AC1828">
        <v>0</v>
      </c>
      <c r="AE1828">
        <v>0</v>
      </c>
      <c r="AF1828">
        <v>0</v>
      </c>
      <c r="AG1828" s="2">
        <v>2367.02</v>
      </c>
      <c r="AH1828">
        <v>0</v>
      </c>
      <c r="AI1828" s="2">
        <v>2367.02</v>
      </c>
      <c r="AJ1828">
        <v>684.11</v>
      </c>
      <c r="AK1828">
        <v>684.11</v>
      </c>
      <c r="AL1828" t="str">
        <f>"$"</f>
        <v>$</v>
      </c>
    </row>
    <row r="1829" spans="1:38" x14ac:dyDescent="0.3">
      <c r="A1829" t="str">
        <f>"SO22000243"</f>
        <v>SO22000243</v>
      </c>
      <c r="B1829" t="str">
        <f>"E000367370"</f>
        <v>E000367370</v>
      </c>
      <c r="C1829" t="str">
        <f>"בוצעה"</f>
        <v>בוצעה</v>
      </c>
      <c r="E1829" s="3">
        <v>44731</v>
      </c>
      <c r="F1829" s="3">
        <v>44864</v>
      </c>
      <c r="G1829" t="str">
        <f>"700065"</f>
        <v>700065</v>
      </c>
      <c r="H1829" t="str">
        <f>"אלתא מערכות בע""מ"</f>
        <v>אלתא מערכות בע"מ</v>
      </c>
      <c r="I1829" t="str">
        <f>"רחמים זרוק"</f>
        <v>רחמים זרוק</v>
      </c>
      <c r="J1829" t="str">
        <f>"OP-AR03204"</f>
        <v>OP-AR03204</v>
      </c>
      <c r="K1829" s="1" t="str">
        <f>"2112B728-001    NG WDTRM CABLE"</f>
        <v>2112B728-001    NG WDTRM CABLE</v>
      </c>
      <c r="L1829">
        <v>2</v>
      </c>
      <c r="M1829" t="str">
        <f>"PR22000479"</f>
        <v>PR22000479</v>
      </c>
      <c r="N1829" t="str">
        <f>"E000367370"</f>
        <v>E000367370</v>
      </c>
      <c r="O1829">
        <v>471.08</v>
      </c>
      <c r="P1829" t="str">
        <f>"$"</f>
        <v>$</v>
      </c>
      <c r="Q1829" t="str">
        <f>"117"</f>
        <v>117</v>
      </c>
      <c r="R1829" t="str">
        <f>"רתמות"</f>
        <v>רתמות</v>
      </c>
      <c r="S1829" t="str">
        <f>"040"</f>
        <v>040</v>
      </c>
      <c r="T1829" t="str">
        <f>"עמר ליגל"</f>
        <v>עמר ליגל</v>
      </c>
      <c r="U1829">
        <v>0</v>
      </c>
      <c r="V1829">
        <v>0</v>
      </c>
      <c r="W1829">
        <v>471.08</v>
      </c>
      <c r="X1829">
        <v>942.16</v>
      </c>
      <c r="Z1829" t="str">
        <f>"Y"</f>
        <v>Y</v>
      </c>
      <c r="AA1829">
        <v>0</v>
      </c>
      <c r="AC1829">
        <v>0</v>
      </c>
      <c r="AE1829">
        <v>0</v>
      </c>
      <c r="AF1829">
        <v>0</v>
      </c>
      <c r="AG1829" s="2">
        <v>1629.94</v>
      </c>
      <c r="AH1829">
        <v>0</v>
      </c>
      <c r="AI1829" s="2">
        <v>3259.87</v>
      </c>
      <c r="AJ1829">
        <v>942.16</v>
      </c>
      <c r="AK1829">
        <v>942.16</v>
      </c>
      <c r="AL1829" t="str">
        <f>"$"</f>
        <v>$</v>
      </c>
    </row>
    <row r="1830" spans="1:38" x14ac:dyDescent="0.3">
      <c r="A1830" t="str">
        <f>"SO22000244"</f>
        <v>SO22000244</v>
      </c>
      <c r="B1830" t="str">
        <f>"E000366175"</f>
        <v>E000366175</v>
      </c>
      <c r="C1830" t="str">
        <f>"בוצעה"</f>
        <v>בוצעה</v>
      </c>
      <c r="E1830" s="3">
        <v>44731</v>
      </c>
      <c r="F1830" s="3">
        <v>44835</v>
      </c>
      <c r="G1830" t="str">
        <f>"700065"</f>
        <v>700065</v>
      </c>
      <c r="H1830" t="str">
        <f>"אלתא מערכות בע""מ"</f>
        <v>אלתא מערכות בע"מ</v>
      </c>
      <c r="I1830" t="str">
        <f>"ערן שלו"</f>
        <v>ערן שלו</v>
      </c>
      <c r="J1830" t="str">
        <f>"OP-AR00467"</f>
        <v>OP-AR00467</v>
      </c>
      <c r="K1830" s="1" t="str">
        <f>"AC PCU CONTROL BOX"</f>
        <v>AC PCU CONTROL BOX</v>
      </c>
      <c r="L1830">
        <v>1</v>
      </c>
      <c r="M1830" t="str">
        <f>"PR22000447"</f>
        <v>PR22000447</v>
      </c>
      <c r="N1830" t="str">
        <f>"AC PCU CONTROL BOX"</f>
        <v>AC PCU CONTROL BOX</v>
      </c>
      <c r="O1830" s="2">
        <v>4250</v>
      </c>
      <c r="P1830" t="str">
        <f>"$"</f>
        <v>$</v>
      </c>
      <c r="Q1830" t="str">
        <f>"118"</f>
        <v>118</v>
      </c>
      <c r="R1830" t="str">
        <f>"מערכות"</f>
        <v>מערכות</v>
      </c>
      <c r="S1830" t="str">
        <f>"034"</f>
        <v>034</v>
      </c>
      <c r="T1830" t="str">
        <f>"עמר ליגל"</f>
        <v>עמר ליגל</v>
      </c>
      <c r="U1830">
        <v>0</v>
      </c>
      <c r="V1830">
        <v>0</v>
      </c>
      <c r="W1830" s="2">
        <v>4250</v>
      </c>
      <c r="X1830" s="2">
        <v>4250</v>
      </c>
      <c r="Z1830" t="str">
        <f>"Y"</f>
        <v>Y</v>
      </c>
      <c r="AA1830">
        <v>0</v>
      </c>
      <c r="AC1830">
        <v>0</v>
      </c>
      <c r="AE1830">
        <v>0</v>
      </c>
      <c r="AF1830">
        <v>0</v>
      </c>
      <c r="AG1830" s="2">
        <v>14705</v>
      </c>
      <c r="AH1830">
        <v>0</v>
      </c>
      <c r="AI1830" s="2">
        <v>14705</v>
      </c>
      <c r="AJ1830" s="2">
        <v>4250</v>
      </c>
      <c r="AK1830" s="2">
        <v>4250</v>
      </c>
      <c r="AL1830" t="str">
        <f>"$"</f>
        <v>$</v>
      </c>
    </row>
    <row r="1831" spans="1:38" x14ac:dyDescent="0.3">
      <c r="A1831" t="str">
        <f>"SO22000245"</f>
        <v>SO22000245</v>
      </c>
      <c r="B1831" t="str">
        <f>"פנימת"</f>
        <v>פנימת</v>
      </c>
      <c r="C1831" t="str">
        <f>"בוצעה"</f>
        <v>בוצעה</v>
      </c>
      <c r="E1831" s="3">
        <v>44731</v>
      </c>
      <c r="F1831" s="3">
        <v>44731</v>
      </c>
      <c r="G1831" t="str">
        <f>"700065"</f>
        <v>700065</v>
      </c>
      <c r="H1831" t="str">
        <f>"אלתא מערכות בע""מ"</f>
        <v>אלתא מערכות בע"מ</v>
      </c>
      <c r="J1831" t="str">
        <f>"PA1002334"</f>
        <v>PA1002334</v>
      </c>
      <c r="K1831" s="1" t="str">
        <f>"בולם זעזועים GGTC3.2-28/36/10L"</f>
        <v>בולם זעזועים GGTC3.2-28/36/10L</v>
      </c>
      <c r="L1831">
        <v>24</v>
      </c>
      <c r="M1831" t="str">
        <f>"PR22000201"</f>
        <v>PR22000201</v>
      </c>
      <c r="N1831" t="str">
        <f>"מארז מחשוב ייצור זיווד"</f>
        <v>מארז מחשוב ייצור זיווד</v>
      </c>
      <c r="O1831">
        <v>0</v>
      </c>
      <c r="P1831" t="str">
        <f>"$"</f>
        <v>$</v>
      </c>
      <c r="Q1831" t="str">
        <f>"070"</f>
        <v>070</v>
      </c>
      <c r="R1831" t="str">
        <f>"הזמנה פנימית"</f>
        <v>הזמנה פנימית</v>
      </c>
      <c r="T1831" t="str">
        <f>"גנם הודיה"</f>
        <v>גנם הודיה</v>
      </c>
      <c r="U1831">
        <v>0</v>
      </c>
      <c r="V1831">
        <v>0</v>
      </c>
      <c r="W1831">
        <v>0</v>
      </c>
      <c r="X1831">
        <v>0</v>
      </c>
      <c r="Z1831" t="str">
        <f>"Y"</f>
        <v>Y</v>
      </c>
      <c r="AA1831">
        <v>0</v>
      </c>
      <c r="AC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 t="str">
        <f>"$"</f>
        <v>$</v>
      </c>
    </row>
    <row r="1832" spans="1:38" x14ac:dyDescent="0.3">
      <c r="A1832" t="str">
        <f>"SO22000250"</f>
        <v>SO22000250</v>
      </c>
      <c r="B1832" t="str">
        <f>"E000366835"</f>
        <v>E000366835</v>
      </c>
      <c r="C1832" t="str">
        <f>"בוצעה"</f>
        <v>בוצעה</v>
      </c>
      <c r="E1832" s="3">
        <v>44733</v>
      </c>
      <c r="F1832" s="3">
        <v>44910</v>
      </c>
      <c r="G1832" t="str">
        <f>"700065"</f>
        <v>700065</v>
      </c>
      <c r="H1832" t="str">
        <f>"אלתא מערכות בע""מ"</f>
        <v>אלתא מערכות בע"מ</v>
      </c>
      <c r="I1832" t="str">
        <f>"ערן שלו"</f>
        <v>ערן שלו</v>
      </c>
      <c r="J1832" t="str">
        <f>"OP-AR03200"</f>
        <v>OP-AR03200</v>
      </c>
      <c r="K1832" s="1" t="str">
        <f>"3003P303-002     HARNESS W3"</f>
        <v>3003P303-002     HARNESS W3</v>
      </c>
      <c r="L1832">
        <v>7</v>
      </c>
      <c r="M1832" t="str">
        <f>"PR22000486"</f>
        <v>PR22000486</v>
      </c>
      <c r="N1832" t="str">
        <f>"HARNESS W3"</f>
        <v>HARNESS W3</v>
      </c>
      <c r="O1832" s="2">
        <v>2319.48</v>
      </c>
      <c r="P1832" t="str">
        <f>"$"</f>
        <v>$</v>
      </c>
      <c r="Q1832" t="str">
        <f>"117"</f>
        <v>117</v>
      </c>
      <c r="R1832" t="str">
        <f>"רתמות"</f>
        <v>רתמות</v>
      </c>
      <c r="S1832" t="str">
        <f>"034"</f>
        <v>034</v>
      </c>
      <c r="T1832" t="str">
        <f>"עמר ליגל"</f>
        <v>עמר ליגל</v>
      </c>
      <c r="U1832">
        <v>0</v>
      </c>
      <c r="V1832">
        <v>0</v>
      </c>
      <c r="W1832" s="2">
        <v>2319.48</v>
      </c>
      <c r="X1832" s="2">
        <v>16236.36</v>
      </c>
      <c r="Z1832" t="str">
        <f>"Y"</f>
        <v>Y</v>
      </c>
      <c r="AA1832">
        <v>0</v>
      </c>
      <c r="AC1832">
        <v>0</v>
      </c>
      <c r="AE1832">
        <v>0</v>
      </c>
      <c r="AF1832">
        <v>0</v>
      </c>
      <c r="AG1832" s="2">
        <v>8011.48</v>
      </c>
      <c r="AH1832">
        <v>0</v>
      </c>
      <c r="AI1832" s="2">
        <v>56080.39</v>
      </c>
      <c r="AJ1832" s="2">
        <v>16236.36</v>
      </c>
      <c r="AK1832" s="2">
        <v>16236.36</v>
      </c>
      <c r="AL1832" t="str">
        <f>"$"</f>
        <v>$</v>
      </c>
    </row>
    <row r="1833" spans="1:38" x14ac:dyDescent="0.3">
      <c r="A1833" t="str">
        <f>"SO22000251"</f>
        <v>SO22000251</v>
      </c>
      <c r="B1833" t="str">
        <f>"E000366344"</f>
        <v>E000366344</v>
      </c>
      <c r="C1833" t="str">
        <f>"בוצעה"</f>
        <v>בוצעה</v>
      </c>
      <c r="E1833" s="3">
        <v>44733</v>
      </c>
      <c r="F1833" s="3">
        <v>44849</v>
      </c>
      <c r="G1833" t="str">
        <f>"700065"</f>
        <v>700065</v>
      </c>
      <c r="H1833" t="str">
        <f>"אלתא מערכות בע""מ"</f>
        <v>אלתא מערכות בע"מ</v>
      </c>
      <c r="I1833" t="str">
        <f>"ערן שלו"</f>
        <v>ערן שלו</v>
      </c>
      <c r="J1833" t="str">
        <f>"OP-AR00468"</f>
        <v>OP-AR00468</v>
      </c>
      <c r="K1833" s="1" t="str">
        <f>"208V/25A/3PH AC PCU CONTROL BOX"</f>
        <v>208V/25A/3PH AC PCU CONTROL BOX</v>
      </c>
      <c r="L1833">
        <v>1</v>
      </c>
      <c r="M1833" t="str">
        <f>"PR22000448"</f>
        <v>PR22000448</v>
      </c>
      <c r="N1833" t="str">
        <f>"208V/25A/3PH AC PCU CONTROL BOX"</f>
        <v>208V/25A/3PH AC PCU CONTROL BOX</v>
      </c>
      <c r="O1833" s="2">
        <v>4350</v>
      </c>
      <c r="P1833" t="str">
        <f>"$"</f>
        <v>$</v>
      </c>
      <c r="Q1833" t="str">
        <f>"118"</f>
        <v>118</v>
      </c>
      <c r="R1833" t="str">
        <f>"מערכות"</f>
        <v>מערכות</v>
      </c>
      <c r="S1833" t="str">
        <f>"034"</f>
        <v>034</v>
      </c>
      <c r="T1833" t="str">
        <f>"עמר ליגל"</f>
        <v>עמר ליגל</v>
      </c>
      <c r="U1833">
        <v>0</v>
      </c>
      <c r="V1833">
        <v>0</v>
      </c>
      <c r="W1833" s="2">
        <v>4350</v>
      </c>
      <c r="X1833" s="2">
        <v>4350</v>
      </c>
      <c r="Z1833" t="str">
        <f>"Y"</f>
        <v>Y</v>
      </c>
      <c r="AA1833">
        <v>0</v>
      </c>
      <c r="AC1833">
        <v>0</v>
      </c>
      <c r="AE1833">
        <v>0</v>
      </c>
      <c r="AF1833">
        <v>0</v>
      </c>
      <c r="AG1833" s="2">
        <v>15024.9</v>
      </c>
      <c r="AH1833">
        <v>0</v>
      </c>
      <c r="AI1833" s="2">
        <v>15024.9</v>
      </c>
      <c r="AJ1833" s="2">
        <v>4350</v>
      </c>
      <c r="AK1833" s="2">
        <v>4350</v>
      </c>
      <c r="AL1833" t="str">
        <f>"$"</f>
        <v>$</v>
      </c>
    </row>
    <row r="1834" spans="1:38" x14ac:dyDescent="0.3">
      <c r="A1834" t="str">
        <f>"SO22000254"</f>
        <v>SO22000254</v>
      </c>
      <c r="B1834" t="str">
        <f>"E000366137"</f>
        <v>E000366137</v>
      </c>
      <c r="C1834" t="str">
        <f>"בוצעה"</f>
        <v>בוצעה</v>
      </c>
      <c r="E1834" s="3">
        <v>44738</v>
      </c>
      <c r="F1834" s="3">
        <v>44844</v>
      </c>
      <c r="G1834" t="str">
        <f>"700065"</f>
        <v>700065</v>
      </c>
      <c r="H1834" t="str">
        <f>"אלתא מערכות בע""מ"</f>
        <v>אלתא מערכות בע"מ</v>
      </c>
      <c r="I1834" t="str">
        <f>"רחמים זרוק"</f>
        <v>רחמים זרוק</v>
      </c>
      <c r="J1834" t="str">
        <f>"OP-AR03213"</f>
        <v>OP-AR03213</v>
      </c>
      <c r="K1834" s="1" t="str">
        <f>"1093N667-001    HARNESS TRU"</f>
        <v>1093N667-001    HARNESS TRU</v>
      </c>
      <c r="L1834">
        <v>4</v>
      </c>
      <c r="M1834" t="str">
        <f>"PR22000489"</f>
        <v>PR22000489</v>
      </c>
      <c r="N1834" t="str">
        <f>"E000366137"</f>
        <v>E000366137</v>
      </c>
      <c r="O1834" s="2">
        <v>1571.16</v>
      </c>
      <c r="P1834" t="str">
        <f>"$"</f>
        <v>$</v>
      </c>
      <c r="Q1834" t="str">
        <f>"117"</f>
        <v>117</v>
      </c>
      <c r="R1834" t="str">
        <f>"רתמות"</f>
        <v>רתמות</v>
      </c>
      <c r="S1834" t="str">
        <f>"040"</f>
        <v>040</v>
      </c>
      <c r="T1834" t="str">
        <f>"עמר ליגל"</f>
        <v>עמר ליגל</v>
      </c>
      <c r="U1834">
        <v>0</v>
      </c>
      <c r="V1834">
        <v>0</v>
      </c>
      <c r="W1834" s="2">
        <v>1571.16</v>
      </c>
      <c r="X1834" s="2">
        <v>6284.64</v>
      </c>
      <c r="Z1834" t="str">
        <f>"Y"</f>
        <v>Y</v>
      </c>
      <c r="AA1834">
        <v>0</v>
      </c>
      <c r="AC1834">
        <v>0</v>
      </c>
      <c r="AE1834">
        <v>4</v>
      </c>
      <c r="AF1834">
        <v>0</v>
      </c>
      <c r="AG1834" s="2">
        <v>5407.93</v>
      </c>
      <c r="AH1834">
        <v>0</v>
      </c>
      <c r="AI1834" s="2">
        <v>21631.73</v>
      </c>
      <c r="AJ1834" s="2">
        <v>6284.64</v>
      </c>
      <c r="AK1834" s="2">
        <v>6284.64</v>
      </c>
      <c r="AL1834" t="str">
        <f>"$"</f>
        <v>$</v>
      </c>
    </row>
    <row r="1835" spans="1:38" x14ac:dyDescent="0.3">
      <c r="A1835" t="str">
        <f>"SO22000254"</f>
        <v>SO22000254</v>
      </c>
      <c r="B1835" t="str">
        <f>"E000366137"</f>
        <v>E000366137</v>
      </c>
      <c r="C1835" t="str">
        <f>"בוצעה"</f>
        <v>בוצעה</v>
      </c>
      <c r="E1835" s="3">
        <v>44738</v>
      </c>
      <c r="F1835" s="3">
        <v>44844</v>
      </c>
      <c r="G1835" t="str">
        <f>"700065"</f>
        <v>700065</v>
      </c>
      <c r="H1835" t="str">
        <f>"אלתא מערכות בע""מ"</f>
        <v>אלתא מערכות בע"מ</v>
      </c>
      <c r="I1835" t="str">
        <f>"רחמים זרוק"</f>
        <v>רחמים זרוק</v>
      </c>
      <c r="J1835" t="str">
        <f>"OP-AR03213"</f>
        <v>OP-AR03213</v>
      </c>
      <c r="K1835" s="1" t="str">
        <f>"1093N667-001    HARNESS TRU"</f>
        <v>1093N667-001    HARNESS TRU</v>
      </c>
      <c r="L1835">
        <v>3</v>
      </c>
      <c r="M1835" t="str">
        <f>"PR22000489"</f>
        <v>PR22000489</v>
      </c>
      <c r="N1835" t="str">
        <f>"E000366137"</f>
        <v>E000366137</v>
      </c>
      <c r="O1835" s="2">
        <v>1571.16</v>
      </c>
      <c r="P1835" t="str">
        <f>"$"</f>
        <v>$</v>
      </c>
      <c r="Q1835" t="str">
        <f>"117"</f>
        <v>117</v>
      </c>
      <c r="R1835" t="str">
        <f>"רתמות"</f>
        <v>רתמות</v>
      </c>
      <c r="S1835" t="str">
        <f>"040"</f>
        <v>040</v>
      </c>
      <c r="T1835" t="str">
        <f>"עמר ליגל"</f>
        <v>עמר ליגל</v>
      </c>
      <c r="U1835">
        <v>0</v>
      </c>
      <c r="V1835">
        <v>0</v>
      </c>
      <c r="W1835" s="2">
        <v>1571.16</v>
      </c>
      <c r="X1835" s="2">
        <v>4713.4799999999996</v>
      </c>
      <c r="Z1835" t="str">
        <f>"Y"</f>
        <v>Y</v>
      </c>
      <c r="AA1835">
        <v>0</v>
      </c>
      <c r="AC1835">
        <v>0</v>
      </c>
      <c r="AE1835">
        <v>3</v>
      </c>
      <c r="AF1835">
        <v>0</v>
      </c>
      <c r="AG1835" s="2">
        <v>5407.93</v>
      </c>
      <c r="AH1835">
        <v>0</v>
      </c>
      <c r="AI1835" s="2">
        <v>16223.8</v>
      </c>
      <c r="AJ1835" s="2">
        <v>4713.4799999999996</v>
      </c>
      <c r="AK1835" s="2">
        <v>4713.4799999999996</v>
      </c>
      <c r="AL1835" t="str">
        <f>"$"</f>
        <v>$</v>
      </c>
    </row>
    <row r="1836" spans="1:38" x14ac:dyDescent="0.3">
      <c r="A1836" t="str">
        <f>"SO22000254"</f>
        <v>SO22000254</v>
      </c>
      <c r="B1836" t="str">
        <f>"E000366137"</f>
        <v>E000366137</v>
      </c>
      <c r="C1836" t="str">
        <f>"בוצעה"</f>
        <v>בוצעה</v>
      </c>
      <c r="E1836" s="3">
        <v>44738</v>
      </c>
      <c r="F1836" s="3">
        <v>44740</v>
      </c>
      <c r="G1836" t="str">
        <f>"700065"</f>
        <v>700065</v>
      </c>
      <c r="H1836" t="str">
        <f>"אלתא מערכות בע""מ"</f>
        <v>אלתא מערכות בע"מ</v>
      </c>
      <c r="I1836" t="str">
        <f>"רחמים זרוק"</f>
        <v>רחמים זרוק</v>
      </c>
      <c r="J1836" t="str">
        <f>"OP-AR03215"</f>
        <v>OP-AR03215</v>
      </c>
      <c r="K1836" s="1" t="str">
        <f>"רתמת פיצול UPS RT6"</f>
        <v>רתמת פיצול UPS RT6</v>
      </c>
      <c r="L1836">
        <v>3</v>
      </c>
      <c r="M1836" t="str">
        <f>"PR22000489"</f>
        <v>PR22000489</v>
      </c>
      <c r="N1836" t="str">
        <f>"E000366137"</f>
        <v>E000366137</v>
      </c>
      <c r="O1836">
        <v>188.25</v>
      </c>
      <c r="P1836" t="str">
        <f>"$"</f>
        <v>$</v>
      </c>
      <c r="Q1836" t="str">
        <f>"117"</f>
        <v>117</v>
      </c>
      <c r="R1836" t="str">
        <f>"רתמות"</f>
        <v>רתמות</v>
      </c>
      <c r="S1836" t="str">
        <f>"040"</f>
        <v>040</v>
      </c>
      <c r="T1836" t="str">
        <f>"עמר ליגל"</f>
        <v>עמר ליגל</v>
      </c>
      <c r="U1836">
        <v>0</v>
      </c>
      <c r="V1836">
        <v>0</v>
      </c>
      <c r="W1836">
        <v>188.25</v>
      </c>
      <c r="X1836">
        <v>564.75</v>
      </c>
      <c r="Z1836" t="str">
        <f>"Y"</f>
        <v>Y</v>
      </c>
      <c r="AA1836">
        <v>0</v>
      </c>
      <c r="AC1836">
        <v>0</v>
      </c>
      <c r="AE1836">
        <v>0</v>
      </c>
      <c r="AF1836">
        <v>0</v>
      </c>
      <c r="AG1836">
        <v>647.96</v>
      </c>
      <c r="AH1836">
        <v>0</v>
      </c>
      <c r="AI1836" s="2">
        <v>1943.87</v>
      </c>
      <c r="AJ1836">
        <v>564.75</v>
      </c>
      <c r="AK1836">
        <v>564.75</v>
      </c>
      <c r="AL1836" t="str">
        <f>"$"</f>
        <v>$</v>
      </c>
    </row>
    <row r="1837" spans="1:38" x14ac:dyDescent="0.3">
      <c r="A1837" t="str">
        <f>"SO22000254"</f>
        <v>SO22000254</v>
      </c>
      <c r="B1837" t="str">
        <f>"E000366137"</f>
        <v>E000366137</v>
      </c>
      <c r="C1837" t="str">
        <f>"בוצעה"</f>
        <v>בוצעה</v>
      </c>
      <c r="E1837" s="3">
        <v>44738</v>
      </c>
      <c r="F1837" s="3">
        <v>44793</v>
      </c>
      <c r="G1837" t="str">
        <f>"700065"</f>
        <v>700065</v>
      </c>
      <c r="H1837" t="str">
        <f>"אלתא מערכות בע""מ"</f>
        <v>אלתא מערכות בע"מ</v>
      </c>
      <c r="I1837" t="str">
        <f>"רחמים זרוק"</f>
        <v>רחמים זרוק</v>
      </c>
      <c r="J1837" t="str">
        <f>"ZV0180156"</f>
        <v>ZV0180156</v>
      </c>
      <c r="K1837" s="1" t="str">
        <f>"פנל UPS 1U מחבר אחד לאלתא"</f>
        <v>פנל UPS 1U מחבר אחד לאלתא</v>
      </c>
      <c r="L1837">
        <v>1</v>
      </c>
      <c r="M1837" t="str">
        <f>"PR22000489"</f>
        <v>PR22000489</v>
      </c>
      <c r="N1837" t="str">
        <f>"E000366137"</f>
        <v>E000366137</v>
      </c>
      <c r="O1837">
        <v>95.36</v>
      </c>
      <c r="P1837" t="str">
        <f>"$"</f>
        <v>$</v>
      </c>
      <c r="Q1837" t="str">
        <f>"117"</f>
        <v>117</v>
      </c>
      <c r="R1837" t="str">
        <f>"רתמות"</f>
        <v>רתמות</v>
      </c>
      <c r="S1837" t="str">
        <f>"040"</f>
        <v>040</v>
      </c>
      <c r="T1837" t="str">
        <f>"עמר ליגל"</f>
        <v>עמר ליגל</v>
      </c>
      <c r="U1837">
        <v>0</v>
      </c>
      <c r="V1837">
        <v>0</v>
      </c>
      <c r="W1837">
        <v>95.36</v>
      </c>
      <c r="X1837">
        <v>95.36</v>
      </c>
      <c r="Z1837" t="str">
        <f>"Y"</f>
        <v>Y</v>
      </c>
      <c r="AA1837">
        <v>0</v>
      </c>
      <c r="AC1837">
        <v>0</v>
      </c>
      <c r="AE1837">
        <v>0</v>
      </c>
      <c r="AF1837">
        <v>0</v>
      </c>
      <c r="AG1837">
        <v>328.23</v>
      </c>
      <c r="AH1837">
        <v>0</v>
      </c>
      <c r="AI1837">
        <v>328.23</v>
      </c>
      <c r="AJ1837">
        <v>95.36</v>
      </c>
      <c r="AK1837">
        <v>95.36</v>
      </c>
      <c r="AL1837" t="str">
        <f>"$"</f>
        <v>$</v>
      </c>
    </row>
    <row r="1838" spans="1:38" x14ac:dyDescent="0.3">
      <c r="A1838" t="str">
        <f>"SO22000255"</f>
        <v>SO22000255</v>
      </c>
      <c r="B1838" t="str">
        <f>"E000367697"</f>
        <v>E000367697</v>
      </c>
      <c r="C1838" t="str">
        <f>"בסיום הרכבה"</f>
        <v>בסיום הרכבה</v>
      </c>
      <c r="E1838" s="3">
        <v>44738</v>
      </c>
      <c r="F1838" s="3">
        <v>44834</v>
      </c>
      <c r="G1838" t="str">
        <f>"700065"</f>
        <v>700065</v>
      </c>
      <c r="H1838" t="str">
        <f>"אלתא מערכות בע""מ"</f>
        <v>אלתא מערכות בע"מ</v>
      </c>
      <c r="I1838" t="str">
        <f>"רחמים זרוק"</f>
        <v>רחמים זרוק</v>
      </c>
      <c r="J1838" t="str">
        <f>"OP-AR03211"</f>
        <v>OP-AR03211</v>
      </c>
      <c r="K1838" s="1" t="str">
        <f>"1017R472-002    INTERFACE CABLE FROM SSARP AND DU TO M/P"</f>
        <v>1017R472-002    INTERFACE CABLE FROM SSARP AND DU TO M/P</v>
      </c>
      <c r="L1838">
        <v>1</v>
      </c>
      <c r="M1838" t="str">
        <f>"PR22000488"</f>
        <v>PR22000488</v>
      </c>
      <c r="N1838" t="str">
        <f>"E000367697"</f>
        <v>E000367697</v>
      </c>
      <c r="O1838">
        <v>911.35</v>
      </c>
      <c r="P1838" t="str">
        <f>"$"</f>
        <v>$</v>
      </c>
      <c r="Q1838" t="str">
        <f>"117"</f>
        <v>117</v>
      </c>
      <c r="R1838" t="str">
        <f>"רתמות"</f>
        <v>רתמות</v>
      </c>
      <c r="S1838" t="str">
        <f>"040"</f>
        <v>040</v>
      </c>
      <c r="T1838" t="str">
        <f>"עמר ליגל"</f>
        <v>עמר ליגל</v>
      </c>
      <c r="U1838">
        <v>0</v>
      </c>
      <c r="V1838">
        <v>0</v>
      </c>
      <c r="W1838">
        <v>911.35</v>
      </c>
      <c r="X1838">
        <v>911.35</v>
      </c>
      <c r="Z1838" t="str">
        <f>"Y"</f>
        <v>Y</v>
      </c>
      <c r="AA1838">
        <v>0</v>
      </c>
      <c r="AC1838">
        <v>0</v>
      </c>
      <c r="AE1838">
        <v>0</v>
      </c>
      <c r="AF1838">
        <v>0</v>
      </c>
      <c r="AG1838" s="2">
        <v>3136.87</v>
      </c>
      <c r="AH1838">
        <v>0</v>
      </c>
      <c r="AI1838" s="2">
        <v>3136.87</v>
      </c>
      <c r="AJ1838">
        <v>911.35</v>
      </c>
      <c r="AK1838">
        <v>911.35</v>
      </c>
      <c r="AL1838" t="str">
        <f>"$"</f>
        <v>$</v>
      </c>
    </row>
    <row r="1839" spans="1:38" x14ac:dyDescent="0.3">
      <c r="A1839" t="str">
        <f>"SO22000255"</f>
        <v>SO22000255</v>
      </c>
      <c r="B1839" t="str">
        <f>"E000367697"</f>
        <v>E000367697</v>
      </c>
      <c r="C1839" t="str">
        <f>"בסיום הרכבה"</f>
        <v>בסיום הרכבה</v>
      </c>
      <c r="E1839" s="3">
        <v>44738</v>
      </c>
      <c r="F1839" s="3">
        <v>44834</v>
      </c>
      <c r="G1839" t="str">
        <f>"700065"</f>
        <v>700065</v>
      </c>
      <c r="H1839" t="str">
        <f>"אלתא מערכות בע""מ"</f>
        <v>אלתא מערכות בע"מ</v>
      </c>
      <c r="I1839" t="str">
        <f>"רחמים זרוק"</f>
        <v>רחמים זרוק</v>
      </c>
      <c r="J1839" t="str">
        <f>"OP-AR03212"</f>
        <v>OP-AR03212</v>
      </c>
      <c r="K1839" s="1" t="str">
        <f>"1017R476-001    CABLE FOR SSARP POWER"</f>
        <v>1017R476-001    CABLE FOR SSARP POWER</v>
      </c>
      <c r="L1839">
        <v>1</v>
      </c>
      <c r="M1839" t="str">
        <f>"PR22000488"</f>
        <v>PR22000488</v>
      </c>
      <c r="N1839" t="str">
        <f>"E000367697"</f>
        <v>E000367697</v>
      </c>
      <c r="O1839">
        <v>151.16999999999999</v>
      </c>
      <c r="P1839" t="str">
        <f>"$"</f>
        <v>$</v>
      </c>
      <c r="Q1839" t="str">
        <f>"117"</f>
        <v>117</v>
      </c>
      <c r="R1839" t="str">
        <f>"רתמות"</f>
        <v>רתמות</v>
      </c>
      <c r="S1839" t="str">
        <f>"040"</f>
        <v>040</v>
      </c>
      <c r="T1839" t="str">
        <f>"עמר ליגל"</f>
        <v>עמר ליגל</v>
      </c>
      <c r="U1839">
        <v>0</v>
      </c>
      <c r="V1839">
        <v>0</v>
      </c>
      <c r="W1839">
        <v>151.16999999999999</v>
      </c>
      <c r="X1839">
        <v>151.16999999999999</v>
      </c>
      <c r="Z1839" t="str">
        <f>"Y"</f>
        <v>Y</v>
      </c>
      <c r="AA1839">
        <v>0</v>
      </c>
      <c r="AC1839">
        <v>0</v>
      </c>
      <c r="AE1839">
        <v>0</v>
      </c>
      <c r="AF1839">
        <v>0</v>
      </c>
      <c r="AG1839">
        <v>520.33000000000004</v>
      </c>
      <c r="AH1839">
        <v>0</v>
      </c>
      <c r="AI1839">
        <v>520.33000000000004</v>
      </c>
      <c r="AJ1839">
        <v>151.16999999999999</v>
      </c>
      <c r="AK1839">
        <v>151.16999999999999</v>
      </c>
      <c r="AL1839" t="str">
        <f>"$"</f>
        <v>$</v>
      </c>
    </row>
    <row r="1840" spans="1:38" x14ac:dyDescent="0.3">
      <c r="A1840" t="str">
        <f>"SO22000256"</f>
        <v>SO22000256</v>
      </c>
      <c r="B1840" t="str">
        <f>"E000367695"</f>
        <v>E000367695</v>
      </c>
      <c r="C1840" t="str">
        <f>"בוצעה"</f>
        <v>בוצעה</v>
      </c>
      <c r="E1840" s="3">
        <v>44738</v>
      </c>
      <c r="F1840" s="3">
        <v>44849</v>
      </c>
      <c r="G1840" t="str">
        <f>"700065"</f>
        <v>700065</v>
      </c>
      <c r="H1840" t="str">
        <f>"אלתא מערכות בע""מ"</f>
        <v>אלתא מערכות בע"מ</v>
      </c>
      <c r="I1840" t="str">
        <f>"רחמים זרוק"</f>
        <v>רחמים זרוק</v>
      </c>
      <c r="J1840" t="str">
        <f>"OP-AR03208"</f>
        <v>OP-AR03208</v>
      </c>
      <c r="K1840" s="1" t="str">
        <f>"1096H331-001     DC HARNESS TRA (W1)"</f>
        <v>1096H331-001     DC HARNESS TRA (W1)</v>
      </c>
      <c r="L1840">
        <v>110</v>
      </c>
      <c r="M1840" t="str">
        <f>"PR22000483"</f>
        <v>PR22000483</v>
      </c>
      <c r="N1840" t="str">
        <f>"מעיל רוח"</f>
        <v>מעיל רוח</v>
      </c>
      <c r="O1840">
        <v>833.5</v>
      </c>
      <c r="P1840" t="str">
        <f>"$"</f>
        <v>$</v>
      </c>
      <c r="Q1840" t="str">
        <f>"117"</f>
        <v>117</v>
      </c>
      <c r="R1840" t="str">
        <f>"רתמות"</f>
        <v>רתמות</v>
      </c>
      <c r="S1840" t="str">
        <f>"040"</f>
        <v>040</v>
      </c>
      <c r="T1840" t="str">
        <f>"עמר ליגל"</f>
        <v>עמר ליגל</v>
      </c>
      <c r="U1840">
        <v>0</v>
      </c>
      <c r="V1840">
        <v>0</v>
      </c>
      <c r="W1840">
        <v>833.5</v>
      </c>
      <c r="X1840" s="2">
        <v>91685</v>
      </c>
      <c r="Z1840" t="str">
        <f>"Y"</f>
        <v>Y</v>
      </c>
      <c r="AA1840">
        <v>0</v>
      </c>
      <c r="AC1840">
        <v>0</v>
      </c>
      <c r="AE1840">
        <v>0</v>
      </c>
      <c r="AF1840">
        <v>0</v>
      </c>
      <c r="AG1840" s="2">
        <v>2868.91</v>
      </c>
      <c r="AH1840">
        <v>0</v>
      </c>
      <c r="AI1840" s="2">
        <v>315579.77</v>
      </c>
      <c r="AJ1840" s="2">
        <v>91685</v>
      </c>
      <c r="AK1840" s="2">
        <v>91685</v>
      </c>
      <c r="AL1840" t="str">
        <f>"$"</f>
        <v>$</v>
      </c>
    </row>
    <row r="1841" spans="1:38" x14ac:dyDescent="0.3">
      <c r="A1841" t="str">
        <f>"SO22000257"</f>
        <v>SO22000257</v>
      </c>
      <c r="B1841" t="str">
        <f>"E000368158"</f>
        <v>E000368158</v>
      </c>
      <c r="C1841" t="str">
        <f>"בוצעה"</f>
        <v>בוצעה</v>
      </c>
      <c r="E1841" s="3">
        <v>44738</v>
      </c>
      <c r="F1841" s="3">
        <v>44925</v>
      </c>
      <c r="G1841" t="str">
        <f>"700065"</f>
        <v>700065</v>
      </c>
      <c r="H1841" t="str">
        <f>"אלתא מערכות בע""מ"</f>
        <v>אלתא מערכות בע"מ</v>
      </c>
      <c r="I1841" t="str">
        <f>"ערן שלו"</f>
        <v>ערן שלו</v>
      </c>
      <c r="J1841" t="str">
        <f>"000"</f>
        <v>000</v>
      </c>
      <c r="K1841" s="1" t="str">
        <f>"שירות עבור תיקון ואחזקת מיישר"</f>
        <v>שירות עבור תיקון ואחזקת מיישר</v>
      </c>
      <c r="L1841">
        <v>1</v>
      </c>
      <c r="M1841" t="str">
        <f>"PR22000478"</f>
        <v>PR22000478</v>
      </c>
      <c r="N1841" t="str">
        <f>"תיקון מערכת כוח  320DC"</f>
        <v>תיקון מערכת כוח  320DC</v>
      </c>
      <c r="O1841" s="2">
        <v>4370</v>
      </c>
      <c r="P1841" t="str">
        <f>"$"</f>
        <v>$</v>
      </c>
      <c r="Q1841" t="str">
        <f>"118"</f>
        <v>118</v>
      </c>
      <c r="R1841" t="str">
        <f>"מערכות"</f>
        <v>מערכות</v>
      </c>
      <c r="S1841" t="str">
        <f>"034"</f>
        <v>034</v>
      </c>
      <c r="T1841" t="str">
        <f>"עמר ליגל"</f>
        <v>עמר ליגל</v>
      </c>
      <c r="U1841">
        <v>0</v>
      </c>
      <c r="V1841">
        <v>0</v>
      </c>
      <c r="W1841" s="2">
        <v>4370</v>
      </c>
      <c r="X1841" s="2">
        <v>4370</v>
      </c>
      <c r="Z1841" t="str">
        <f>"Y"</f>
        <v>Y</v>
      </c>
      <c r="AA1841">
        <v>0</v>
      </c>
      <c r="AC1841">
        <v>0</v>
      </c>
      <c r="AE1841">
        <v>0</v>
      </c>
      <c r="AF1841">
        <v>0</v>
      </c>
      <c r="AG1841" s="2">
        <v>15041.54</v>
      </c>
      <c r="AH1841">
        <v>0</v>
      </c>
      <c r="AI1841" s="2">
        <v>15041.54</v>
      </c>
      <c r="AJ1841" s="2">
        <v>4370</v>
      </c>
      <c r="AK1841" s="2">
        <v>4370</v>
      </c>
      <c r="AL1841" t="str">
        <f>"$"</f>
        <v>$</v>
      </c>
    </row>
    <row r="1842" spans="1:38" x14ac:dyDescent="0.3">
      <c r="A1842" t="str">
        <f>"SO22000258"</f>
        <v>SO22000258</v>
      </c>
      <c r="B1842" t="str">
        <f>"E000366826"</f>
        <v>E000366826</v>
      </c>
      <c r="C1842" t="str">
        <f>"בוצעה"</f>
        <v>בוצעה</v>
      </c>
      <c r="E1842" s="3">
        <v>44738</v>
      </c>
      <c r="F1842" s="3">
        <v>44772</v>
      </c>
      <c r="G1842" t="str">
        <f>"700065"</f>
        <v>700065</v>
      </c>
      <c r="H1842" t="str">
        <f>"אלתא מערכות בע""מ"</f>
        <v>אלתא מערכות בע"מ</v>
      </c>
      <c r="I1842" t="str">
        <f>"רחמים זרוק"</f>
        <v>רחמים זרוק</v>
      </c>
      <c r="J1842" t="str">
        <f>"cust001352"</f>
        <v>cust001352</v>
      </c>
      <c r="K1842" s="1" t="str">
        <f>"ELTA 1036U405-001"</f>
        <v>ELTA 1036U405-001</v>
      </c>
      <c r="L1842">
        <v>1</v>
      </c>
      <c r="M1842" t="str">
        <f>"PR22000487"</f>
        <v>PR22000487</v>
      </c>
      <c r="N1842" t="str">
        <f>"תיקון  1036U405-001"</f>
        <v>תיקון  1036U405-001</v>
      </c>
      <c r="O1842">
        <v>0.01</v>
      </c>
      <c r="P1842" t="str">
        <f>"$"</f>
        <v>$</v>
      </c>
      <c r="Q1842" t="str">
        <f>"117"</f>
        <v>117</v>
      </c>
      <c r="R1842" t="str">
        <f>"רתמות"</f>
        <v>רתמות</v>
      </c>
      <c r="S1842" t="str">
        <f>"040"</f>
        <v>040</v>
      </c>
      <c r="T1842" t="str">
        <f>"עמר ליגל"</f>
        <v>עמר ליגל</v>
      </c>
      <c r="U1842">
        <v>0</v>
      </c>
      <c r="V1842">
        <v>0</v>
      </c>
      <c r="W1842">
        <v>0.01</v>
      </c>
      <c r="X1842">
        <v>0.01</v>
      </c>
      <c r="Z1842" t="str">
        <f>"Y"</f>
        <v>Y</v>
      </c>
      <c r="AA1842">
        <v>0</v>
      </c>
      <c r="AC1842">
        <v>0</v>
      </c>
      <c r="AE1842">
        <v>0</v>
      </c>
      <c r="AF1842">
        <v>0</v>
      </c>
      <c r="AG1842">
        <v>0.03</v>
      </c>
      <c r="AH1842">
        <v>0</v>
      </c>
      <c r="AI1842">
        <v>0.03</v>
      </c>
      <c r="AJ1842">
        <v>0.01</v>
      </c>
      <c r="AK1842">
        <v>0.01</v>
      </c>
      <c r="AL1842" t="str">
        <f>"$"</f>
        <v>$</v>
      </c>
    </row>
    <row r="1843" spans="1:38" x14ac:dyDescent="0.3">
      <c r="A1843" t="str">
        <f>"SO22000265"</f>
        <v>SO22000265</v>
      </c>
      <c r="B1843" t="str">
        <f>"E000367143"</f>
        <v>E000367143</v>
      </c>
      <c r="C1843" t="str">
        <f>"בוצעה"</f>
        <v>בוצעה</v>
      </c>
      <c r="E1843" s="3">
        <v>44745</v>
      </c>
      <c r="F1843" s="3">
        <v>44902</v>
      </c>
      <c r="G1843" t="str">
        <f>"700065"</f>
        <v>700065</v>
      </c>
      <c r="H1843" t="str">
        <f>"אלתא מערכות בע""מ"</f>
        <v>אלתא מערכות בע"מ</v>
      </c>
      <c r="I1843" t="str">
        <f>"ערן שלו"</f>
        <v>ערן שלו</v>
      </c>
      <c r="J1843" t="str">
        <f>"OP-AR00467"</f>
        <v>OP-AR00467</v>
      </c>
      <c r="K1843" s="1" t="str">
        <f>"AC PCU CONTROL BOX"</f>
        <v>AC PCU CONTROL BOX</v>
      </c>
      <c r="L1843">
        <v>1</v>
      </c>
      <c r="M1843" t="str">
        <f>"PR22000480"</f>
        <v>PR22000480</v>
      </c>
      <c r="N1843" t="str">
        <f>"AC PCU CONTROL BOX"</f>
        <v>AC PCU CONTROL BOX</v>
      </c>
      <c r="O1843" s="2">
        <v>4250</v>
      </c>
      <c r="P1843" t="str">
        <f>"$"</f>
        <v>$</v>
      </c>
      <c r="Q1843" t="str">
        <f>"118"</f>
        <v>118</v>
      </c>
      <c r="R1843" t="str">
        <f>"מערכות"</f>
        <v>מערכות</v>
      </c>
      <c r="S1843" t="str">
        <f>"034"</f>
        <v>034</v>
      </c>
      <c r="T1843" t="str">
        <f>"עמר ליגל"</f>
        <v>עמר ליגל</v>
      </c>
      <c r="U1843">
        <v>0</v>
      </c>
      <c r="V1843">
        <v>0</v>
      </c>
      <c r="W1843" s="2">
        <v>4250</v>
      </c>
      <c r="X1843" s="2">
        <v>4250</v>
      </c>
      <c r="Z1843" t="str">
        <f>"Y"</f>
        <v>Y</v>
      </c>
      <c r="AA1843">
        <v>0</v>
      </c>
      <c r="AC1843">
        <v>0</v>
      </c>
      <c r="AE1843">
        <v>0</v>
      </c>
      <c r="AF1843">
        <v>0</v>
      </c>
      <c r="AG1843" s="2">
        <v>14985.5</v>
      </c>
      <c r="AH1843">
        <v>0</v>
      </c>
      <c r="AI1843" s="2">
        <v>14985.5</v>
      </c>
      <c r="AJ1843" s="2">
        <v>4250</v>
      </c>
      <c r="AK1843" s="2">
        <v>4250</v>
      </c>
      <c r="AL1843" t="str">
        <f>"$"</f>
        <v>$</v>
      </c>
    </row>
    <row r="1844" spans="1:38" x14ac:dyDescent="0.3">
      <c r="A1844" t="str">
        <f>"SO22000266"</f>
        <v>SO22000266</v>
      </c>
      <c r="B1844" t="str">
        <f>"E000368936"</f>
        <v>E000368936</v>
      </c>
      <c r="C1844" t="str">
        <f>"בוצעה"</f>
        <v>בוצעה</v>
      </c>
      <c r="E1844" s="3">
        <v>44745</v>
      </c>
      <c r="F1844" s="3">
        <v>44745</v>
      </c>
      <c r="G1844" t="str">
        <f>"700065"</f>
        <v>700065</v>
      </c>
      <c r="H1844" t="str">
        <f>"אלתא מערכות בע""מ"</f>
        <v>אלתא מערכות בע"מ</v>
      </c>
      <c r="I1844" t="str">
        <f>"ערן שלו"</f>
        <v>ערן שלו</v>
      </c>
      <c r="J1844" t="str">
        <f>"PD0200187"</f>
        <v>PD0200187</v>
      </c>
      <c r="K1844" s="1" t="str">
        <f>"מאמ""תXT4N 250 TMA In=200A 3p F F"</f>
        <v>מאמ"תXT4N 250 TMA In=200A 3p F F</v>
      </c>
      <c r="L1844">
        <v>2</v>
      </c>
      <c r="O1844">
        <v>225</v>
      </c>
      <c r="P1844" t="str">
        <f>"$"</f>
        <v>$</v>
      </c>
      <c r="Q1844" t="str">
        <f>"118"</f>
        <v>118</v>
      </c>
      <c r="R1844" t="str">
        <f>"מערכות"</f>
        <v>מערכות</v>
      </c>
      <c r="S1844" t="str">
        <f>"034"</f>
        <v>034</v>
      </c>
      <c r="T1844" t="str">
        <f>"עמר ליגל"</f>
        <v>עמר ליגל</v>
      </c>
      <c r="U1844">
        <v>0</v>
      </c>
      <c r="V1844">
        <v>0</v>
      </c>
      <c r="W1844">
        <v>225</v>
      </c>
      <c r="X1844">
        <v>450</v>
      </c>
      <c r="Z1844" t="str">
        <f>"Y"</f>
        <v>Y</v>
      </c>
      <c r="AA1844">
        <v>2</v>
      </c>
      <c r="AC1844">
        <v>0</v>
      </c>
      <c r="AE1844">
        <v>0</v>
      </c>
      <c r="AF1844">
        <v>0</v>
      </c>
      <c r="AG1844">
        <v>793.35</v>
      </c>
      <c r="AH1844">
        <v>0</v>
      </c>
      <c r="AI1844" s="2">
        <v>1586.7</v>
      </c>
      <c r="AJ1844">
        <v>450</v>
      </c>
      <c r="AK1844">
        <v>450</v>
      </c>
      <c r="AL1844" t="str">
        <f>"$"</f>
        <v>$</v>
      </c>
    </row>
    <row r="1845" spans="1:38" x14ac:dyDescent="0.3">
      <c r="A1845" t="str">
        <f>"SO22000267"</f>
        <v>SO22000267</v>
      </c>
      <c r="B1845" t="str">
        <f>"E000368702"</f>
        <v>E000368702</v>
      </c>
      <c r="C1845" t="str">
        <f>"בוצעה"</f>
        <v>בוצעה</v>
      </c>
      <c r="E1845" s="3">
        <v>44745</v>
      </c>
      <c r="F1845" s="3">
        <v>44859</v>
      </c>
      <c r="G1845" t="str">
        <f>"700065"</f>
        <v>700065</v>
      </c>
      <c r="H1845" t="str">
        <f>"אלתא מערכות בע""מ"</f>
        <v>אלתא מערכות בע"מ</v>
      </c>
      <c r="I1845" t="str">
        <f>"רוני דידי"</f>
        <v>רוני דידי</v>
      </c>
      <c r="J1845" t="str">
        <f>"GT0600049"</f>
        <v>GT0600049</v>
      </c>
      <c r="K1845" s="1" t="str">
        <f>"פנס תאורה דגם יופיטר כולל נורת רכב מתח 230V"</f>
        <v>פנס תאורה דגם יופיטר כולל נורת רכב מתח 230V</v>
      </c>
      <c r="L1845">
        <v>4</v>
      </c>
      <c r="M1845" t="str">
        <f>"PR22000498"</f>
        <v>PR22000498</v>
      </c>
      <c r="N1845" t="str">
        <f>"אספקת תאורה ללקוח GT0600049"</f>
        <v>אספקת תאורה ללקוח GT0600049</v>
      </c>
      <c r="O1845">
        <v>345</v>
      </c>
      <c r="P1845" t="str">
        <f>"$"</f>
        <v>$</v>
      </c>
      <c r="Q1845" t="str">
        <f>"118"</f>
        <v>118</v>
      </c>
      <c r="R1845" t="str">
        <f>"מערכות"</f>
        <v>מערכות</v>
      </c>
      <c r="S1845" t="str">
        <f>"007"</f>
        <v>007</v>
      </c>
      <c r="T1845" t="str">
        <f>"עמר ליגל"</f>
        <v>עמר ליגל</v>
      </c>
      <c r="U1845">
        <v>0</v>
      </c>
      <c r="V1845">
        <v>0</v>
      </c>
      <c r="W1845">
        <v>345</v>
      </c>
      <c r="X1845" s="2">
        <v>1380</v>
      </c>
      <c r="Z1845" t="str">
        <f>"Y"</f>
        <v>Y</v>
      </c>
      <c r="AA1845">
        <v>0</v>
      </c>
      <c r="AC1845">
        <v>0</v>
      </c>
      <c r="AE1845">
        <v>0</v>
      </c>
      <c r="AF1845">
        <v>0</v>
      </c>
      <c r="AG1845" s="2">
        <v>1216.47</v>
      </c>
      <c r="AH1845">
        <v>0</v>
      </c>
      <c r="AI1845" s="2">
        <v>4865.88</v>
      </c>
      <c r="AJ1845" s="2">
        <v>1380</v>
      </c>
      <c r="AK1845" s="2">
        <v>1380</v>
      </c>
      <c r="AL1845" t="str">
        <f>"$"</f>
        <v>$</v>
      </c>
    </row>
    <row r="1846" spans="1:38" x14ac:dyDescent="0.3">
      <c r="A1846" t="str">
        <f>"SO22000267"</f>
        <v>SO22000267</v>
      </c>
      <c r="B1846" t="str">
        <f>"E000368702"</f>
        <v>E000368702</v>
      </c>
      <c r="C1846" t="str">
        <f>"בוצעה"</f>
        <v>בוצעה</v>
      </c>
      <c r="E1846" s="3">
        <v>44745</v>
      </c>
      <c r="F1846" s="3">
        <v>44783</v>
      </c>
      <c r="G1846" t="str">
        <f>"700065"</f>
        <v>700065</v>
      </c>
      <c r="H1846" t="str">
        <f>"אלתא מערכות בע""מ"</f>
        <v>אלתא מערכות בע"מ</v>
      </c>
      <c r="I1846" t="str">
        <f>"רוני דידי"</f>
        <v>רוני דידי</v>
      </c>
      <c r="J1846" t="str">
        <f>"PD0147281"</f>
        <v>PD0147281</v>
      </c>
      <c r="K1846" s="1" t="str">
        <f>"הגבהה משושה ספייסר זכר-נקבה תבריג 20 מ""מ M-4"</f>
        <v>הגבהה משושה ספייסר זכר-נקבה תבריג 20 מ"מ M-4</v>
      </c>
      <c r="L1846">
        <v>16</v>
      </c>
      <c r="M1846" t="str">
        <f>"PR22000498"</f>
        <v>PR22000498</v>
      </c>
      <c r="N1846" t="str">
        <f>"אספקת תאורה ללקוח GT0600049"</f>
        <v>אספקת תאורה ללקוח GT0600049</v>
      </c>
      <c r="O1846">
        <v>0</v>
      </c>
      <c r="P1846" t="str">
        <f>"$"</f>
        <v>$</v>
      </c>
      <c r="Q1846" t="str">
        <f>"118"</f>
        <v>118</v>
      </c>
      <c r="R1846" t="str">
        <f>"מערכות"</f>
        <v>מערכות</v>
      </c>
      <c r="S1846" t="str">
        <f>"007"</f>
        <v>007</v>
      </c>
      <c r="T1846" t="str">
        <f>"עמר ליגל"</f>
        <v>עמר ליגל</v>
      </c>
      <c r="U1846">
        <v>0</v>
      </c>
      <c r="V1846">
        <v>0</v>
      </c>
      <c r="W1846">
        <v>0</v>
      </c>
      <c r="X1846">
        <v>0</v>
      </c>
      <c r="Z1846" t="str">
        <f>"Y"</f>
        <v>Y</v>
      </c>
      <c r="AA1846">
        <v>0</v>
      </c>
      <c r="AC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 t="str">
        <f>"$"</f>
        <v>$</v>
      </c>
    </row>
    <row r="1847" spans="1:38" x14ac:dyDescent="0.3">
      <c r="A1847" t="str">
        <f>"SO22000268"</f>
        <v>SO22000268</v>
      </c>
      <c r="C1847" t="str">
        <f>"בוצעה"</f>
        <v>בוצעה</v>
      </c>
      <c r="E1847" s="3">
        <v>44745</v>
      </c>
      <c r="F1847" s="3">
        <v>44745</v>
      </c>
      <c r="G1847" t="str">
        <f>"700065"</f>
        <v>700065</v>
      </c>
      <c r="H1847" t="str">
        <f>"אלתא מערכות בע""מ"</f>
        <v>אלתא מערכות בע"מ</v>
      </c>
      <c r="I1847" t="str">
        <f>"שחר דאהמן"</f>
        <v>שחר דאהמן</v>
      </c>
      <c r="J1847" t="str">
        <f>"PD0200187"</f>
        <v>PD0200187</v>
      </c>
      <c r="K1847" s="1" t="str">
        <f>"מאמ""תXT4N 250 TMA In=200A 3p F F"</f>
        <v>מאמ"תXT4N 250 TMA In=200A 3p F F</v>
      </c>
      <c r="L1847">
        <v>2</v>
      </c>
      <c r="M1847" t="str">
        <f>"PR22000502"</f>
        <v>PR22000502</v>
      </c>
      <c r="N1847" t="str">
        <f>"אספקת מפסקים ללקוח"</f>
        <v>אספקת מפסקים ללקוח</v>
      </c>
      <c r="O1847">
        <v>0</v>
      </c>
      <c r="P1847" t="str">
        <f>"$"</f>
        <v>$</v>
      </c>
      <c r="Q1847" t="str">
        <f>"070"</f>
        <v>070</v>
      </c>
      <c r="R1847" t="str">
        <f>"הזמנה פנימית"</f>
        <v>הזמנה פנימית</v>
      </c>
      <c r="S1847" t="str">
        <f>"017"</f>
        <v>017</v>
      </c>
      <c r="T1847" t="str">
        <f>"גנם הודיה"</f>
        <v>גנם הודיה</v>
      </c>
      <c r="U1847">
        <v>0</v>
      </c>
      <c r="V1847">
        <v>0</v>
      </c>
      <c r="W1847">
        <v>0</v>
      </c>
      <c r="X1847">
        <v>0</v>
      </c>
      <c r="Z1847" t="str">
        <f>"Y"</f>
        <v>Y</v>
      </c>
      <c r="AA1847">
        <v>0</v>
      </c>
      <c r="AC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 t="str">
        <f>"$"</f>
        <v>$</v>
      </c>
    </row>
    <row r="1848" spans="1:38" x14ac:dyDescent="0.3">
      <c r="A1848" t="str">
        <f>"SO22000274"</f>
        <v>SO22000274</v>
      </c>
      <c r="B1848" t="str">
        <f>"E000368968"</f>
        <v>E000368968</v>
      </c>
      <c r="C1848" t="str">
        <f>"בוצעה"</f>
        <v>בוצעה</v>
      </c>
      <c r="E1848" s="3">
        <v>44748</v>
      </c>
      <c r="F1848" s="3">
        <v>45290</v>
      </c>
      <c r="G1848" t="str">
        <f>"700065"</f>
        <v>700065</v>
      </c>
      <c r="H1848" t="str">
        <f>"אלתא מערכות בע""מ"</f>
        <v>אלתא מערכות בע"מ</v>
      </c>
      <c r="I1848" t="str">
        <f>"רוני דידי"</f>
        <v>רוני דידי</v>
      </c>
      <c r="J1848" t="str">
        <f>"000"</f>
        <v>000</v>
      </c>
      <c r="K1848" s="1" t="str">
        <f>"שירות בתקלות חשמל במערכת TGSS"</f>
        <v>שירות בתקלות חשמל במערכת TGSS</v>
      </c>
      <c r="L1848">
        <v>1</v>
      </c>
      <c r="O1848" s="2">
        <v>14666</v>
      </c>
      <c r="P1848" t="str">
        <f>"$"</f>
        <v>$</v>
      </c>
      <c r="Q1848" t="str">
        <f>"118"</f>
        <v>118</v>
      </c>
      <c r="R1848" t="str">
        <f>"מערכות"</f>
        <v>מערכות</v>
      </c>
      <c r="S1848" t="str">
        <f>"007"</f>
        <v>007</v>
      </c>
      <c r="T1848" t="str">
        <f>"עמר ליגל"</f>
        <v>עמר ליגל</v>
      </c>
      <c r="U1848">
        <v>0</v>
      </c>
      <c r="V1848">
        <v>0</v>
      </c>
      <c r="W1848" s="2">
        <v>14666</v>
      </c>
      <c r="X1848" s="2">
        <v>14666</v>
      </c>
      <c r="Z1848" t="str">
        <f>"Y"</f>
        <v>Y</v>
      </c>
      <c r="AA1848">
        <v>1</v>
      </c>
      <c r="AC1848">
        <v>0</v>
      </c>
      <c r="AE1848">
        <v>0</v>
      </c>
      <c r="AF1848">
        <v>0</v>
      </c>
      <c r="AG1848" s="2">
        <v>51521.66</v>
      </c>
      <c r="AH1848">
        <v>0</v>
      </c>
      <c r="AI1848" s="2">
        <v>51521.66</v>
      </c>
      <c r="AJ1848" s="2">
        <v>14666</v>
      </c>
      <c r="AK1848" s="2">
        <v>14666</v>
      </c>
      <c r="AL1848" t="str">
        <f>"$"</f>
        <v>$</v>
      </c>
    </row>
    <row r="1849" spans="1:38" x14ac:dyDescent="0.3">
      <c r="A1849" t="str">
        <f>"SO22000279"</f>
        <v>SO22000279</v>
      </c>
      <c r="B1849" t="str">
        <f>"E000368296"</f>
        <v>E000368296</v>
      </c>
      <c r="C1849" t="str">
        <f>"מאושרת לבצוע"</f>
        <v>מאושרת לבצוע</v>
      </c>
      <c r="E1849" s="3">
        <v>44752</v>
      </c>
      <c r="F1849" s="3">
        <v>45015</v>
      </c>
      <c r="G1849" t="str">
        <f>"700065"</f>
        <v>700065</v>
      </c>
      <c r="H1849" t="str">
        <f>"אלתא מערכות בע""מ"</f>
        <v>אלתא מערכות בע"מ</v>
      </c>
      <c r="I1849" t="str">
        <f>"ערן שלו"</f>
        <v>ערן שלו</v>
      </c>
      <c r="J1849" t="str">
        <f>"OP-KT00129"</f>
        <v>OP-KT00129</v>
      </c>
      <c r="K1849" s="1" t="str">
        <f>"1033H533-001 SPARE PARTS KIT FOR PDB1"</f>
        <v>1033H533-001 SPARE PARTS KIT FOR PDB1</v>
      </c>
      <c r="L1849">
        <v>2</v>
      </c>
      <c r="M1849" t="str">
        <f>"PR22000511"</f>
        <v>PR22000511</v>
      </c>
      <c r="N1849" t="str">
        <f>"533-001 SPARE PARTS KIT FOR PDB1"</f>
        <v>533-001 SPARE PARTS KIT FOR PDB1</v>
      </c>
      <c r="O1849" s="2">
        <v>5000</v>
      </c>
      <c r="P1849" t="str">
        <f>"$"</f>
        <v>$</v>
      </c>
      <c r="Q1849" t="str">
        <f>"118"</f>
        <v>118</v>
      </c>
      <c r="R1849" t="str">
        <f>"מערכות"</f>
        <v>מערכות</v>
      </c>
      <c r="S1849" t="str">
        <f>"034"</f>
        <v>034</v>
      </c>
      <c r="T1849" t="str">
        <f>"עמר ליגל"</f>
        <v>עמר ליגל</v>
      </c>
      <c r="U1849">
        <v>0</v>
      </c>
      <c r="V1849">
        <v>0</v>
      </c>
      <c r="W1849" s="2">
        <v>5000</v>
      </c>
      <c r="X1849" s="2">
        <v>10000</v>
      </c>
      <c r="AA1849">
        <v>2</v>
      </c>
      <c r="AC1849">
        <v>0</v>
      </c>
      <c r="AE1849">
        <v>0</v>
      </c>
      <c r="AF1849">
        <v>0</v>
      </c>
      <c r="AG1849" s="2">
        <v>17400</v>
      </c>
      <c r="AH1849">
        <v>0</v>
      </c>
      <c r="AI1849" s="2">
        <v>34800</v>
      </c>
      <c r="AJ1849" s="2">
        <v>10000</v>
      </c>
      <c r="AK1849" s="2">
        <v>10000</v>
      </c>
      <c r="AL1849" t="str">
        <f>"$"</f>
        <v>$</v>
      </c>
    </row>
    <row r="1850" spans="1:38" x14ac:dyDescent="0.3">
      <c r="A1850" t="str">
        <f>"SO22000284"</f>
        <v>SO22000284</v>
      </c>
      <c r="B1850" t="str">
        <f>"E000370331"</f>
        <v>E000370331</v>
      </c>
      <c r="C1850" t="str">
        <f>"בוצעה"</f>
        <v>בוצעה</v>
      </c>
      <c r="E1850" s="3">
        <v>44762</v>
      </c>
      <c r="F1850" s="3">
        <v>44925</v>
      </c>
      <c r="G1850" t="str">
        <f>"700065"</f>
        <v>700065</v>
      </c>
      <c r="H1850" t="str">
        <f>"אלתא מערכות בע""מ"</f>
        <v>אלתא מערכות בע"מ</v>
      </c>
      <c r="I1850" t="str">
        <f>"ערן שלו"</f>
        <v>ערן שלו</v>
      </c>
      <c r="J1850" t="str">
        <f>"000"</f>
        <v>000</v>
      </c>
      <c r="K1850" s="1" t="str">
        <f>"שדרוג תוכנת בקר"</f>
        <v>שדרוג תוכנת בקר</v>
      </c>
      <c r="L1850">
        <v>1</v>
      </c>
      <c r="M1850" t="str">
        <f>"PR20000358"</f>
        <v>PR20000358</v>
      </c>
      <c r="N1850" t="str">
        <f>"הזמנת קרונות RPU לצ'כיה"</f>
        <v>הזמנת קרונות RPU לצ'כיה</v>
      </c>
      <c r="O1850" s="2">
        <v>1600</v>
      </c>
      <c r="P1850" t="str">
        <f>"$"</f>
        <v>$</v>
      </c>
      <c r="Q1850" t="str">
        <f>"118"</f>
        <v>118</v>
      </c>
      <c r="R1850" t="str">
        <f>"מערכות"</f>
        <v>מערכות</v>
      </c>
      <c r="S1850" t="str">
        <f>"034"</f>
        <v>034</v>
      </c>
      <c r="T1850" t="str">
        <f>"עמר ליגל"</f>
        <v>עמר ליגל</v>
      </c>
      <c r="U1850">
        <v>0</v>
      </c>
      <c r="V1850">
        <v>0</v>
      </c>
      <c r="W1850" s="2">
        <v>1600</v>
      </c>
      <c r="X1850" s="2">
        <v>1600</v>
      </c>
      <c r="Z1850" t="str">
        <f>"Y"</f>
        <v>Y</v>
      </c>
      <c r="AA1850">
        <v>1</v>
      </c>
      <c r="AC1850">
        <v>0</v>
      </c>
      <c r="AE1850">
        <v>0</v>
      </c>
      <c r="AF1850">
        <v>0</v>
      </c>
      <c r="AG1850" s="2">
        <v>5515.2</v>
      </c>
      <c r="AH1850">
        <v>0</v>
      </c>
      <c r="AI1850" s="2">
        <v>5515.2</v>
      </c>
      <c r="AJ1850" s="2">
        <v>1600</v>
      </c>
      <c r="AK1850" s="2">
        <v>1600</v>
      </c>
      <c r="AL1850" t="str">
        <f>"$"</f>
        <v>$</v>
      </c>
    </row>
    <row r="1851" spans="1:38" x14ac:dyDescent="0.3">
      <c r="A1851" t="str">
        <f>"SO22000285"</f>
        <v>SO22000285</v>
      </c>
      <c r="B1851" t="str">
        <f>"E000369413"</f>
        <v>E000369413</v>
      </c>
      <c r="C1851" t="str">
        <f>"בוצעה"</f>
        <v>בוצעה</v>
      </c>
      <c r="E1851" s="3">
        <v>44762</v>
      </c>
      <c r="F1851" s="3">
        <v>44865</v>
      </c>
      <c r="G1851" t="str">
        <f>"700065"</f>
        <v>700065</v>
      </c>
      <c r="H1851" t="str">
        <f>"אלתא מערכות בע""מ"</f>
        <v>אלתא מערכות בע"מ</v>
      </c>
      <c r="I1851" t="str">
        <f>"רחמים זרוק"</f>
        <v>רחמים זרוק</v>
      </c>
      <c r="J1851" t="str">
        <f>"OP-AR03189"</f>
        <v>OP-AR03189</v>
      </c>
      <c r="K1851" s="1" t="str">
        <f>"1023B598-001    WV098 CABLE ASSY"</f>
        <v>1023B598-001    WV098 CABLE ASSY</v>
      </c>
      <c r="L1851">
        <v>1</v>
      </c>
      <c r="M1851" t="str">
        <f>"PR22000526"</f>
        <v>PR22000526</v>
      </c>
      <c r="N1851" t="str">
        <f>"E000369413"</f>
        <v>E000369413</v>
      </c>
      <c r="O1851">
        <v>872.22</v>
      </c>
      <c r="P1851" t="str">
        <f>"$"</f>
        <v>$</v>
      </c>
      <c r="Q1851" t="str">
        <f>"117"</f>
        <v>117</v>
      </c>
      <c r="R1851" t="str">
        <f>"רתמות"</f>
        <v>רתמות</v>
      </c>
      <c r="S1851" t="str">
        <f>"040"</f>
        <v>040</v>
      </c>
      <c r="T1851" t="str">
        <f>"עמר ליגל"</f>
        <v>עמר ליגל</v>
      </c>
      <c r="U1851">
        <v>0</v>
      </c>
      <c r="V1851">
        <v>0</v>
      </c>
      <c r="W1851">
        <v>872.22</v>
      </c>
      <c r="X1851">
        <v>872.22</v>
      </c>
      <c r="Z1851" t="str">
        <f>"Y"</f>
        <v>Y</v>
      </c>
      <c r="AA1851">
        <v>0</v>
      </c>
      <c r="AC1851">
        <v>0</v>
      </c>
      <c r="AE1851">
        <v>0</v>
      </c>
      <c r="AF1851">
        <v>0</v>
      </c>
      <c r="AG1851" s="2">
        <v>3006.54</v>
      </c>
      <c r="AH1851">
        <v>0</v>
      </c>
      <c r="AI1851" s="2">
        <v>3006.54</v>
      </c>
      <c r="AJ1851">
        <v>872.22</v>
      </c>
      <c r="AK1851">
        <v>872.22</v>
      </c>
      <c r="AL1851" t="str">
        <f>"$"</f>
        <v>$</v>
      </c>
    </row>
    <row r="1852" spans="1:38" x14ac:dyDescent="0.3">
      <c r="A1852" t="str">
        <f>"SO22000285"</f>
        <v>SO22000285</v>
      </c>
      <c r="B1852" t="str">
        <f>"E000369413"</f>
        <v>E000369413</v>
      </c>
      <c r="C1852" t="str">
        <f>"בוצעה"</f>
        <v>בוצעה</v>
      </c>
      <c r="E1852" s="3">
        <v>44762</v>
      </c>
      <c r="F1852" s="3">
        <v>44865</v>
      </c>
      <c r="G1852" t="str">
        <f>"700065"</f>
        <v>700065</v>
      </c>
      <c r="H1852" t="str">
        <f>"אלתא מערכות בע""מ"</f>
        <v>אלתא מערכות בע"מ</v>
      </c>
      <c r="I1852" t="str">
        <f>"רחמים זרוק"</f>
        <v>רחמים זרוק</v>
      </c>
      <c r="J1852" t="str">
        <f>"CB1100227"</f>
        <v>CB1100227</v>
      </c>
      <c r="K1852" s="1" t="str">
        <f>"AC SUPPLY CONTROL BOX 230V FEED CABLE"</f>
        <v>AC SUPPLY CONTROL BOX 230V FEED CABLE</v>
      </c>
      <c r="L1852">
        <v>2</v>
      </c>
      <c r="M1852" t="str">
        <f>"PR22000526"</f>
        <v>PR22000526</v>
      </c>
      <c r="N1852" t="str">
        <f>"E000369413"</f>
        <v>E000369413</v>
      </c>
      <c r="O1852">
        <v>578</v>
      </c>
      <c r="P1852" t="str">
        <f>"$"</f>
        <v>$</v>
      </c>
      <c r="Q1852" t="str">
        <f>"117"</f>
        <v>117</v>
      </c>
      <c r="R1852" t="str">
        <f>"רתמות"</f>
        <v>רתמות</v>
      </c>
      <c r="S1852" t="str">
        <f>"040"</f>
        <v>040</v>
      </c>
      <c r="T1852" t="str">
        <f>"עמר ליגל"</f>
        <v>עמר ליגל</v>
      </c>
      <c r="U1852">
        <v>0</v>
      </c>
      <c r="V1852">
        <v>0</v>
      </c>
      <c r="W1852">
        <v>578</v>
      </c>
      <c r="X1852" s="2">
        <v>1156</v>
      </c>
      <c r="Z1852" t="str">
        <f>"Y"</f>
        <v>Y</v>
      </c>
      <c r="AA1852">
        <v>0</v>
      </c>
      <c r="AC1852">
        <v>0</v>
      </c>
      <c r="AE1852">
        <v>0</v>
      </c>
      <c r="AF1852">
        <v>0</v>
      </c>
      <c r="AG1852" s="2">
        <v>1992.37</v>
      </c>
      <c r="AH1852">
        <v>0</v>
      </c>
      <c r="AI1852" s="2">
        <v>3984.73</v>
      </c>
      <c r="AJ1852" s="2">
        <v>1156</v>
      </c>
      <c r="AK1852" s="2">
        <v>1156</v>
      </c>
      <c r="AL1852" t="str">
        <f>"$"</f>
        <v>$</v>
      </c>
    </row>
    <row r="1853" spans="1:38" x14ac:dyDescent="0.3">
      <c r="A1853" t="str">
        <f>"SO22000285"</f>
        <v>SO22000285</v>
      </c>
      <c r="B1853" t="str">
        <f>"E000369413"</f>
        <v>E000369413</v>
      </c>
      <c r="C1853" t="str">
        <f>"בוצעה"</f>
        <v>בוצעה</v>
      </c>
      <c r="E1853" s="3">
        <v>44762</v>
      </c>
      <c r="F1853" s="3">
        <v>44865</v>
      </c>
      <c r="G1853" t="str">
        <f>"700065"</f>
        <v>700065</v>
      </c>
      <c r="H1853" t="str">
        <f>"אלתא מערכות בע""מ"</f>
        <v>אלתא מערכות בע"מ</v>
      </c>
      <c r="I1853" t="str">
        <f>"רחמים זרוק"</f>
        <v>רחמים זרוק</v>
      </c>
      <c r="J1853" t="str">
        <f>"CB1100229"</f>
        <v>CB1100229</v>
      </c>
      <c r="K1853" s="1" t="str">
        <f>"AC SUPPLY CONTROL BOX 115V 32A FEED CABLE"</f>
        <v>AC SUPPLY CONTROL BOX 115V 32A FEED CABLE</v>
      </c>
      <c r="L1853">
        <v>2</v>
      </c>
      <c r="M1853" t="str">
        <f>"PR22000526"</f>
        <v>PR22000526</v>
      </c>
      <c r="N1853" t="str">
        <f>"E000369413"</f>
        <v>E000369413</v>
      </c>
      <c r="O1853">
        <v>688</v>
      </c>
      <c r="P1853" t="str">
        <f>"$"</f>
        <v>$</v>
      </c>
      <c r="Q1853" t="str">
        <f>"117"</f>
        <v>117</v>
      </c>
      <c r="R1853" t="str">
        <f>"רתמות"</f>
        <v>רתמות</v>
      </c>
      <c r="S1853" t="str">
        <f>"040"</f>
        <v>040</v>
      </c>
      <c r="T1853" t="str">
        <f>"עמר ליגל"</f>
        <v>עמר ליגל</v>
      </c>
      <c r="U1853">
        <v>0</v>
      </c>
      <c r="V1853">
        <v>0</v>
      </c>
      <c r="W1853">
        <v>688</v>
      </c>
      <c r="X1853" s="2">
        <v>1376</v>
      </c>
      <c r="Z1853" t="str">
        <f>"Y"</f>
        <v>Y</v>
      </c>
      <c r="AA1853">
        <v>0</v>
      </c>
      <c r="AC1853">
        <v>0</v>
      </c>
      <c r="AE1853">
        <v>0</v>
      </c>
      <c r="AF1853">
        <v>0</v>
      </c>
      <c r="AG1853" s="2">
        <v>2371.54</v>
      </c>
      <c r="AH1853">
        <v>0</v>
      </c>
      <c r="AI1853" s="2">
        <v>4743.07</v>
      </c>
      <c r="AJ1853" s="2">
        <v>1376</v>
      </c>
      <c r="AK1853" s="2">
        <v>1376</v>
      </c>
      <c r="AL1853" t="str">
        <f>"$"</f>
        <v>$</v>
      </c>
    </row>
    <row r="1854" spans="1:38" x14ac:dyDescent="0.3">
      <c r="A1854" t="str">
        <f>"SO22000286"</f>
        <v>SO22000286</v>
      </c>
      <c r="B1854" t="str">
        <f>"E000368650"</f>
        <v>E000368650</v>
      </c>
      <c r="C1854" t="str">
        <f>"בוצעה"</f>
        <v>בוצעה</v>
      </c>
      <c r="E1854" s="3">
        <v>44762</v>
      </c>
      <c r="F1854" s="3">
        <v>44885</v>
      </c>
      <c r="G1854" t="str">
        <f>"700065"</f>
        <v>700065</v>
      </c>
      <c r="H1854" t="str">
        <f>"אלתא מערכות בע""מ"</f>
        <v>אלתא מערכות בע"מ</v>
      </c>
      <c r="I1854" t="str">
        <f>"רחמים זרוק"</f>
        <v>רחמים זרוק</v>
      </c>
      <c r="J1854" t="str">
        <f>"OP-AR03216"</f>
        <v>OP-AR03216</v>
      </c>
      <c r="K1854" s="1" t="str">
        <f>"1023B193-001    WSV130 CABLE ASSY"</f>
        <v>1023B193-001    WSV130 CABLE ASSY</v>
      </c>
      <c r="L1854">
        <v>5</v>
      </c>
      <c r="M1854" t="str">
        <f>"PR22000524"</f>
        <v>PR22000524</v>
      </c>
      <c r="N1854" t="str">
        <f>"E000368650"</f>
        <v>E000368650</v>
      </c>
      <c r="O1854">
        <v>601.83000000000004</v>
      </c>
      <c r="P1854" t="str">
        <f>"$"</f>
        <v>$</v>
      </c>
      <c r="Q1854" t="str">
        <f>"117"</f>
        <v>117</v>
      </c>
      <c r="R1854" t="str">
        <f>"רתמות"</f>
        <v>רתמות</v>
      </c>
      <c r="S1854" t="str">
        <f>"040"</f>
        <v>040</v>
      </c>
      <c r="T1854" t="str">
        <f>"עמר ליגל"</f>
        <v>עמר ליגל</v>
      </c>
      <c r="U1854">
        <v>0</v>
      </c>
      <c r="V1854">
        <v>0</v>
      </c>
      <c r="W1854">
        <v>601.83000000000004</v>
      </c>
      <c r="X1854" s="2">
        <v>3009.15</v>
      </c>
      <c r="Z1854" t="str">
        <f>"Y"</f>
        <v>Y</v>
      </c>
      <c r="AA1854">
        <v>0</v>
      </c>
      <c r="AC1854">
        <v>0</v>
      </c>
      <c r="AE1854">
        <v>0</v>
      </c>
      <c r="AF1854">
        <v>0</v>
      </c>
      <c r="AG1854" s="2">
        <v>2074.5100000000002</v>
      </c>
      <c r="AH1854">
        <v>0</v>
      </c>
      <c r="AI1854" s="2">
        <v>10372.540000000001</v>
      </c>
      <c r="AJ1854" s="2">
        <v>3009.15</v>
      </c>
      <c r="AK1854" s="2">
        <v>3009.15</v>
      </c>
      <c r="AL1854" t="str">
        <f>"$"</f>
        <v>$</v>
      </c>
    </row>
    <row r="1855" spans="1:38" x14ac:dyDescent="0.3">
      <c r="A1855" t="str">
        <f>"SO22000286"</f>
        <v>SO22000286</v>
      </c>
      <c r="B1855" t="str">
        <f>"E000368650"</f>
        <v>E000368650</v>
      </c>
      <c r="C1855" t="str">
        <f>"בוצעה"</f>
        <v>בוצעה</v>
      </c>
      <c r="E1855" s="3">
        <v>44762</v>
      </c>
      <c r="F1855" s="3">
        <v>44885</v>
      </c>
      <c r="G1855" t="str">
        <f>"700065"</f>
        <v>700065</v>
      </c>
      <c r="H1855" t="str">
        <f>"אלתא מערכות בע""מ"</f>
        <v>אלתא מערכות בע"מ</v>
      </c>
      <c r="I1855" t="str">
        <f>"רחמים זרוק"</f>
        <v>רחמים זרוק</v>
      </c>
      <c r="J1855" t="str">
        <f>"OP-AR02879"</f>
        <v>OP-AR02879</v>
      </c>
      <c r="K1855" s="1" t="str">
        <f>"1023B194-001   WSV131 CABLE ASSY"</f>
        <v>1023B194-001   WSV131 CABLE ASSY</v>
      </c>
      <c r="L1855">
        <v>5</v>
      </c>
      <c r="M1855" t="str">
        <f>"PR22000524"</f>
        <v>PR22000524</v>
      </c>
      <c r="N1855" t="str">
        <f>"E000368650"</f>
        <v>E000368650</v>
      </c>
      <c r="O1855">
        <v>602.48</v>
      </c>
      <c r="P1855" t="str">
        <f>"$"</f>
        <v>$</v>
      </c>
      <c r="Q1855" t="str">
        <f>"117"</f>
        <v>117</v>
      </c>
      <c r="R1855" t="str">
        <f>"רתמות"</f>
        <v>רתמות</v>
      </c>
      <c r="S1855" t="str">
        <f>"040"</f>
        <v>040</v>
      </c>
      <c r="T1855" t="str">
        <f>"עמר ליגל"</f>
        <v>עמר ליגל</v>
      </c>
      <c r="U1855">
        <v>0</v>
      </c>
      <c r="V1855">
        <v>0</v>
      </c>
      <c r="W1855">
        <v>602.48</v>
      </c>
      <c r="X1855" s="2">
        <v>3012.4</v>
      </c>
      <c r="Z1855" t="str">
        <f>"Y"</f>
        <v>Y</v>
      </c>
      <c r="AA1855">
        <v>0</v>
      </c>
      <c r="AC1855">
        <v>0</v>
      </c>
      <c r="AE1855">
        <v>0</v>
      </c>
      <c r="AF1855">
        <v>0</v>
      </c>
      <c r="AG1855" s="2">
        <v>2076.75</v>
      </c>
      <c r="AH1855">
        <v>0</v>
      </c>
      <c r="AI1855" s="2">
        <v>10383.74</v>
      </c>
      <c r="AJ1855" s="2">
        <v>3012.4</v>
      </c>
      <c r="AK1855" s="2">
        <v>3012.4</v>
      </c>
      <c r="AL1855" t="str">
        <f>"$"</f>
        <v>$</v>
      </c>
    </row>
    <row r="1856" spans="1:38" x14ac:dyDescent="0.3">
      <c r="A1856" t="str">
        <f>"SO22000286"</f>
        <v>SO22000286</v>
      </c>
      <c r="B1856" t="str">
        <f>"E000368650"</f>
        <v>E000368650</v>
      </c>
      <c r="C1856" t="str">
        <f>"בוצעה"</f>
        <v>בוצעה</v>
      </c>
      <c r="E1856" s="3">
        <v>44762</v>
      </c>
      <c r="F1856" s="3">
        <v>44885</v>
      </c>
      <c r="G1856" t="str">
        <f>"700065"</f>
        <v>700065</v>
      </c>
      <c r="H1856" t="str">
        <f>"אלתא מערכות בע""מ"</f>
        <v>אלתא מערכות בע"מ</v>
      </c>
      <c r="I1856" t="str">
        <f>"רחמים זרוק"</f>
        <v>רחמים זרוק</v>
      </c>
      <c r="J1856" t="str">
        <f>"OP-AR03217"</f>
        <v>OP-AR03217</v>
      </c>
      <c r="K1856" s="1" t="str">
        <f>"1027C393-001    WSA125 PDB2 TO PS-P1 CABLE 5.8M ASSY"</f>
        <v>1027C393-001    WSA125 PDB2 TO PS-P1 CABLE 5.8M ASSY</v>
      </c>
      <c r="L1856">
        <v>3</v>
      </c>
      <c r="M1856" t="str">
        <f>"PR22000524"</f>
        <v>PR22000524</v>
      </c>
      <c r="N1856" t="str">
        <f>"E000368650"</f>
        <v>E000368650</v>
      </c>
      <c r="O1856">
        <v>582.71</v>
      </c>
      <c r="P1856" t="str">
        <f>"$"</f>
        <v>$</v>
      </c>
      <c r="Q1856" t="str">
        <f>"117"</f>
        <v>117</v>
      </c>
      <c r="R1856" t="str">
        <f>"רתמות"</f>
        <v>רתמות</v>
      </c>
      <c r="S1856" t="str">
        <f>"040"</f>
        <v>040</v>
      </c>
      <c r="T1856" t="str">
        <f>"עמר ליגל"</f>
        <v>עמר ליגל</v>
      </c>
      <c r="U1856">
        <v>0</v>
      </c>
      <c r="V1856">
        <v>0</v>
      </c>
      <c r="W1856">
        <v>582.71</v>
      </c>
      <c r="X1856" s="2">
        <v>1748.13</v>
      </c>
      <c r="Z1856" t="str">
        <f>"Y"</f>
        <v>Y</v>
      </c>
      <c r="AA1856">
        <v>0</v>
      </c>
      <c r="AC1856">
        <v>0</v>
      </c>
      <c r="AE1856">
        <v>0</v>
      </c>
      <c r="AF1856">
        <v>0</v>
      </c>
      <c r="AG1856" s="2">
        <v>2008.6</v>
      </c>
      <c r="AH1856">
        <v>0</v>
      </c>
      <c r="AI1856" s="2">
        <v>6025.8</v>
      </c>
      <c r="AJ1856" s="2">
        <v>1748.13</v>
      </c>
      <c r="AK1856" s="2">
        <v>1748.13</v>
      </c>
      <c r="AL1856" t="str">
        <f>"$"</f>
        <v>$</v>
      </c>
    </row>
    <row r="1857" spans="1:38" x14ac:dyDescent="0.3">
      <c r="A1857" t="str">
        <f>"SO22000286"</f>
        <v>SO22000286</v>
      </c>
      <c r="B1857" t="str">
        <f>"E000368650"</f>
        <v>E000368650</v>
      </c>
      <c r="C1857" t="str">
        <f>"בוצעה"</f>
        <v>בוצעה</v>
      </c>
      <c r="E1857" s="3">
        <v>44762</v>
      </c>
      <c r="F1857" s="3">
        <v>44864</v>
      </c>
      <c r="G1857" t="str">
        <f>"700065"</f>
        <v>700065</v>
      </c>
      <c r="H1857" t="str">
        <f>"אלתא מערכות בע""מ"</f>
        <v>אלתא מערכות בע"מ</v>
      </c>
      <c r="I1857" t="str">
        <f>"רחמים זרוק"</f>
        <v>רחמים זרוק</v>
      </c>
      <c r="J1857" t="str">
        <f>"OP-AR03218"</f>
        <v>OP-AR03218</v>
      </c>
      <c r="K1857" s="1" t="str">
        <f>"2015F648-001    CABLE ASSY USB-B"</f>
        <v>2015F648-001    CABLE ASSY USB-B</v>
      </c>
      <c r="L1857">
        <v>4</v>
      </c>
      <c r="M1857" t="str">
        <f>"PR22000524"</f>
        <v>PR22000524</v>
      </c>
      <c r="N1857" t="str">
        <f>"E000368650"</f>
        <v>E000368650</v>
      </c>
      <c r="O1857">
        <v>231.03</v>
      </c>
      <c r="P1857" t="str">
        <f>"$"</f>
        <v>$</v>
      </c>
      <c r="Q1857" t="str">
        <f>"117"</f>
        <v>117</v>
      </c>
      <c r="R1857" t="str">
        <f>"רתמות"</f>
        <v>רתמות</v>
      </c>
      <c r="S1857" t="str">
        <f>"040"</f>
        <v>040</v>
      </c>
      <c r="T1857" t="str">
        <f>"עמר ליגל"</f>
        <v>עמר ליגל</v>
      </c>
      <c r="U1857">
        <v>0</v>
      </c>
      <c r="V1857">
        <v>0</v>
      </c>
      <c r="W1857">
        <v>231.03</v>
      </c>
      <c r="X1857">
        <v>924.12</v>
      </c>
      <c r="Z1857" t="str">
        <f>"Y"</f>
        <v>Y</v>
      </c>
      <c r="AA1857">
        <v>0</v>
      </c>
      <c r="AC1857">
        <v>0</v>
      </c>
      <c r="AE1857">
        <v>0</v>
      </c>
      <c r="AF1857">
        <v>0</v>
      </c>
      <c r="AG1857">
        <v>796.36</v>
      </c>
      <c r="AH1857">
        <v>0</v>
      </c>
      <c r="AI1857" s="2">
        <v>3185.44</v>
      </c>
      <c r="AJ1857">
        <v>924.12</v>
      </c>
      <c r="AK1857">
        <v>924.12</v>
      </c>
      <c r="AL1857" t="str">
        <f>"$"</f>
        <v>$</v>
      </c>
    </row>
    <row r="1858" spans="1:38" x14ac:dyDescent="0.3">
      <c r="A1858" t="str">
        <f>"SO22000286"</f>
        <v>SO22000286</v>
      </c>
      <c r="B1858" t="str">
        <f>"E000368650"</f>
        <v>E000368650</v>
      </c>
      <c r="C1858" t="str">
        <f>"בוצעה"</f>
        <v>בוצעה</v>
      </c>
      <c r="E1858" s="3">
        <v>44762</v>
      </c>
      <c r="F1858" s="3">
        <v>44864</v>
      </c>
      <c r="G1858" t="str">
        <f>"700065"</f>
        <v>700065</v>
      </c>
      <c r="H1858" t="str">
        <f>"אלתא מערכות בע""מ"</f>
        <v>אלתא מערכות בע"מ</v>
      </c>
      <c r="I1858" t="str">
        <f>"רחמים זרוק"</f>
        <v>רחמים זרוק</v>
      </c>
      <c r="J1858" t="str">
        <f>"OP-AR03219"</f>
        <v>OP-AR03219</v>
      </c>
      <c r="K1858" s="1" t="str">
        <f>"2015F975-001    CABLE ASSY 12V ATX"</f>
        <v>2015F975-001    CABLE ASSY 12V ATX</v>
      </c>
      <c r="L1858">
        <v>2</v>
      </c>
      <c r="M1858" t="str">
        <f>"PR22000524"</f>
        <v>PR22000524</v>
      </c>
      <c r="N1858" t="str">
        <f>"E000368650"</f>
        <v>E000368650</v>
      </c>
      <c r="O1858">
        <v>66.31</v>
      </c>
      <c r="P1858" t="str">
        <f>"$"</f>
        <v>$</v>
      </c>
      <c r="Q1858" t="str">
        <f>"117"</f>
        <v>117</v>
      </c>
      <c r="R1858" t="str">
        <f>"רתמות"</f>
        <v>רתמות</v>
      </c>
      <c r="S1858" t="str">
        <f>"040"</f>
        <v>040</v>
      </c>
      <c r="T1858" t="str">
        <f>"עמר ליגל"</f>
        <v>עמר ליגל</v>
      </c>
      <c r="U1858">
        <v>0</v>
      </c>
      <c r="V1858">
        <v>0</v>
      </c>
      <c r="W1858">
        <v>66.31</v>
      </c>
      <c r="X1858">
        <v>132.62</v>
      </c>
      <c r="Z1858" t="str">
        <f>"Y"</f>
        <v>Y</v>
      </c>
      <c r="AA1858">
        <v>0</v>
      </c>
      <c r="AC1858">
        <v>0</v>
      </c>
      <c r="AE1858">
        <v>0</v>
      </c>
      <c r="AF1858">
        <v>0</v>
      </c>
      <c r="AG1858">
        <v>228.57</v>
      </c>
      <c r="AH1858">
        <v>0</v>
      </c>
      <c r="AI1858">
        <v>457.14</v>
      </c>
      <c r="AJ1858">
        <v>132.62</v>
      </c>
      <c r="AK1858">
        <v>132.62</v>
      </c>
      <c r="AL1858" t="str">
        <f>"$"</f>
        <v>$</v>
      </c>
    </row>
    <row r="1859" spans="1:38" x14ac:dyDescent="0.3">
      <c r="A1859" t="str">
        <f>"SO22000286"</f>
        <v>SO22000286</v>
      </c>
      <c r="B1859" t="str">
        <f>"E000368650"</f>
        <v>E000368650</v>
      </c>
      <c r="C1859" t="str">
        <f>"בוצעה"</f>
        <v>בוצעה</v>
      </c>
      <c r="E1859" s="3">
        <v>44762</v>
      </c>
      <c r="F1859" s="3">
        <v>44864</v>
      </c>
      <c r="G1859" t="str">
        <f>"700065"</f>
        <v>700065</v>
      </c>
      <c r="H1859" t="str">
        <f>"אלתא מערכות בע""מ"</f>
        <v>אלתא מערכות בע"מ</v>
      </c>
      <c r="I1859" t="str">
        <f>"רחמים זרוק"</f>
        <v>רחמים זרוק</v>
      </c>
      <c r="J1859" t="str">
        <f>"OP-AR03220"</f>
        <v>OP-AR03220</v>
      </c>
      <c r="K1859" s="1" t="str">
        <f>"2025E410-001    CABLE ASSY USB2-4"</f>
        <v>2025E410-001    CABLE ASSY USB2-4</v>
      </c>
      <c r="L1859">
        <v>1</v>
      </c>
      <c r="M1859" t="str">
        <f>"PR22000524"</f>
        <v>PR22000524</v>
      </c>
      <c r="N1859" t="str">
        <f>"E000368650"</f>
        <v>E000368650</v>
      </c>
      <c r="O1859">
        <v>193.78</v>
      </c>
      <c r="P1859" t="str">
        <f>"$"</f>
        <v>$</v>
      </c>
      <c r="Q1859" t="str">
        <f>"117"</f>
        <v>117</v>
      </c>
      <c r="R1859" t="str">
        <f>"רתמות"</f>
        <v>רתמות</v>
      </c>
      <c r="S1859" t="str">
        <f>"040"</f>
        <v>040</v>
      </c>
      <c r="T1859" t="str">
        <f>"עמר ליגל"</f>
        <v>עמר ליגל</v>
      </c>
      <c r="U1859">
        <v>0</v>
      </c>
      <c r="V1859">
        <v>0</v>
      </c>
      <c r="W1859">
        <v>193.78</v>
      </c>
      <c r="X1859">
        <v>193.78</v>
      </c>
      <c r="Z1859" t="str">
        <f>"Y"</f>
        <v>Y</v>
      </c>
      <c r="AA1859">
        <v>-1</v>
      </c>
      <c r="AC1859">
        <v>0</v>
      </c>
      <c r="AE1859">
        <v>0</v>
      </c>
      <c r="AF1859">
        <v>0</v>
      </c>
      <c r="AG1859">
        <v>667.96</v>
      </c>
      <c r="AH1859">
        <v>0</v>
      </c>
      <c r="AI1859">
        <v>667.96</v>
      </c>
      <c r="AJ1859">
        <v>193.78</v>
      </c>
      <c r="AK1859">
        <v>193.78</v>
      </c>
      <c r="AL1859" t="str">
        <f>"$"</f>
        <v>$</v>
      </c>
    </row>
    <row r="1860" spans="1:38" x14ac:dyDescent="0.3">
      <c r="A1860" t="str">
        <f>"SO22000286"</f>
        <v>SO22000286</v>
      </c>
      <c r="B1860" t="str">
        <f>"E000368650"</f>
        <v>E000368650</v>
      </c>
      <c r="C1860" t="str">
        <f>"בוצעה"</f>
        <v>בוצעה</v>
      </c>
      <c r="E1860" s="3">
        <v>44762</v>
      </c>
      <c r="F1860" s="3">
        <v>44864</v>
      </c>
      <c r="G1860" t="str">
        <f>"700065"</f>
        <v>700065</v>
      </c>
      <c r="H1860" t="str">
        <f>"אלתא מערכות בע""מ"</f>
        <v>אלתא מערכות בע"מ</v>
      </c>
      <c r="I1860" t="str">
        <f>"רחמים זרוק"</f>
        <v>רחמים זרוק</v>
      </c>
      <c r="J1860" t="str">
        <f>"OP-AR03219"</f>
        <v>OP-AR03219</v>
      </c>
      <c r="K1860" s="1" t="str">
        <f>"2015F975-001    CABLE ASSY 12V ATX"</f>
        <v>2015F975-001    CABLE ASSY 12V ATX</v>
      </c>
      <c r="L1860">
        <v>3</v>
      </c>
      <c r="M1860" t="str">
        <f>"PR22000524"</f>
        <v>PR22000524</v>
      </c>
      <c r="N1860" t="str">
        <f>"E000368650"</f>
        <v>E000368650</v>
      </c>
      <c r="O1860">
        <v>66.31</v>
      </c>
      <c r="P1860" t="str">
        <f>"$"</f>
        <v>$</v>
      </c>
      <c r="Q1860" t="str">
        <f>"117"</f>
        <v>117</v>
      </c>
      <c r="R1860" t="str">
        <f>"רתמות"</f>
        <v>רתמות</v>
      </c>
      <c r="S1860" t="str">
        <f>"040"</f>
        <v>040</v>
      </c>
      <c r="T1860" t="str">
        <f>"עמר ליגל"</f>
        <v>עמר ליגל</v>
      </c>
      <c r="U1860">
        <v>0</v>
      </c>
      <c r="V1860">
        <v>0</v>
      </c>
      <c r="W1860">
        <v>66.31</v>
      </c>
      <c r="X1860">
        <v>198.93</v>
      </c>
      <c r="Z1860" t="str">
        <f>"Y"</f>
        <v>Y</v>
      </c>
      <c r="AA1860">
        <v>0</v>
      </c>
      <c r="AC1860">
        <v>0</v>
      </c>
      <c r="AE1860">
        <v>0</v>
      </c>
      <c r="AF1860">
        <v>0</v>
      </c>
      <c r="AG1860">
        <v>228.57</v>
      </c>
      <c r="AH1860">
        <v>0</v>
      </c>
      <c r="AI1860">
        <v>685.71</v>
      </c>
      <c r="AJ1860">
        <v>198.93</v>
      </c>
      <c r="AK1860">
        <v>198.93</v>
      </c>
      <c r="AL1860" t="str">
        <f>"$"</f>
        <v>$</v>
      </c>
    </row>
    <row r="1861" spans="1:38" x14ac:dyDescent="0.3">
      <c r="A1861" t="str">
        <f>"SO22000286"</f>
        <v>SO22000286</v>
      </c>
      <c r="B1861" t="str">
        <f>"E000368650"</f>
        <v>E000368650</v>
      </c>
      <c r="C1861" t="str">
        <f>"בוצעה"</f>
        <v>בוצעה</v>
      </c>
      <c r="E1861" s="3">
        <v>44762</v>
      </c>
      <c r="F1861" s="3">
        <v>44864</v>
      </c>
      <c r="G1861" t="str">
        <f>"700065"</f>
        <v>700065</v>
      </c>
      <c r="H1861" t="str">
        <f>"אלתא מערכות בע""מ"</f>
        <v>אלתא מערכות בע"מ</v>
      </c>
      <c r="I1861" t="str">
        <f>"רחמים זרוק"</f>
        <v>רחמים זרוק</v>
      </c>
      <c r="J1861" t="str">
        <f>"OP-AR03220"</f>
        <v>OP-AR03220</v>
      </c>
      <c r="K1861" s="1" t="str">
        <f>"2025E410-001    CABLE ASSY USB2-4"</f>
        <v>2025E410-001    CABLE ASSY USB2-4</v>
      </c>
      <c r="L1861">
        <v>1</v>
      </c>
      <c r="M1861" t="str">
        <f>"PR22000524"</f>
        <v>PR22000524</v>
      </c>
      <c r="N1861" t="str">
        <f>"E000368650"</f>
        <v>E000368650</v>
      </c>
      <c r="O1861">
        <v>193.78</v>
      </c>
      <c r="P1861" t="str">
        <f>"$"</f>
        <v>$</v>
      </c>
      <c r="Q1861" t="str">
        <f>"117"</f>
        <v>117</v>
      </c>
      <c r="R1861" t="str">
        <f>"רתמות"</f>
        <v>רתמות</v>
      </c>
      <c r="S1861" t="str">
        <f>"040"</f>
        <v>040</v>
      </c>
      <c r="T1861" t="str">
        <f>"עמר ליגל"</f>
        <v>עמר ליגל</v>
      </c>
      <c r="U1861">
        <v>0</v>
      </c>
      <c r="V1861">
        <v>0</v>
      </c>
      <c r="W1861">
        <v>193.78</v>
      </c>
      <c r="X1861">
        <v>193.78</v>
      </c>
      <c r="Z1861" t="str">
        <f>"Y"</f>
        <v>Y</v>
      </c>
      <c r="AA1861">
        <v>1</v>
      </c>
      <c r="AC1861">
        <v>0</v>
      </c>
      <c r="AE1861">
        <v>0</v>
      </c>
      <c r="AF1861">
        <v>0</v>
      </c>
      <c r="AG1861">
        <v>667.96</v>
      </c>
      <c r="AH1861">
        <v>0</v>
      </c>
      <c r="AI1861">
        <v>667.96</v>
      </c>
      <c r="AJ1861">
        <v>193.78</v>
      </c>
      <c r="AK1861">
        <v>193.78</v>
      </c>
      <c r="AL1861" t="str">
        <f>"$"</f>
        <v>$</v>
      </c>
    </row>
    <row r="1862" spans="1:38" x14ac:dyDescent="0.3">
      <c r="A1862" t="str">
        <f>"SO22000287"</f>
        <v>SO22000287</v>
      </c>
      <c r="B1862" t="str">
        <f>"E000368032"</f>
        <v>E000368032</v>
      </c>
      <c r="C1862" t="str">
        <f>"בסיום הרכבה"</f>
        <v>בסיום הרכבה</v>
      </c>
      <c r="E1862" s="3">
        <v>44762</v>
      </c>
      <c r="F1862" s="3">
        <v>44895</v>
      </c>
      <c r="G1862" t="str">
        <f>"700065"</f>
        <v>700065</v>
      </c>
      <c r="H1862" t="str">
        <f>"אלתא מערכות בע""מ"</f>
        <v>אלתא מערכות בע"מ</v>
      </c>
      <c r="I1862" t="str">
        <f>"רחמים זרוק"</f>
        <v>רחמים זרוק</v>
      </c>
      <c r="J1862" t="str">
        <f>"OP-AR03221"</f>
        <v>OP-AR03221</v>
      </c>
      <c r="K1862" s="1" t="str">
        <f>"1027C394-001    WSA126 PDB2 TO PS-P1 CABLE 6.8M ASSY"</f>
        <v>1027C394-001    WSA126 PDB2 TO PS-P1 CABLE 6.8M ASSY</v>
      </c>
      <c r="L1862">
        <v>3</v>
      </c>
      <c r="M1862" t="str">
        <f>"PR22000525"</f>
        <v>PR22000525</v>
      </c>
      <c r="N1862" t="str">
        <f>"26 PDB2 TO PS-P1 CABLE 6.8M ASSY"</f>
        <v>26 PDB2 TO PS-P1 CABLE 6.8M ASSY</v>
      </c>
      <c r="O1862">
        <v>663.71</v>
      </c>
      <c r="P1862" t="str">
        <f>"$"</f>
        <v>$</v>
      </c>
      <c r="Q1862" t="str">
        <f>"117"</f>
        <v>117</v>
      </c>
      <c r="R1862" t="str">
        <f>"רתמות"</f>
        <v>רתמות</v>
      </c>
      <c r="S1862" t="str">
        <f>"040"</f>
        <v>040</v>
      </c>
      <c r="T1862" t="str">
        <f>"עמר ליגל"</f>
        <v>עמר ליגל</v>
      </c>
      <c r="U1862">
        <v>0</v>
      </c>
      <c r="V1862">
        <v>0</v>
      </c>
      <c r="W1862">
        <v>663.71</v>
      </c>
      <c r="X1862" s="2">
        <v>1991.13</v>
      </c>
      <c r="Z1862" t="str">
        <f>"Y"</f>
        <v>Y</v>
      </c>
      <c r="AA1862">
        <v>0</v>
      </c>
      <c r="AC1862">
        <v>0</v>
      </c>
      <c r="AE1862">
        <v>0</v>
      </c>
      <c r="AF1862">
        <v>0</v>
      </c>
      <c r="AG1862" s="2">
        <v>2287.81</v>
      </c>
      <c r="AH1862">
        <v>0</v>
      </c>
      <c r="AI1862" s="2">
        <v>6863.43</v>
      </c>
      <c r="AJ1862" s="2">
        <v>1991.13</v>
      </c>
      <c r="AK1862" s="2">
        <v>1991.13</v>
      </c>
      <c r="AL1862" t="str">
        <f>"$"</f>
        <v>$</v>
      </c>
    </row>
    <row r="1863" spans="1:38" x14ac:dyDescent="0.3">
      <c r="A1863" t="str">
        <f>"SO22000289"</f>
        <v>SO22000289</v>
      </c>
      <c r="B1863" t="str">
        <f>"E000369810"</f>
        <v>E000369810</v>
      </c>
      <c r="C1863" t="str">
        <f>"בסיום הרכבה"</f>
        <v>בסיום הרכבה</v>
      </c>
      <c r="E1863" s="3">
        <v>44763</v>
      </c>
      <c r="F1863" s="3">
        <v>44864</v>
      </c>
      <c r="G1863" t="str">
        <f>"700065"</f>
        <v>700065</v>
      </c>
      <c r="H1863" t="str">
        <f>"אלתא מערכות בע""מ"</f>
        <v>אלתא מערכות בע"מ</v>
      </c>
      <c r="I1863" t="str">
        <f>"רחמים זרוק"</f>
        <v>רחמים זרוק</v>
      </c>
      <c r="J1863" t="str">
        <f>"OP-AR03222"</f>
        <v>OP-AR03222</v>
      </c>
      <c r="K1863" s="1" t="str">
        <f>"2068B572-002    CABLE ASSY FPGA W1"</f>
        <v>2068B572-002    CABLE ASSY FPGA W1</v>
      </c>
      <c r="L1863">
        <v>5</v>
      </c>
      <c r="M1863" t="str">
        <f>"PR22000528"</f>
        <v>PR22000528</v>
      </c>
      <c r="N1863" t="str">
        <f>"E000369810"</f>
        <v>E000369810</v>
      </c>
      <c r="O1863">
        <v>156.33000000000001</v>
      </c>
      <c r="P1863" t="str">
        <f>"$"</f>
        <v>$</v>
      </c>
      <c r="Q1863" t="str">
        <f>"117"</f>
        <v>117</v>
      </c>
      <c r="R1863" t="str">
        <f>"רתמות"</f>
        <v>רתמות</v>
      </c>
      <c r="S1863" t="str">
        <f>"040"</f>
        <v>040</v>
      </c>
      <c r="T1863" t="str">
        <f>"עמר ליגל"</f>
        <v>עמר ליגל</v>
      </c>
      <c r="U1863">
        <v>0</v>
      </c>
      <c r="V1863">
        <v>0</v>
      </c>
      <c r="W1863">
        <v>156.33000000000001</v>
      </c>
      <c r="X1863">
        <v>781.65</v>
      </c>
      <c r="Z1863" t="str">
        <f>"Y"</f>
        <v>Y</v>
      </c>
      <c r="AA1863">
        <v>0</v>
      </c>
      <c r="AC1863">
        <v>0</v>
      </c>
      <c r="AE1863">
        <v>0</v>
      </c>
      <c r="AF1863">
        <v>0</v>
      </c>
      <c r="AG1863">
        <v>540.12</v>
      </c>
      <c r="AH1863">
        <v>0</v>
      </c>
      <c r="AI1863" s="2">
        <v>2700.6</v>
      </c>
      <c r="AJ1863">
        <v>781.65</v>
      </c>
      <c r="AK1863">
        <v>781.65</v>
      </c>
      <c r="AL1863" t="str">
        <f>"$"</f>
        <v>$</v>
      </c>
    </row>
    <row r="1864" spans="1:38" x14ac:dyDescent="0.3">
      <c r="A1864" t="str">
        <f>"SO22000295"</f>
        <v>SO22000295</v>
      </c>
      <c r="B1864" t="str">
        <f>"תוניפס תימינפ"</f>
        <v>תוניפס תימינפ</v>
      </c>
      <c r="C1864" t="str">
        <f>"מבוטלת"</f>
        <v>מבוטלת</v>
      </c>
      <c r="E1864" s="3">
        <v>44769</v>
      </c>
      <c r="F1864" s="3">
        <v>44769</v>
      </c>
      <c r="G1864" t="str">
        <f>"700065"</f>
        <v>700065</v>
      </c>
      <c r="H1864" t="str">
        <f>"אלתא מערכות בע""מ"</f>
        <v>אלתא מערכות בע"מ</v>
      </c>
      <c r="I1864" t="str">
        <f>"ערן שלו"</f>
        <v>ערן שלו</v>
      </c>
      <c r="J1864" t="str">
        <f>"000"</f>
        <v>000</v>
      </c>
      <c r="K1864" s="1" t="str">
        <f>"החזרת קיטי כבילה לאלתא לאחר בדיקה"</f>
        <v>החזרת קיטי כבילה לאלתא לאחר בדיקה</v>
      </c>
      <c r="L1864">
        <v>3</v>
      </c>
      <c r="M1864" t="str">
        <f>"PR19000400"</f>
        <v>PR19000400</v>
      </c>
      <c r="N1864" t="str">
        <f>"פרויקט ראשי - BELL7"</f>
        <v>פרויקט ראשי - BELL7</v>
      </c>
      <c r="O1864">
        <v>0</v>
      </c>
      <c r="P1864" t="str">
        <f>"$"</f>
        <v>$</v>
      </c>
      <c r="Q1864" t="str">
        <f>"118"</f>
        <v>118</v>
      </c>
      <c r="R1864" t="str">
        <f>"מערכות"</f>
        <v>מערכות</v>
      </c>
      <c r="S1864" t="str">
        <f>"034"</f>
        <v>034</v>
      </c>
      <c r="T1864" t="str">
        <f>"עמר ליגל"</f>
        <v>עמר ליגל</v>
      </c>
      <c r="U1864">
        <v>0</v>
      </c>
      <c r="V1864">
        <v>0</v>
      </c>
      <c r="W1864">
        <v>0</v>
      </c>
      <c r="X1864">
        <v>0</v>
      </c>
      <c r="Z1864" t="str">
        <f>"Y"</f>
        <v>Y</v>
      </c>
      <c r="AA1864">
        <v>3</v>
      </c>
      <c r="AC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 t="str">
        <f>"$"</f>
        <v>$</v>
      </c>
    </row>
    <row r="1865" spans="1:38" x14ac:dyDescent="0.3">
      <c r="A1865" t="str">
        <f>"SO22000295"</f>
        <v>SO22000295</v>
      </c>
      <c r="B1865" t="str">
        <f>"תוניפס תימינפ"</f>
        <v>תוניפס תימינפ</v>
      </c>
      <c r="C1865" t="str">
        <f>"מבוטלת"</f>
        <v>מבוטלת</v>
      </c>
      <c r="E1865" s="3">
        <v>44769</v>
      </c>
      <c r="F1865" s="3">
        <v>44769</v>
      </c>
      <c r="G1865" t="str">
        <f>"700065"</f>
        <v>700065</v>
      </c>
      <c r="H1865" t="str">
        <f>"אלתא מערכות בע""מ"</f>
        <v>אלתא מערכות בע"מ</v>
      </c>
      <c r="I1865" t="str">
        <f>"ערן שלו"</f>
        <v>ערן שלו</v>
      </c>
      <c r="J1865" t="str">
        <f>"cust001160"</f>
        <v>cust001160</v>
      </c>
      <c r="K1865" s="1" t="str">
        <f>"ISOLATION TRANSFORMER UNIT 70KVA אלתא"</f>
        <v>ISOLATION TRANSFORMER UNIT 70KVA אלתא</v>
      </c>
      <c r="L1865">
        <v>1</v>
      </c>
      <c r="M1865" t="str">
        <f>"PR19000400"</f>
        <v>PR19000400</v>
      </c>
      <c r="N1865" t="str">
        <f>"פרויקט ראשי - BELL7"</f>
        <v>פרויקט ראשי - BELL7</v>
      </c>
      <c r="O1865">
        <v>0</v>
      </c>
      <c r="P1865" t="str">
        <f>"$"</f>
        <v>$</v>
      </c>
      <c r="Q1865" t="str">
        <f>"118"</f>
        <v>118</v>
      </c>
      <c r="R1865" t="str">
        <f>"מערכות"</f>
        <v>מערכות</v>
      </c>
      <c r="S1865" t="str">
        <f>"034"</f>
        <v>034</v>
      </c>
      <c r="T1865" t="str">
        <f>"עמר ליגל"</f>
        <v>עמר ליגל</v>
      </c>
      <c r="U1865">
        <v>0</v>
      </c>
      <c r="V1865">
        <v>0</v>
      </c>
      <c r="W1865">
        <v>0</v>
      </c>
      <c r="X1865">
        <v>0</v>
      </c>
      <c r="Z1865" t="str">
        <f>"Y"</f>
        <v>Y</v>
      </c>
      <c r="AA1865">
        <v>1</v>
      </c>
      <c r="AC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 t="str">
        <f>"$"</f>
        <v>$</v>
      </c>
    </row>
    <row r="1866" spans="1:38" x14ac:dyDescent="0.3">
      <c r="A1866" t="str">
        <f>"SO22000307"</f>
        <v>SO22000307</v>
      </c>
      <c r="B1866" t="str">
        <f>"E000371696"</f>
        <v>E000371696</v>
      </c>
      <c r="C1866" t="str">
        <f>"בוצעה"</f>
        <v>בוצעה</v>
      </c>
      <c r="E1866" s="3">
        <v>44781</v>
      </c>
      <c r="F1866" s="3">
        <v>44925</v>
      </c>
      <c r="G1866" t="str">
        <f>"700065"</f>
        <v>700065</v>
      </c>
      <c r="H1866" t="str">
        <f>"אלתא מערכות בע""מ"</f>
        <v>אלתא מערכות בע"מ</v>
      </c>
      <c r="I1866" t="str">
        <f>"ערן שלו"</f>
        <v>ערן שלו</v>
      </c>
      <c r="J1866" t="str">
        <f>"OP-ML00190"</f>
        <v>OP-ML00190</v>
      </c>
      <c r="K1866" s="1" t="str">
        <f>"RPU RECTIFIER RACK"</f>
        <v>RPU RECTIFIER RACK</v>
      </c>
      <c r="L1866">
        <v>1</v>
      </c>
      <c r="M1866" t="str">
        <f>"PR20000700"</f>
        <v>PR20000700</v>
      </c>
      <c r="N1866" t="str">
        <f>"1038C906-001 RPU3"</f>
        <v>1038C906-001 RPU3</v>
      </c>
      <c r="O1866">
        <v>0</v>
      </c>
      <c r="P1866" t="str">
        <f>"$"</f>
        <v>$</v>
      </c>
      <c r="Q1866" t="str">
        <f>"118"</f>
        <v>118</v>
      </c>
      <c r="R1866" t="str">
        <f>"מערכות"</f>
        <v>מערכות</v>
      </c>
      <c r="S1866" t="str">
        <f>"034"</f>
        <v>034</v>
      </c>
      <c r="T1866" t="str">
        <f>"עמר ליגל"</f>
        <v>עמר ליגל</v>
      </c>
      <c r="U1866">
        <v>0</v>
      </c>
      <c r="V1866">
        <v>0</v>
      </c>
      <c r="W1866">
        <v>0</v>
      </c>
      <c r="X1866">
        <v>0</v>
      </c>
      <c r="Z1866" t="str">
        <f>"Y"</f>
        <v>Y</v>
      </c>
      <c r="AA1866">
        <v>0</v>
      </c>
      <c r="AC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 t="str">
        <f>"$"</f>
        <v>$</v>
      </c>
    </row>
    <row r="1867" spans="1:38" x14ac:dyDescent="0.3">
      <c r="A1867" t="str">
        <f>"SO22000307"</f>
        <v>SO22000307</v>
      </c>
      <c r="B1867" t="str">
        <f>"E000371696"</f>
        <v>E000371696</v>
      </c>
      <c r="C1867" t="str">
        <f>"בוצעה"</f>
        <v>בוצעה</v>
      </c>
      <c r="E1867" s="3">
        <v>44781</v>
      </c>
      <c r="F1867" s="3">
        <v>44825</v>
      </c>
      <c r="G1867" t="str">
        <f>"700065"</f>
        <v>700065</v>
      </c>
      <c r="H1867" t="str">
        <f>"אלתא מערכות בע""מ"</f>
        <v>אלתא מערכות בע"מ</v>
      </c>
      <c r="I1867" t="str">
        <f>"ערן שלו"</f>
        <v>ערן שלו</v>
      </c>
      <c r="J1867" t="str">
        <f>"OP-ML00190"</f>
        <v>OP-ML00190</v>
      </c>
      <c r="K1867" s="1" t="str">
        <f>"RPU RECTIFIER RACK"</f>
        <v>RPU RECTIFIER RACK</v>
      </c>
      <c r="L1867">
        <v>1</v>
      </c>
      <c r="M1867" t="str">
        <f>"PR20000701"</f>
        <v>PR20000701</v>
      </c>
      <c r="N1867" t="str">
        <f>"108C906-001 RPU4"</f>
        <v>108C906-001 RPU4</v>
      </c>
      <c r="O1867">
        <v>0</v>
      </c>
      <c r="P1867" t="str">
        <f>"$"</f>
        <v>$</v>
      </c>
      <c r="Q1867" t="str">
        <f>"118"</f>
        <v>118</v>
      </c>
      <c r="R1867" t="str">
        <f>"מערכות"</f>
        <v>מערכות</v>
      </c>
      <c r="S1867" t="str">
        <f>"034"</f>
        <v>034</v>
      </c>
      <c r="T1867" t="str">
        <f>"עמר ליגל"</f>
        <v>עמר ליגל</v>
      </c>
      <c r="U1867">
        <v>0</v>
      </c>
      <c r="V1867">
        <v>0</v>
      </c>
      <c r="W1867">
        <v>0</v>
      </c>
      <c r="X1867">
        <v>0</v>
      </c>
      <c r="Z1867" t="str">
        <f>"Y"</f>
        <v>Y</v>
      </c>
      <c r="AA1867">
        <v>0</v>
      </c>
      <c r="AC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 t="str">
        <f>"$"</f>
        <v>$</v>
      </c>
    </row>
    <row r="1868" spans="1:38" x14ac:dyDescent="0.3">
      <c r="A1868" t="str">
        <f>"SO22000307"</f>
        <v>SO22000307</v>
      </c>
      <c r="B1868" t="str">
        <f>"E000371696"</f>
        <v>E000371696</v>
      </c>
      <c r="C1868" t="str">
        <f>"בוצעה"</f>
        <v>בוצעה</v>
      </c>
      <c r="E1868" s="3">
        <v>44781</v>
      </c>
      <c r="F1868" s="3">
        <v>44825</v>
      </c>
      <c r="G1868" t="str">
        <f>"700065"</f>
        <v>700065</v>
      </c>
      <c r="H1868" t="str">
        <f>"אלתא מערכות בע""מ"</f>
        <v>אלתא מערכות בע"מ</v>
      </c>
      <c r="I1868" t="str">
        <f>"ערן שלו"</f>
        <v>ערן שלו</v>
      </c>
      <c r="J1868" t="str">
        <f>"OP-ML00190"</f>
        <v>OP-ML00190</v>
      </c>
      <c r="K1868" s="1" t="str">
        <f>"RPU RECTIFIER RACK"</f>
        <v>RPU RECTIFIER RACK</v>
      </c>
      <c r="L1868">
        <v>1</v>
      </c>
      <c r="M1868" t="str">
        <f>"PR20000702"</f>
        <v>PR20000702</v>
      </c>
      <c r="N1868" t="str">
        <f>"108C906-001 RPU5"</f>
        <v>108C906-001 RPU5</v>
      </c>
      <c r="O1868">
        <v>0</v>
      </c>
      <c r="P1868" t="str">
        <f>"$"</f>
        <v>$</v>
      </c>
      <c r="Q1868" t="str">
        <f>"118"</f>
        <v>118</v>
      </c>
      <c r="R1868" t="str">
        <f>"מערכות"</f>
        <v>מערכות</v>
      </c>
      <c r="S1868" t="str">
        <f>"034"</f>
        <v>034</v>
      </c>
      <c r="T1868" t="str">
        <f>"עמר ליגל"</f>
        <v>עמר ליגל</v>
      </c>
      <c r="U1868">
        <v>0</v>
      </c>
      <c r="V1868">
        <v>0</v>
      </c>
      <c r="W1868">
        <v>0</v>
      </c>
      <c r="X1868">
        <v>0</v>
      </c>
      <c r="Z1868" t="str">
        <f>"Y"</f>
        <v>Y</v>
      </c>
      <c r="AA1868">
        <v>0</v>
      </c>
      <c r="AC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 t="str">
        <f>"$"</f>
        <v>$</v>
      </c>
    </row>
    <row r="1869" spans="1:38" x14ac:dyDescent="0.3">
      <c r="A1869" t="str">
        <f>"SO22000307"</f>
        <v>SO22000307</v>
      </c>
      <c r="B1869" t="str">
        <f>"E000371696"</f>
        <v>E000371696</v>
      </c>
      <c r="C1869" t="str">
        <f>"בוצעה"</f>
        <v>בוצעה</v>
      </c>
      <c r="E1869" s="3">
        <v>44781</v>
      </c>
      <c r="F1869" s="3">
        <v>44825</v>
      </c>
      <c r="G1869" t="str">
        <f>"700065"</f>
        <v>700065</v>
      </c>
      <c r="H1869" t="str">
        <f>"אלתא מערכות בע""מ"</f>
        <v>אלתא מערכות בע"מ</v>
      </c>
      <c r="I1869" t="str">
        <f>"ערן שלו"</f>
        <v>ערן שלו</v>
      </c>
      <c r="J1869" t="str">
        <f>"OP-ML00190"</f>
        <v>OP-ML00190</v>
      </c>
      <c r="K1869" s="1" t="str">
        <f>"RPU RECTIFIER RACK"</f>
        <v>RPU RECTIFIER RACK</v>
      </c>
      <c r="L1869">
        <v>1</v>
      </c>
      <c r="M1869" t="str">
        <f>"PR20000703"</f>
        <v>PR20000703</v>
      </c>
      <c r="N1869" t="str">
        <f>"108C906-001 RPU6"</f>
        <v>108C906-001 RPU6</v>
      </c>
      <c r="O1869">
        <v>0</v>
      </c>
      <c r="P1869" t="str">
        <f>"$"</f>
        <v>$</v>
      </c>
      <c r="Q1869" t="str">
        <f>"118"</f>
        <v>118</v>
      </c>
      <c r="R1869" t="str">
        <f>"מערכות"</f>
        <v>מערכות</v>
      </c>
      <c r="S1869" t="str">
        <f>"034"</f>
        <v>034</v>
      </c>
      <c r="T1869" t="str">
        <f>"עמר ליגל"</f>
        <v>עמר ליגל</v>
      </c>
      <c r="U1869">
        <v>0</v>
      </c>
      <c r="V1869">
        <v>0</v>
      </c>
      <c r="W1869">
        <v>0</v>
      </c>
      <c r="X1869">
        <v>0</v>
      </c>
      <c r="Z1869" t="str">
        <f>"Y"</f>
        <v>Y</v>
      </c>
      <c r="AA1869">
        <v>0</v>
      </c>
      <c r="AC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 t="str">
        <f>"$"</f>
        <v>$</v>
      </c>
    </row>
    <row r="1870" spans="1:38" x14ac:dyDescent="0.3">
      <c r="A1870" t="str">
        <f>"SO22000307"</f>
        <v>SO22000307</v>
      </c>
      <c r="B1870" t="str">
        <f>"E000371696"</f>
        <v>E000371696</v>
      </c>
      <c r="C1870" t="str">
        <f>"בוצעה"</f>
        <v>בוצעה</v>
      </c>
      <c r="E1870" s="3">
        <v>44781</v>
      </c>
      <c r="F1870" s="3">
        <v>44825</v>
      </c>
      <c r="G1870" t="str">
        <f>"700065"</f>
        <v>700065</v>
      </c>
      <c r="H1870" t="str">
        <f>"אלתא מערכות בע""מ"</f>
        <v>אלתא מערכות בע"מ</v>
      </c>
      <c r="I1870" t="str">
        <f>"ערן שלו"</f>
        <v>ערן שלו</v>
      </c>
      <c r="J1870" t="str">
        <f>"OP-ML00190"</f>
        <v>OP-ML00190</v>
      </c>
      <c r="K1870" s="1" t="str">
        <f>"RPU RECTIFIER RACK"</f>
        <v>RPU RECTIFIER RACK</v>
      </c>
      <c r="L1870">
        <v>1</v>
      </c>
      <c r="M1870" t="str">
        <f>"PR20000704"</f>
        <v>PR20000704</v>
      </c>
      <c r="N1870" t="str">
        <f>"108C906-001 RPU7"</f>
        <v>108C906-001 RPU7</v>
      </c>
      <c r="O1870">
        <v>0</v>
      </c>
      <c r="P1870" t="str">
        <f>"$"</f>
        <v>$</v>
      </c>
      <c r="Q1870" t="str">
        <f>"118"</f>
        <v>118</v>
      </c>
      <c r="R1870" t="str">
        <f>"מערכות"</f>
        <v>מערכות</v>
      </c>
      <c r="S1870" t="str">
        <f>"034"</f>
        <v>034</v>
      </c>
      <c r="T1870" t="str">
        <f>"עמר ליגל"</f>
        <v>עמר ליגל</v>
      </c>
      <c r="U1870">
        <v>0</v>
      </c>
      <c r="V1870">
        <v>0</v>
      </c>
      <c r="W1870">
        <v>0</v>
      </c>
      <c r="X1870">
        <v>0</v>
      </c>
      <c r="Z1870" t="str">
        <f>"Y"</f>
        <v>Y</v>
      </c>
      <c r="AA1870">
        <v>0</v>
      </c>
      <c r="AC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 t="str">
        <f>"$"</f>
        <v>$</v>
      </c>
    </row>
    <row r="1871" spans="1:38" x14ac:dyDescent="0.3">
      <c r="A1871" t="str">
        <f>"SO22000307"</f>
        <v>SO22000307</v>
      </c>
      <c r="B1871" t="str">
        <f>"E000371696"</f>
        <v>E000371696</v>
      </c>
      <c r="C1871" t="str">
        <f>"בוצעה"</f>
        <v>בוצעה</v>
      </c>
      <c r="E1871" s="3">
        <v>44781</v>
      </c>
      <c r="F1871" s="3">
        <v>44825</v>
      </c>
      <c r="G1871" t="str">
        <f>"700065"</f>
        <v>700065</v>
      </c>
      <c r="H1871" t="str">
        <f>"אלתא מערכות בע""מ"</f>
        <v>אלתא מערכות בע"מ</v>
      </c>
      <c r="I1871" t="str">
        <f>"ערן שלו"</f>
        <v>ערן שלו</v>
      </c>
      <c r="J1871" t="str">
        <f>"OP-ML00190"</f>
        <v>OP-ML00190</v>
      </c>
      <c r="K1871" s="1" t="str">
        <f>"RPU RECTIFIER RACK"</f>
        <v>RPU RECTIFIER RACK</v>
      </c>
      <c r="L1871">
        <v>1</v>
      </c>
      <c r="M1871" t="str">
        <f>"PR20000705"</f>
        <v>PR20000705</v>
      </c>
      <c r="N1871" t="str">
        <f>"108C906-001 RPU8"</f>
        <v>108C906-001 RPU8</v>
      </c>
      <c r="O1871">
        <v>0</v>
      </c>
      <c r="P1871" t="str">
        <f>"$"</f>
        <v>$</v>
      </c>
      <c r="Q1871" t="str">
        <f>"118"</f>
        <v>118</v>
      </c>
      <c r="R1871" t="str">
        <f>"מערכות"</f>
        <v>מערכות</v>
      </c>
      <c r="S1871" t="str">
        <f>"034"</f>
        <v>034</v>
      </c>
      <c r="T1871" t="str">
        <f>"עמר ליגל"</f>
        <v>עמר ליגל</v>
      </c>
      <c r="U1871">
        <v>0</v>
      </c>
      <c r="V1871">
        <v>0</v>
      </c>
      <c r="W1871">
        <v>0</v>
      </c>
      <c r="X1871">
        <v>0</v>
      </c>
      <c r="Z1871" t="str">
        <f>"Y"</f>
        <v>Y</v>
      </c>
      <c r="AA1871">
        <v>0</v>
      </c>
      <c r="AC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 t="str">
        <f>"$"</f>
        <v>$</v>
      </c>
    </row>
    <row r="1872" spans="1:38" x14ac:dyDescent="0.3">
      <c r="A1872" t="str">
        <f>"SO22000307"</f>
        <v>SO22000307</v>
      </c>
      <c r="B1872" t="str">
        <f>"E000371696"</f>
        <v>E000371696</v>
      </c>
      <c r="C1872" t="str">
        <f>"בוצעה"</f>
        <v>בוצעה</v>
      </c>
      <c r="E1872" s="3">
        <v>44781</v>
      </c>
      <c r="F1872" s="3">
        <v>44882</v>
      </c>
      <c r="G1872" t="str">
        <f>"700065"</f>
        <v>700065</v>
      </c>
      <c r="H1872" t="str">
        <f>"אלתא מערכות בע""מ"</f>
        <v>אלתא מערכות בע"מ</v>
      </c>
      <c r="I1872" t="str">
        <f>"ערן שלו"</f>
        <v>ערן שלו</v>
      </c>
      <c r="J1872" t="str">
        <f>"000"</f>
        <v>000</v>
      </c>
      <c r="K1872" s="1" t="str">
        <f>"התקנת מערכת UPS בפלוגות"</f>
        <v>התקנת מערכת UPS בפלוגות</v>
      </c>
      <c r="L1872">
        <v>1</v>
      </c>
      <c r="M1872" t="str">
        <f>"PR21000445"</f>
        <v>PR21000445</v>
      </c>
      <c r="N1872" t="str">
        <f>"04 COMPUTER RACK"</f>
        <v>04 COMPUTER RACK</v>
      </c>
      <c r="O1872">
        <v>0</v>
      </c>
      <c r="P1872" t="str">
        <f>"$"</f>
        <v>$</v>
      </c>
      <c r="Q1872" t="str">
        <f>"118"</f>
        <v>118</v>
      </c>
      <c r="R1872" t="str">
        <f>"מערכות"</f>
        <v>מערכות</v>
      </c>
      <c r="S1872" t="str">
        <f>"034"</f>
        <v>034</v>
      </c>
      <c r="T1872" t="str">
        <f>"עמר ליגל"</f>
        <v>עמר ליגל</v>
      </c>
      <c r="U1872">
        <v>0</v>
      </c>
      <c r="V1872">
        <v>0</v>
      </c>
      <c r="W1872">
        <v>0</v>
      </c>
      <c r="X1872">
        <v>0</v>
      </c>
      <c r="Z1872" t="str">
        <f>"Y"</f>
        <v>Y</v>
      </c>
      <c r="AA1872">
        <v>0</v>
      </c>
      <c r="AC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 t="str">
        <f>"$"</f>
        <v>$</v>
      </c>
    </row>
    <row r="1873" spans="1:38" x14ac:dyDescent="0.3">
      <c r="A1873" t="str">
        <f>"SO22000311"</f>
        <v>SO22000311</v>
      </c>
      <c r="B1873" t="str">
        <f>"הזמנה פנימית"</f>
        <v>הזמנה פנימית</v>
      </c>
      <c r="C1873" t="str">
        <f>"בוצעה"</f>
        <v>בוצעה</v>
      </c>
      <c r="E1873" s="3">
        <v>44781</v>
      </c>
      <c r="F1873" s="3">
        <v>44781</v>
      </c>
      <c r="G1873" t="str">
        <f>"700065"</f>
        <v>700065</v>
      </c>
      <c r="H1873" t="str">
        <f>"אלתא מערכות בע""מ"</f>
        <v>אלתא מערכות בע"מ</v>
      </c>
      <c r="I1873" t="str">
        <f>"יהושע חדד"</f>
        <v>יהושע חדד</v>
      </c>
      <c r="J1873" t="str">
        <f>"cust001414"</f>
        <v>cust001414</v>
      </c>
      <c r="K1873" s="1" t="str">
        <f>"ELTA 1041M305-001 COMPUTER RACK"</f>
        <v>ELTA 1041M305-001 COMPUTER RACK</v>
      </c>
      <c r="L1873">
        <v>1</v>
      </c>
      <c r="M1873" t="str">
        <f>"PR22000565"</f>
        <v>PR22000565</v>
      </c>
      <c r="N1873" t="str">
        <f>"שידרוג 041M305-001 COMPUTER RACK"</f>
        <v>שידרוג 041M305-001 COMPUTER RACK</v>
      </c>
      <c r="O1873">
        <v>0</v>
      </c>
      <c r="P1873" t="str">
        <f>"$"</f>
        <v>$</v>
      </c>
      <c r="Q1873" t="str">
        <f>"000"</f>
        <v>000</v>
      </c>
      <c r="R1873" t="str">
        <f>"כללית"</f>
        <v>כללית</v>
      </c>
      <c r="S1873" t="str">
        <f>"001"</f>
        <v>001</v>
      </c>
      <c r="T1873" t="str">
        <f>"tabula"</f>
        <v>tabula</v>
      </c>
      <c r="U1873">
        <v>0</v>
      </c>
      <c r="V1873">
        <v>0</v>
      </c>
      <c r="W1873">
        <v>0</v>
      </c>
      <c r="X1873">
        <v>0</v>
      </c>
      <c r="Z1873" t="str">
        <f>"Y"</f>
        <v>Y</v>
      </c>
      <c r="AA1873">
        <v>0</v>
      </c>
      <c r="AC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 t="str">
        <f>"$"</f>
        <v>$</v>
      </c>
    </row>
    <row r="1874" spans="1:38" x14ac:dyDescent="0.3">
      <c r="A1874" t="str">
        <f>"SO22000316"</f>
        <v>SO22000316</v>
      </c>
      <c r="B1874" t="str">
        <f>"E000369246"</f>
        <v>E000369246</v>
      </c>
      <c r="C1874" t="str">
        <f>"הרכבה חלקית"</f>
        <v>הרכבה חלקית</v>
      </c>
      <c r="E1874" s="3">
        <v>44782</v>
      </c>
      <c r="F1874" s="3">
        <v>44972</v>
      </c>
      <c r="G1874" t="str">
        <f>"700065"</f>
        <v>700065</v>
      </c>
      <c r="H1874" t="str">
        <f>"אלתא מערכות בע""מ"</f>
        <v>אלתא מערכות בע"מ</v>
      </c>
      <c r="I1874" t="str">
        <f>"רחמים זרוק"</f>
        <v>רחמים זרוק</v>
      </c>
      <c r="J1874" t="str">
        <f>"OP-AR03244"</f>
        <v>OP-AR03244</v>
      </c>
      <c r="K1874" s="1" t="str">
        <f>"1031T280-001    CABLE DISCRETE ASSY"</f>
        <v>1031T280-001    CABLE DISCRETE ASSY</v>
      </c>
      <c r="L1874">
        <v>6</v>
      </c>
      <c r="M1874" t="str">
        <f>"PR22000551"</f>
        <v>PR22000551</v>
      </c>
      <c r="N1874" t="str">
        <f>"E000369246"</f>
        <v>E000369246</v>
      </c>
      <c r="O1874">
        <v>373.44</v>
      </c>
      <c r="P1874" t="str">
        <f>"$"</f>
        <v>$</v>
      </c>
      <c r="Q1874" t="str">
        <f>"117"</f>
        <v>117</v>
      </c>
      <c r="R1874" t="str">
        <f>"רתמות"</f>
        <v>רתמות</v>
      </c>
      <c r="S1874" t="str">
        <f>"040"</f>
        <v>040</v>
      </c>
      <c r="T1874" t="str">
        <f>"עמר ליגל"</f>
        <v>עמר ליגל</v>
      </c>
      <c r="U1874">
        <v>0</v>
      </c>
      <c r="V1874">
        <v>0</v>
      </c>
      <c r="W1874">
        <v>373.44</v>
      </c>
      <c r="X1874" s="2">
        <v>2240.64</v>
      </c>
      <c r="Z1874" t="str">
        <f>"Y"</f>
        <v>Y</v>
      </c>
      <c r="AA1874">
        <v>0</v>
      </c>
      <c r="AC1874">
        <v>0</v>
      </c>
      <c r="AE1874">
        <v>0</v>
      </c>
      <c r="AF1874">
        <v>0</v>
      </c>
      <c r="AG1874" s="2">
        <v>1234.97</v>
      </c>
      <c r="AH1874">
        <v>0</v>
      </c>
      <c r="AI1874" s="2">
        <v>7409.8</v>
      </c>
      <c r="AJ1874" s="2">
        <v>2240.64</v>
      </c>
      <c r="AK1874" s="2">
        <v>2240.64</v>
      </c>
      <c r="AL1874" t="str">
        <f>"$"</f>
        <v>$</v>
      </c>
    </row>
    <row r="1875" spans="1:38" x14ac:dyDescent="0.3">
      <c r="A1875" t="str">
        <f>"SO22000316"</f>
        <v>SO22000316</v>
      </c>
      <c r="B1875" t="str">
        <f>"E000369246"</f>
        <v>E000369246</v>
      </c>
      <c r="C1875" t="str">
        <f>"הרכבה חלקית"</f>
        <v>הרכבה חלקית</v>
      </c>
      <c r="E1875" s="3">
        <v>44782</v>
      </c>
      <c r="F1875" s="3">
        <v>44972</v>
      </c>
      <c r="G1875" t="str">
        <f>"700065"</f>
        <v>700065</v>
      </c>
      <c r="H1875" t="str">
        <f>"אלתא מערכות בע""מ"</f>
        <v>אלתא מערכות בע"מ</v>
      </c>
      <c r="I1875" t="str">
        <f>"רחמים זרוק"</f>
        <v>רחמים זרוק</v>
      </c>
      <c r="J1875" t="str">
        <f>"OP-AR03245"</f>
        <v>OP-AR03245</v>
      </c>
      <c r="K1875" s="1" t="str">
        <f>"1031T284-001    CABLE TEST ASSY"</f>
        <v>1031T284-001    CABLE TEST ASSY</v>
      </c>
      <c r="L1875">
        <v>6</v>
      </c>
      <c r="M1875" t="str">
        <f>"PR22000551"</f>
        <v>PR22000551</v>
      </c>
      <c r="N1875" t="str">
        <f>"E000369246"</f>
        <v>E000369246</v>
      </c>
      <c r="O1875">
        <v>391.65</v>
      </c>
      <c r="P1875" t="str">
        <f>"$"</f>
        <v>$</v>
      </c>
      <c r="Q1875" t="str">
        <f>"117"</f>
        <v>117</v>
      </c>
      <c r="R1875" t="str">
        <f>"רתמות"</f>
        <v>רתמות</v>
      </c>
      <c r="S1875" t="str">
        <f>"040"</f>
        <v>040</v>
      </c>
      <c r="T1875" t="str">
        <f>"עמר ליגל"</f>
        <v>עמר ליגל</v>
      </c>
      <c r="U1875">
        <v>0</v>
      </c>
      <c r="V1875">
        <v>0</v>
      </c>
      <c r="W1875">
        <v>391.65</v>
      </c>
      <c r="X1875" s="2">
        <v>2349.9</v>
      </c>
      <c r="Z1875" t="str">
        <f>"Y"</f>
        <v>Y</v>
      </c>
      <c r="AA1875">
        <v>0</v>
      </c>
      <c r="AC1875">
        <v>0</v>
      </c>
      <c r="AE1875">
        <v>0</v>
      </c>
      <c r="AF1875">
        <v>0</v>
      </c>
      <c r="AG1875" s="2">
        <v>1295.19</v>
      </c>
      <c r="AH1875">
        <v>0</v>
      </c>
      <c r="AI1875" s="2">
        <v>7771.12</v>
      </c>
      <c r="AJ1875" s="2">
        <v>2349.9</v>
      </c>
      <c r="AK1875" s="2">
        <v>2349.9</v>
      </c>
      <c r="AL1875" t="str">
        <f>"$"</f>
        <v>$</v>
      </c>
    </row>
    <row r="1876" spans="1:38" x14ac:dyDescent="0.3">
      <c r="A1876" t="str">
        <f>"SO22000316"</f>
        <v>SO22000316</v>
      </c>
      <c r="B1876" t="str">
        <f>"E000369246"</f>
        <v>E000369246</v>
      </c>
      <c r="C1876" t="str">
        <f>"הרכבה חלקית"</f>
        <v>הרכבה חלקית</v>
      </c>
      <c r="E1876" s="3">
        <v>44782</v>
      </c>
      <c r="F1876" s="3">
        <v>44972</v>
      </c>
      <c r="G1876" t="str">
        <f>"700065"</f>
        <v>700065</v>
      </c>
      <c r="H1876" t="str">
        <f>"אלתא מערכות בע""מ"</f>
        <v>אלתא מערכות בע"מ</v>
      </c>
      <c r="I1876" t="str">
        <f>"רחמים זרוק"</f>
        <v>רחמים זרוק</v>
      </c>
      <c r="J1876" t="str">
        <f>"OP-AR01823"</f>
        <v>OP-AR01823</v>
      </c>
      <c r="K1876" s="1" t="str">
        <f>"1036H251-001 HARNESS WC251 - ETHERNET CABLE"</f>
        <v>1036H251-001 HARNESS WC251 - ETHERNET CABLE</v>
      </c>
      <c r="L1876">
        <v>2</v>
      </c>
      <c r="M1876" t="str">
        <f>"PR22000551"</f>
        <v>PR22000551</v>
      </c>
      <c r="N1876" t="str">
        <f>"E000369246"</f>
        <v>E000369246</v>
      </c>
      <c r="O1876">
        <v>202.61</v>
      </c>
      <c r="P1876" t="str">
        <f>"$"</f>
        <v>$</v>
      </c>
      <c r="Q1876" t="str">
        <f>"117"</f>
        <v>117</v>
      </c>
      <c r="R1876" t="str">
        <f>"רתמות"</f>
        <v>רתמות</v>
      </c>
      <c r="S1876" t="str">
        <f>"040"</f>
        <v>040</v>
      </c>
      <c r="T1876" t="str">
        <f>"עמר ליגל"</f>
        <v>עמר ליגל</v>
      </c>
      <c r="U1876">
        <v>0</v>
      </c>
      <c r="V1876">
        <v>0</v>
      </c>
      <c r="W1876">
        <v>202.61</v>
      </c>
      <c r="X1876">
        <v>405.22</v>
      </c>
      <c r="Z1876" t="str">
        <f>"Y"</f>
        <v>Y</v>
      </c>
      <c r="AA1876">
        <v>0</v>
      </c>
      <c r="AC1876">
        <v>0</v>
      </c>
      <c r="AE1876">
        <v>0</v>
      </c>
      <c r="AF1876">
        <v>0</v>
      </c>
      <c r="AG1876">
        <v>670.03</v>
      </c>
      <c r="AH1876">
        <v>0</v>
      </c>
      <c r="AI1876" s="2">
        <v>1340.06</v>
      </c>
      <c r="AJ1876">
        <v>405.22</v>
      </c>
      <c r="AK1876">
        <v>405.22</v>
      </c>
      <c r="AL1876" t="str">
        <f>"$"</f>
        <v>$</v>
      </c>
    </row>
    <row r="1877" spans="1:38" x14ac:dyDescent="0.3">
      <c r="A1877" t="str">
        <f>"SO22000316"</f>
        <v>SO22000316</v>
      </c>
      <c r="B1877" t="str">
        <f>"E000369246"</f>
        <v>E000369246</v>
      </c>
      <c r="C1877" t="str">
        <f>"הרכבה חלקית"</f>
        <v>הרכבה חלקית</v>
      </c>
      <c r="E1877" s="3">
        <v>44782</v>
      </c>
      <c r="F1877" s="3">
        <v>44972</v>
      </c>
      <c r="G1877" t="str">
        <f>"700065"</f>
        <v>700065</v>
      </c>
      <c r="H1877" t="str">
        <f>"אלתא מערכות בע""מ"</f>
        <v>אלתא מערכות בע"מ</v>
      </c>
      <c r="I1877" t="str">
        <f>"רחמים זרוק"</f>
        <v>רחמים זרוק</v>
      </c>
      <c r="J1877" t="str">
        <f>"OP-AR03247"</f>
        <v>OP-AR03247</v>
      </c>
      <c r="K1877" s="1" t="str">
        <f>"1036H252-001    HARNESS WC252 - CONTROL"</f>
        <v>1036H252-001    HARNESS WC252 - CONTROL</v>
      </c>
      <c r="L1877">
        <v>3</v>
      </c>
      <c r="M1877" t="str">
        <f>"PR22000551"</f>
        <v>PR22000551</v>
      </c>
      <c r="N1877" t="str">
        <f>"E000369246"</f>
        <v>E000369246</v>
      </c>
      <c r="O1877">
        <v>735.27</v>
      </c>
      <c r="P1877" t="str">
        <f>"$"</f>
        <v>$</v>
      </c>
      <c r="Q1877" t="str">
        <f>"117"</f>
        <v>117</v>
      </c>
      <c r="R1877" t="str">
        <f>"רתמות"</f>
        <v>רתמות</v>
      </c>
      <c r="S1877" t="str">
        <f>"040"</f>
        <v>040</v>
      </c>
      <c r="T1877" t="str">
        <f>"עמר ליגל"</f>
        <v>עמר ליגל</v>
      </c>
      <c r="U1877">
        <v>0</v>
      </c>
      <c r="V1877">
        <v>0</v>
      </c>
      <c r="W1877">
        <v>735.27</v>
      </c>
      <c r="X1877" s="2">
        <v>2205.81</v>
      </c>
      <c r="Z1877" t="str">
        <f>"Y"</f>
        <v>Y</v>
      </c>
      <c r="AA1877">
        <v>0</v>
      </c>
      <c r="AC1877">
        <v>0</v>
      </c>
      <c r="AE1877">
        <v>0</v>
      </c>
      <c r="AF1877">
        <v>0</v>
      </c>
      <c r="AG1877" s="2">
        <v>2431.54</v>
      </c>
      <c r="AH1877">
        <v>0</v>
      </c>
      <c r="AI1877" s="2">
        <v>7294.61</v>
      </c>
      <c r="AJ1877" s="2">
        <v>2205.81</v>
      </c>
      <c r="AK1877" s="2">
        <v>2205.81</v>
      </c>
      <c r="AL1877" t="str">
        <f>"$"</f>
        <v>$</v>
      </c>
    </row>
    <row r="1878" spans="1:38" x14ac:dyDescent="0.3">
      <c r="A1878" t="str">
        <f>"SO22000316"</f>
        <v>SO22000316</v>
      </c>
      <c r="B1878" t="str">
        <f>"E000369246"</f>
        <v>E000369246</v>
      </c>
      <c r="C1878" t="str">
        <f>"הרכבה חלקית"</f>
        <v>הרכבה חלקית</v>
      </c>
      <c r="E1878" s="3">
        <v>44782</v>
      </c>
      <c r="F1878" s="3">
        <v>44972</v>
      </c>
      <c r="G1878" t="str">
        <f>"700065"</f>
        <v>700065</v>
      </c>
      <c r="H1878" t="str">
        <f>"אלתא מערכות בע""מ"</f>
        <v>אלתא מערכות בע"מ</v>
      </c>
      <c r="I1878" t="str">
        <f>"רחמים זרוק"</f>
        <v>רחמים זרוק</v>
      </c>
      <c r="J1878" t="str">
        <f>"OP-AR03248"</f>
        <v>OP-AR03248</v>
      </c>
      <c r="K1878" s="1" t="str">
        <f>"1036H253-001    HARNESS WC253 - TEST"</f>
        <v>1036H253-001    HARNESS WC253 - TEST</v>
      </c>
      <c r="L1878">
        <v>3</v>
      </c>
      <c r="M1878" t="str">
        <f>"PR22000551"</f>
        <v>PR22000551</v>
      </c>
      <c r="N1878" t="str">
        <f>"E000369246"</f>
        <v>E000369246</v>
      </c>
      <c r="O1878">
        <v>668.64</v>
      </c>
      <c r="P1878" t="str">
        <f>"$"</f>
        <v>$</v>
      </c>
      <c r="Q1878" t="str">
        <f>"117"</f>
        <v>117</v>
      </c>
      <c r="R1878" t="str">
        <f>"רתמות"</f>
        <v>רתמות</v>
      </c>
      <c r="S1878" t="str">
        <f>"040"</f>
        <v>040</v>
      </c>
      <c r="T1878" t="str">
        <f>"עמר ליגל"</f>
        <v>עמר ליגל</v>
      </c>
      <c r="U1878">
        <v>0</v>
      </c>
      <c r="V1878">
        <v>0</v>
      </c>
      <c r="W1878">
        <v>668.64</v>
      </c>
      <c r="X1878" s="2">
        <v>2005.92</v>
      </c>
      <c r="Z1878" t="str">
        <f>"Y"</f>
        <v>Y</v>
      </c>
      <c r="AA1878">
        <v>0</v>
      </c>
      <c r="AC1878">
        <v>0</v>
      </c>
      <c r="AE1878">
        <v>0</v>
      </c>
      <c r="AF1878">
        <v>0</v>
      </c>
      <c r="AG1878" s="2">
        <v>2211.19</v>
      </c>
      <c r="AH1878">
        <v>0</v>
      </c>
      <c r="AI1878" s="2">
        <v>6633.58</v>
      </c>
      <c r="AJ1878" s="2">
        <v>2005.92</v>
      </c>
      <c r="AK1878" s="2">
        <v>2005.92</v>
      </c>
      <c r="AL1878" t="str">
        <f>"$"</f>
        <v>$</v>
      </c>
    </row>
    <row r="1879" spans="1:38" x14ac:dyDescent="0.3">
      <c r="A1879" t="str">
        <f>"SO22000316"</f>
        <v>SO22000316</v>
      </c>
      <c r="B1879" t="str">
        <f>"E000369246"</f>
        <v>E000369246</v>
      </c>
      <c r="C1879" t="str">
        <f>"הרכבה חלקית"</f>
        <v>הרכבה חלקית</v>
      </c>
      <c r="E1879" s="3">
        <v>44782</v>
      </c>
      <c r="F1879" s="3">
        <v>44972</v>
      </c>
      <c r="G1879" t="str">
        <f>"700065"</f>
        <v>700065</v>
      </c>
      <c r="H1879" t="str">
        <f>"אלתא מערכות בע""מ"</f>
        <v>אלתא מערכות בע"מ</v>
      </c>
      <c r="I1879" t="str">
        <f>"רחמים זרוק"</f>
        <v>רחמים זרוק</v>
      </c>
      <c r="J1879" t="str">
        <f>"OP-AR03249"</f>
        <v>OP-AR03249</v>
      </c>
      <c r="K1879" s="1" t="str">
        <f>"1036H254-001    HARNESS WC254 - MB HARNESS (DC2)"</f>
        <v>1036H254-001    HARNESS WC254 - MB HARNESS (DC2)</v>
      </c>
      <c r="L1879">
        <v>2</v>
      </c>
      <c r="M1879" t="str">
        <f>"PR22000551"</f>
        <v>PR22000551</v>
      </c>
      <c r="N1879" t="str">
        <f>"E000369246"</f>
        <v>E000369246</v>
      </c>
      <c r="O1879" s="2">
        <v>2535.36</v>
      </c>
      <c r="P1879" t="str">
        <f>"$"</f>
        <v>$</v>
      </c>
      <c r="Q1879" t="str">
        <f>"117"</f>
        <v>117</v>
      </c>
      <c r="R1879" t="str">
        <f>"רתמות"</f>
        <v>רתמות</v>
      </c>
      <c r="S1879" t="str">
        <f>"040"</f>
        <v>040</v>
      </c>
      <c r="T1879" t="str">
        <f>"עמר ליגל"</f>
        <v>עמר ליגל</v>
      </c>
      <c r="U1879">
        <v>0</v>
      </c>
      <c r="V1879">
        <v>0</v>
      </c>
      <c r="W1879" s="2">
        <v>2535.36</v>
      </c>
      <c r="X1879" s="2">
        <v>5070.72</v>
      </c>
      <c r="Z1879" t="str">
        <f>"Y"</f>
        <v>Y</v>
      </c>
      <c r="AA1879">
        <v>0</v>
      </c>
      <c r="AC1879">
        <v>0</v>
      </c>
      <c r="AE1879">
        <v>0</v>
      </c>
      <c r="AF1879">
        <v>0</v>
      </c>
      <c r="AG1879" s="2">
        <v>8384.44</v>
      </c>
      <c r="AH1879">
        <v>0</v>
      </c>
      <c r="AI1879" s="2">
        <v>16768.87</v>
      </c>
      <c r="AJ1879" s="2">
        <v>5070.72</v>
      </c>
      <c r="AK1879" s="2">
        <v>5070.72</v>
      </c>
      <c r="AL1879" t="str">
        <f>"$"</f>
        <v>$</v>
      </c>
    </row>
    <row r="1880" spans="1:38" x14ac:dyDescent="0.3">
      <c r="A1880" t="str">
        <f>"SO22000316"</f>
        <v>SO22000316</v>
      </c>
      <c r="B1880" t="str">
        <f>"E000369246"</f>
        <v>E000369246</v>
      </c>
      <c r="C1880" t="str">
        <f>"הרכבה חלקית"</f>
        <v>הרכבה חלקית</v>
      </c>
      <c r="E1880" s="3">
        <v>44782</v>
      </c>
      <c r="F1880" s="3">
        <v>44972</v>
      </c>
      <c r="G1880" t="str">
        <f>"700065"</f>
        <v>700065</v>
      </c>
      <c r="H1880" t="str">
        <f>"אלתא מערכות בע""מ"</f>
        <v>אלתא מערכות בע"מ</v>
      </c>
      <c r="I1880" t="str">
        <f>"רחמים זרוק"</f>
        <v>רחמים זרוק</v>
      </c>
      <c r="J1880" t="str">
        <f>"OP-AR03252"</f>
        <v>OP-AR03252</v>
      </c>
      <c r="K1880" s="1" t="str">
        <f>"1036H264-001    HARNESS WC264 - AMP POWER"</f>
        <v>1036H264-001    HARNESS WC264 - AMP POWER</v>
      </c>
      <c r="L1880">
        <v>3</v>
      </c>
      <c r="M1880" t="str">
        <f>"PR22000551"</f>
        <v>PR22000551</v>
      </c>
      <c r="N1880" t="str">
        <f>"E000369246"</f>
        <v>E000369246</v>
      </c>
      <c r="O1880">
        <v>137.31</v>
      </c>
      <c r="P1880" t="str">
        <f>"$"</f>
        <v>$</v>
      </c>
      <c r="Q1880" t="str">
        <f>"117"</f>
        <v>117</v>
      </c>
      <c r="R1880" t="str">
        <f>"רתמות"</f>
        <v>רתמות</v>
      </c>
      <c r="S1880" t="str">
        <f>"040"</f>
        <v>040</v>
      </c>
      <c r="T1880" t="str">
        <f>"עמר ליגל"</f>
        <v>עמר ליגל</v>
      </c>
      <c r="U1880">
        <v>0</v>
      </c>
      <c r="V1880">
        <v>0</v>
      </c>
      <c r="W1880">
        <v>137.31</v>
      </c>
      <c r="X1880">
        <v>411.93</v>
      </c>
      <c r="Z1880" t="str">
        <f>"Y"</f>
        <v>Y</v>
      </c>
      <c r="AA1880">
        <v>0</v>
      </c>
      <c r="AC1880">
        <v>0</v>
      </c>
      <c r="AE1880">
        <v>0</v>
      </c>
      <c r="AF1880">
        <v>0</v>
      </c>
      <c r="AG1880">
        <v>454.08</v>
      </c>
      <c r="AH1880">
        <v>0</v>
      </c>
      <c r="AI1880" s="2">
        <v>1362.25</v>
      </c>
      <c r="AJ1880">
        <v>411.93</v>
      </c>
      <c r="AK1880">
        <v>411.93</v>
      </c>
      <c r="AL1880" t="str">
        <f>"$"</f>
        <v>$</v>
      </c>
    </row>
    <row r="1881" spans="1:38" x14ac:dyDescent="0.3">
      <c r="A1881" t="str">
        <f>"SO22000316"</f>
        <v>SO22000316</v>
      </c>
      <c r="B1881" t="str">
        <f>"E000369246"</f>
        <v>E000369246</v>
      </c>
      <c r="C1881" t="str">
        <f>"הרכבה חלקית"</f>
        <v>הרכבה חלקית</v>
      </c>
      <c r="E1881" s="3">
        <v>44782</v>
      </c>
      <c r="F1881" s="3">
        <v>44972</v>
      </c>
      <c r="G1881" t="str">
        <f>"700065"</f>
        <v>700065</v>
      </c>
      <c r="H1881" t="str">
        <f>"אלתא מערכות בע""מ"</f>
        <v>אלתא מערכות בע"מ</v>
      </c>
      <c r="I1881" t="str">
        <f>"רחמים זרוק"</f>
        <v>רחמים זרוק</v>
      </c>
      <c r="J1881" t="str">
        <f>"OP-AR03253"</f>
        <v>OP-AR03253</v>
      </c>
      <c r="K1881" s="1" t="str">
        <f>"1036H284-001    HARNESS WC284 - MB TO PS1"</f>
        <v>1036H284-001    HARNESS WC284 - MB TO PS1</v>
      </c>
      <c r="L1881">
        <v>3</v>
      </c>
      <c r="M1881" t="str">
        <f>"PR22000551"</f>
        <v>PR22000551</v>
      </c>
      <c r="N1881" t="str">
        <f>"E000369246"</f>
        <v>E000369246</v>
      </c>
      <c r="O1881">
        <v>319.44</v>
      </c>
      <c r="P1881" t="str">
        <f>"$"</f>
        <v>$</v>
      </c>
      <c r="Q1881" t="str">
        <f>"117"</f>
        <v>117</v>
      </c>
      <c r="R1881" t="str">
        <f>"רתמות"</f>
        <v>רתמות</v>
      </c>
      <c r="S1881" t="str">
        <f>"040"</f>
        <v>040</v>
      </c>
      <c r="T1881" t="str">
        <f>"עמר ליגל"</f>
        <v>עמר ליגל</v>
      </c>
      <c r="U1881">
        <v>0</v>
      </c>
      <c r="V1881">
        <v>0</v>
      </c>
      <c r="W1881">
        <v>319.44</v>
      </c>
      <c r="X1881">
        <v>958.32</v>
      </c>
      <c r="Z1881" t="str">
        <f>"Y"</f>
        <v>Y</v>
      </c>
      <c r="AA1881">
        <v>0</v>
      </c>
      <c r="AC1881">
        <v>0</v>
      </c>
      <c r="AE1881">
        <v>0</v>
      </c>
      <c r="AF1881">
        <v>0</v>
      </c>
      <c r="AG1881" s="2">
        <v>1056.3900000000001</v>
      </c>
      <c r="AH1881">
        <v>0</v>
      </c>
      <c r="AI1881" s="2">
        <v>3169.16</v>
      </c>
      <c r="AJ1881">
        <v>958.32</v>
      </c>
      <c r="AK1881">
        <v>958.32</v>
      </c>
      <c r="AL1881" t="str">
        <f>"$"</f>
        <v>$</v>
      </c>
    </row>
    <row r="1882" spans="1:38" x14ac:dyDescent="0.3">
      <c r="A1882" t="str">
        <f>"SO22000316"</f>
        <v>SO22000316</v>
      </c>
      <c r="B1882" t="str">
        <f>"E000369246"</f>
        <v>E000369246</v>
      </c>
      <c r="C1882" t="str">
        <f>"הרכבה חלקית"</f>
        <v>הרכבה חלקית</v>
      </c>
      <c r="E1882" s="3">
        <v>44782</v>
      </c>
      <c r="F1882" s="3">
        <v>44972</v>
      </c>
      <c r="G1882" t="str">
        <f>"700065"</f>
        <v>700065</v>
      </c>
      <c r="H1882" t="str">
        <f>"אלתא מערכות בע""מ"</f>
        <v>אלתא מערכות בע"מ</v>
      </c>
      <c r="I1882" t="str">
        <f>"רחמים זרוק"</f>
        <v>רחמים זרוק</v>
      </c>
      <c r="J1882" t="str">
        <f>"OP-AR03254"</f>
        <v>OP-AR03254</v>
      </c>
      <c r="K1882" s="1" t="str">
        <f>"1036H285-001    HARNESS WC285 - MB TO PS2"</f>
        <v>1036H285-001    HARNESS WC285 - MB TO PS2</v>
      </c>
      <c r="L1882">
        <v>3</v>
      </c>
      <c r="M1882" t="str">
        <f>"PR22000551"</f>
        <v>PR22000551</v>
      </c>
      <c r="N1882" t="str">
        <f>"E000369246"</f>
        <v>E000369246</v>
      </c>
      <c r="O1882">
        <v>185.71</v>
      </c>
      <c r="P1882" t="str">
        <f>"$"</f>
        <v>$</v>
      </c>
      <c r="Q1882" t="str">
        <f>"117"</f>
        <v>117</v>
      </c>
      <c r="R1882" t="str">
        <f>"רתמות"</f>
        <v>רתמות</v>
      </c>
      <c r="S1882" t="str">
        <f>"040"</f>
        <v>040</v>
      </c>
      <c r="T1882" t="str">
        <f>"עמר ליגל"</f>
        <v>עמר ליגל</v>
      </c>
      <c r="U1882">
        <v>0</v>
      </c>
      <c r="V1882">
        <v>0</v>
      </c>
      <c r="W1882">
        <v>185.71</v>
      </c>
      <c r="X1882">
        <v>557.13</v>
      </c>
      <c r="Z1882" t="str">
        <f>"Y"</f>
        <v>Y</v>
      </c>
      <c r="AA1882">
        <v>0</v>
      </c>
      <c r="AC1882">
        <v>0</v>
      </c>
      <c r="AE1882">
        <v>0</v>
      </c>
      <c r="AF1882">
        <v>0</v>
      </c>
      <c r="AG1882">
        <v>614.14</v>
      </c>
      <c r="AH1882">
        <v>0</v>
      </c>
      <c r="AI1882" s="2">
        <v>1842.43</v>
      </c>
      <c r="AJ1882">
        <v>557.13</v>
      </c>
      <c r="AK1882">
        <v>557.13</v>
      </c>
      <c r="AL1882" t="str">
        <f>"$"</f>
        <v>$</v>
      </c>
    </row>
    <row r="1883" spans="1:38" x14ac:dyDescent="0.3">
      <c r="A1883" t="str">
        <f>"SO22000316"</f>
        <v>SO22000316</v>
      </c>
      <c r="B1883" t="str">
        <f>"E000369246"</f>
        <v>E000369246</v>
      </c>
      <c r="C1883" t="str">
        <f>"הרכבה חלקית"</f>
        <v>הרכבה חלקית</v>
      </c>
      <c r="E1883" s="3">
        <v>44782</v>
      </c>
      <c r="F1883" s="3">
        <v>44972</v>
      </c>
      <c r="G1883" t="str">
        <f>"700065"</f>
        <v>700065</v>
      </c>
      <c r="H1883" t="str">
        <f>"אלתא מערכות בע""מ"</f>
        <v>אלתא מערכות בע"מ</v>
      </c>
      <c r="I1883" t="str">
        <f>"רחמים זרוק"</f>
        <v>רחמים זרוק</v>
      </c>
      <c r="J1883" t="str">
        <f>"OP-AR03255"</f>
        <v>OP-AR03255</v>
      </c>
      <c r="K1883" s="1" t="str">
        <f>"1036H286-001    HARNESS WC286 - POWER TO PS1"</f>
        <v>1036H286-001    HARNESS WC286 - POWER TO PS1</v>
      </c>
      <c r="L1883">
        <v>3</v>
      </c>
      <c r="M1883" t="str">
        <f>"PR22000551"</f>
        <v>PR22000551</v>
      </c>
      <c r="N1883" t="str">
        <f>"E000369246"</f>
        <v>E000369246</v>
      </c>
      <c r="O1883">
        <v>69.430000000000007</v>
      </c>
      <c r="P1883" t="str">
        <f>"$"</f>
        <v>$</v>
      </c>
      <c r="Q1883" t="str">
        <f>"117"</f>
        <v>117</v>
      </c>
      <c r="R1883" t="str">
        <f>"רתמות"</f>
        <v>רתמות</v>
      </c>
      <c r="S1883" t="str">
        <f>"040"</f>
        <v>040</v>
      </c>
      <c r="T1883" t="str">
        <f>"עמר ליגל"</f>
        <v>עמר ליגל</v>
      </c>
      <c r="U1883">
        <v>0</v>
      </c>
      <c r="V1883">
        <v>0</v>
      </c>
      <c r="W1883">
        <v>69.430000000000007</v>
      </c>
      <c r="X1883">
        <v>208.29</v>
      </c>
      <c r="Z1883" t="str">
        <f>"Y"</f>
        <v>Y</v>
      </c>
      <c r="AA1883">
        <v>0</v>
      </c>
      <c r="AC1883">
        <v>0</v>
      </c>
      <c r="AE1883">
        <v>0</v>
      </c>
      <c r="AF1883">
        <v>0</v>
      </c>
      <c r="AG1883">
        <v>229.61</v>
      </c>
      <c r="AH1883">
        <v>0</v>
      </c>
      <c r="AI1883">
        <v>688.82</v>
      </c>
      <c r="AJ1883">
        <v>208.29</v>
      </c>
      <c r="AK1883">
        <v>208.29</v>
      </c>
      <c r="AL1883" t="str">
        <f>"$"</f>
        <v>$</v>
      </c>
    </row>
    <row r="1884" spans="1:38" x14ac:dyDescent="0.3">
      <c r="A1884" t="str">
        <f>"SO22000316"</f>
        <v>SO22000316</v>
      </c>
      <c r="B1884" t="str">
        <f>"E000369246"</f>
        <v>E000369246</v>
      </c>
      <c r="C1884" t="str">
        <f>"הרכבה חלקית"</f>
        <v>הרכבה חלקית</v>
      </c>
      <c r="E1884" s="3">
        <v>44782</v>
      </c>
      <c r="F1884" s="3">
        <v>44972</v>
      </c>
      <c r="G1884" t="str">
        <f>"700065"</f>
        <v>700065</v>
      </c>
      <c r="H1884" t="str">
        <f>"אלתא מערכות בע""מ"</f>
        <v>אלתא מערכות בע"מ</v>
      </c>
      <c r="I1884" t="str">
        <f>"רחמים זרוק"</f>
        <v>רחמים זרוק</v>
      </c>
      <c r="J1884" t="str">
        <f>"OP-AR03256"</f>
        <v>OP-AR03256</v>
      </c>
      <c r="K1884" s="1" t="str">
        <f>"1036H287-001    HARNESS WC287 - POWER TO PS2"</f>
        <v>1036H287-001    HARNESS WC287 - POWER TO PS2</v>
      </c>
      <c r="L1884">
        <v>3</v>
      </c>
      <c r="M1884" t="str">
        <f>"PR22000551"</f>
        <v>PR22000551</v>
      </c>
      <c r="N1884" t="str">
        <f>"E000369246"</f>
        <v>E000369246</v>
      </c>
      <c r="O1884">
        <v>69.430000000000007</v>
      </c>
      <c r="P1884" t="str">
        <f>"$"</f>
        <v>$</v>
      </c>
      <c r="Q1884" t="str">
        <f>"117"</f>
        <v>117</v>
      </c>
      <c r="R1884" t="str">
        <f>"רתמות"</f>
        <v>רתמות</v>
      </c>
      <c r="S1884" t="str">
        <f>"040"</f>
        <v>040</v>
      </c>
      <c r="T1884" t="str">
        <f>"עמר ליגל"</f>
        <v>עמר ליגל</v>
      </c>
      <c r="U1884">
        <v>0</v>
      </c>
      <c r="V1884">
        <v>0</v>
      </c>
      <c r="W1884">
        <v>69.430000000000007</v>
      </c>
      <c r="X1884">
        <v>208.29</v>
      </c>
      <c r="Z1884" t="str">
        <f>"Y"</f>
        <v>Y</v>
      </c>
      <c r="AA1884">
        <v>0</v>
      </c>
      <c r="AC1884">
        <v>0</v>
      </c>
      <c r="AE1884">
        <v>0</v>
      </c>
      <c r="AF1884">
        <v>0</v>
      </c>
      <c r="AG1884">
        <v>229.61</v>
      </c>
      <c r="AH1884">
        <v>0</v>
      </c>
      <c r="AI1884">
        <v>688.82</v>
      </c>
      <c r="AJ1884">
        <v>208.29</v>
      </c>
      <c r="AK1884">
        <v>208.29</v>
      </c>
      <c r="AL1884" t="str">
        <f>"$"</f>
        <v>$</v>
      </c>
    </row>
    <row r="1885" spans="1:38" x14ac:dyDescent="0.3">
      <c r="A1885" t="str">
        <f>"SO22000316"</f>
        <v>SO22000316</v>
      </c>
      <c r="B1885" t="str">
        <f>"E000369246"</f>
        <v>E000369246</v>
      </c>
      <c r="C1885" t="str">
        <f>"הרכבה חלקית"</f>
        <v>הרכבה חלקית</v>
      </c>
      <c r="E1885" s="3">
        <v>44782</v>
      </c>
      <c r="F1885" s="3">
        <v>44972</v>
      </c>
      <c r="G1885" t="str">
        <f>"700065"</f>
        <v>700065</v>
      </c>
      <c r="H1885" t="str">
        <f>"אלתא מערכות בע""מ"</f>
        <v>אלתא מערכות בע"מ</v>
      </c>
      <c r="I1885" t="str">
        <f>"רחמים זרוק"</f>
        <v>רחמים זרוק</v>
      </c>
      <c r="J1885" t="str">
        <f>"OP-AR03257"</f>
        <v>OP-AR03257</v>
      </c>
      <c r="K1885" s="1" t="str">
        <f>"1036H288-001    HARNESS WC288 - FANS"</f>
        <v>1036H288-001    HARNESS WC288 - FANS</v>
      </c>
      <c r="L1885">
        <v>3</v>
      </c>
      <c r="M1885" t="str">
        <f>"PR22000551"</f>
        <v>PR22000551</v>
      </c>
      <c r="N1885" t="str">
        <f>"E000369246"</f>
        <v>E000369246</v>
      </c>
      <c r="O1885">
        <v>473.37</v>
      </c>
      <c r="P1885" t="str">
        <f>"$"</f>
        <v>$</v>
      </c>
      <c r="Q1885" t="str">
        <f>"117"</f>
        <v>117</v>
      </c>
      <c r="R1885" t="str">
        <f>"רתמות"</f>
        <v>רתמות</v>
      </c>
      <c r="S1885" t="str">
        <f>"040"</f>
        <v>040</v>
      </c>
      <c r="T1885" t="str">
        <f>"עמר ליגל"</f>
        <v>עמר ליגל</v>
      </c>
      <c r="U1885">
        <v>0</v>
      </c>
      <c r="V1885">
        <v>0</v>
      </c>
      <c r="W1885">
        <v>473.37</v>
      </c>
      <c r="X1885" s="2">
        <v>1420.11</v>
      </c>
      <c r="Z1885" t="str">
        <f>"Y"</f>
        <v>Y</v>
      </c>
      <c r="AA1885">
        <v>0</v>
      </c>
      <c r="AC1885">
        <v>0</v>
      </c>
      <c r="AE1885">
        <v>0</v>
      </c>
      <c r="AF1885">
        <v>0</v>
      </c>
      <c r="AG1885" s="2">
        <v>1565.43</v>
      </c>
      <c r="AH1885">
        <v>0</v>
      </c>
      <c r="AI1885" s="2">
        <v>4696.3</v>
      </c>
      <c r="AJ1885" s="2">
        <v>1420.11</v>
      </c>
      <c r="AK1885" s="2">
        <v>1420.11</v>
      </c>
      <c r="AL1885" t="str">
        <f>"$"</f>
        <v>$</v>
      </c>
    </row>
    <row r="1886" spans="1:38" x14ac:dyDescent="0.3">
      <c r="A1886" t="str">
        <f>"SO22000316"</f>
        <v>SO22000316</v>
      </c>
      <c r="B1886" t="str">
        <f>"E000369246"</f>
        <v>E000369246</v>
      </c>
      <c r="C1886" t="str">
        <f>"הרכבה חלקית"</f>
        <v>הרכבה חלקית</v>
      </c>
      <c r="E1886" s="3">
        <v>44782</v>
      </c>
      <c r="F1886" s="3">
        <v>44972</v>
      </c>
      <c r="G1886" t="str">
        <f>"700065"</f>
        <v>700065</v>
      </c>
      <c r="H1886" t="str">
        <f>"אלתא מערכות בע""מ"</f>
        <v>אלתא מערכות בע"מ</v>
      </c>
      <c r="I1886" t="str">
        <f>"רחמים זרוק"</f>
        <v>רחמים זרוק</v>
      </c>
      <c r="J1886" t="str">
        <f>"OP-AR03258"</f>
        <v>OP-AR03258</v>
      </c>
      <c r="K1886" s="1" t="str">
        <f>"1036H289-001    HARNESS WC289 - OPTIC CARD POWER"</f>
        <v>1036H289-001    HARNESS WC289 - OPTIC CARD POWER</v>
      </c>
      <c r="L1886">
        <v>3</v>
      </c>
      <c r="M1886" t="str">
        <f>"PR22000551"</f>
        <v>PR22000551</v>
      </c>
      <c r="N1886" t="str">
        <f>"E000369246"</f>
        <v>E000369246</v>
      </c>
      <c r="O1886">
        <v>90.05</v>
      </c>
      <c r="P1886" t="str">
        <f>"$"</f>
        <v>$</v>
      </c>
      <c r="Q1886" t="str">
        <f>"117"</f>
        <v>117</v>
      </c>
      <c r="R1886" t="str">
        <f>"רתמות"</f>
        <v>רתמות</v>
      </c>
      <c r="S1886" t="str">
        <f>"040"</f>
        <v>040</v>
      </c>
      <c r="T1886" t="str">
        <f>"עמר ליגל"</f>
        <v>עמר ליגל</v>
      </c>
      <c r="U1886">
        <v>0</v>
      </c>
      <c r="V1886">
        <v>0</v>
      </c>
      <c r="W1886">
        <v>90.05</v>
      </c>
      <c r="X1886">
        <v>270.14999999999998</v>
      </c>
      <c r="Z1886" t="str">
        <f>"Y"</f>
        <v>Y</v>
      </c>
      <c r="AA1886">
        <v>0</v>
      </c>
      <c r="AC1886">
        <v>0</v>
      </c>
      <c r="AE1886">
        <v>0</v>
      </c>
      <c r="AF1886">
        <v>0</v>
      </c>
      <c r="AG1886">
        <v>297.8</v>
      </c>
      <c r="AH1886">
        <v>0</v>
      </c>
      <c r="AI1886">
        <v>893.39</v>
      </c>
      <c r="AJ1886">
        <v>270.14999999999998</v>
      </c>
      <c r="AK1886">
        <v>270.14999999999998</v>
      </c>
      <c r="AL1886" t="str">
        <f>"$"</f>
        <v>$</v>
      </c>
    </row>
    <row r="1887" spans="1:38" x14ac:dyDescent="0.3">
      <c r="A1887" t="str">
        <f>"SO22000316"</f>
        <v>SO22000316</v>
      </c>
      <c r="B1887" t="str">
        <f>"E000369246"</f>
        <v>E000369246</v>
      </c>
      <c r="C1887" t="str">
        <f>"הרכבה חלקית"</f>
        <v>הרכבה חלקית</v>
      </c>
      <c r="E1887" s="3">
        <v>44782</v>
      </c>
      <c r="F1887" s="3">
        <v>45106</v>
      </c>
      <c r="G1887" t="str">
        <f>"700065"</f>
        <v>700065</v>
      </c>
      <c r="H1887" t="str">
        <f>"אלתא מערכות בע""מ"</f>
        <v>אלתא מערכות בע"מ</v>
      </c>
      <c r="I1887" t="str">
        <f>"רחמים זרוק"</f>
        <v>רחמים זרוק</v>
      </c>
      <c r="J1887" t="str">
        <f>"OP-AR03535"</f>
        <v>OP-AR03535</v>
      </c>
      <c r="K1887" s="1" t="str">
        <f>"1040K363-001    HARNESS WC363 - FAN1, FAN2"</f>
        <v>1040K363-001    HARNESS WC363 - FAN1, FAN2</v>
      </c>
      <c r="L1887">
        <v>6</v>
      </c>
      <c r="M1887" t="str">
        <f>"PR22000551"</f>
        <v>PR22000551</v>
      </c>
      <c r="N1887" t="str">
        <f>"E000369246"</f>
        <v>E000369246</v>
      </c>
      <c r="O1887" s="2">
        <v>3406.66</v>
      </c>
      <c r="P1887" t="str">
        <f>"$"</f>
        <v>$</v>
      </c>
      <c r="Q1887" t="str">
        <f>"117"</f>
        <v>117</v>
      </c>
      <c r="R1887" t="str">
        <f>"רתמות"</f>
        <v>רתמות</v>
      </c>
      <c r="S1887" t="str">
        <f>"040"</f>
        <v>040</v>
      </c>
      <c r="T1887" t="str">
        <f>"עמר ליגל"</f>
        <v>עמר ליגל</v>
      </c>
      <c r="U1887">
        <v>0</v>
      </c>
      <c r="V1887">
        <v>0</v>
      </c>
      <c r="W1887" s="2">
        <v>3406.66</v>
      </c>
      <c r="X1887" s="2">
        <v>20439.96</v>
      </c>
      <c r="AA1887">
        <v>6</v>
      </c>
      <c r="AC1887">
        <v>0</v>
      </c>
      <c r="AE1887">
        <v>0</v>
      </c>
      <c r="AF1887">
        <v>0</v>
      </c>
      <c r="AG1887" s="2">
        <v>11265.82</v>
      </c>
      <c r="AH1887">
        <v>0</v>
      </c>
      <c r="AI1887" s="2">
        <v>67594.95</v>
      </c>
      <c r="AJ1887" s="2">
        <v>20439.96</v>
      </c>
      <c r="AK1887" s="2">
        <v>20439.96</v>
      </c>
      <c r="AL1887" t="str">
        <f>"$"</f>
        <v>$</v>
      </c>
    </row>
    <row r="1888" spans="1:38" x14ac:dyDescent="0.3">
      <c r="A1888" t="str">
        <f>"SO22000316"</f>
        <v>SO22000316</v>
      </c>
      <c r="B1888" t="str">
        <f>"E000369246"</f>
        <v>E000369246</v>
      </c>
      <c r="C1888" t="str">
        <f>"הרכבה חלקית"</f>
        <v>הרכבה חלקית</v>
      </c>
      <c r="E1888" s="3">
        <v>44782</v>
      </c>
      <c r="F1888" s="3">
        <v>45106</v>
      </c>
      <c r="G1888" t="str">
        <f>"700065"</f>
        <v>700065</v>
      </c>
      <c r="H1888" t="str">
        <f>"אלתא מערכות בע""מ"</f>
        <v>אלתא מערכות בע"מ</v>
      </c>
      <c r="I1888" t="str">
        <f>"רחמים זרוק"</f>
        <v>רחמים זרוק</v>
      </c>
      <c r="J1888" t="str">
        <f>"OP-AR03534"</f>
        <v>OP-AR03534</v>
      </c>
      <c r="K1888" s="1" t="str">
        <f>"1040K362-001    HARNESS WC362 - FAN3, FAN4"</f>
        <v>1040K362-001    HARNESS WC362 - FAN3, FAN4</v>
      </c>
      <c r="L1888">
        <v>6</v>
      </c>
      <c r="M1888" t="str">
        <f>"PR22000551"</f>
        <v>PR22000551</v>
      </c>
      <c r="N1888" t="str">
        <f>"E000369246"</f>
        <v>E000369246</v>
      </c>
      <c r="O1888" s="2">
        <v>3407.37</v>
      </c>
      <c r="P1888" t="str">
        <f>"$"</f>
        <v>$</v>
      </c>
      <c r="Q1888" t="str">
        <f>"117"</f>
        <v>117</v>
      </c>
      <c r="R1888" t="str">
        <f>"רתמות"</f>
        <v>רתמות</v>
      </c>
      <c r="S1888" t="str">
        <f>"040"</f>
        <v>040</v>
      </c>
      <c r="T1888" t="str">
        <f>"עמר ליגל"</f>
        <v>עמר ליגל</v>
      </c>
      <c r="U1888">
        <v>0</v>
      </c>
      <c r="V1888">
        <v>0</v>
      </c>
      <c r="W1888" s="2">
        <v>3407.37</v>
      </c>
      <c r="X1888" s="2">
        <v>20444.22</v>
      </c>
      <c r="AA1888">
        <v>6</v>
      </c>
      <c r="AC1888">
        <v>0</v>
      </c>
      <c r="AE1888">
        <v>0</v>
      </c>
      <c r="AF1888">
        <v>0</v>
      </c>
      <c r="AG1888" s="2">
        <v>11268.17</v>
      </c>
      <c r="AH1888">
        <v>0</v>
      </c>
      <c r="AI1888" s="2">
        <v>67609.039999999994</v>
      </c>
      <c r="AJ1888" s="2">
        <v>20444.22</v>
      </c>
      <c r="AK1888" s="2">
        <v>20444.22</v>
      </c>
      <c r="AL1888" t="str">
        <f>"$"</f>
        <v>$</v>
      </c>
    </row>
    <row r="1889" spans="1:38" x14ac:dyDescent="0.3">
      <c r="A1889" t="str">
        <f>"SO22000317"</f>
        <v>SO22000317</v>
      </c>
      <c r="B1889" t="str">
        <f>"E000371826"</f>
        <v>E000371826</v>
      </c>
      <c r="C1889" t="str">
        <f>"בוצעה"</f>
        <v>בוצעה</v>
      </c>
      <c r="E1889" s="3">
        <v>44782</v>
      </c>
      <c r="F1889" s="3">
        <v>44925</v>
      </c>
      <c r="G1889" t="str">
        <f>"700065"</f>
        <v>700065</v>
      </c>
      <c r="H1889" t="str">
        <f>"אלתא מערכות בע""מ"</f>
        <v>אלתא מערכות בע"מ</v>
      </c>
      <c r="I1889" t="str">
        <f>"ערן שלו"</f>
        <v>ערן שלו</v>
      </c>
      <c r="J1889" t="str">
        <f>"CB1100256"</f>
        <v>CB1100256</v>
      </c>
      <c r="K1889" s="1" t="str">
        <f>"F/O HARNESS WF387 PSP TO I/O J2"</f>
        <v>F/O HARNESS WF387 PSP TO I/O J2</v>
      </c>
      <c r="L1889">
        <v>1</v>
      </c>
      <c r="M1889" t="str">
        <f>"PR21000417"</f>
        <v>PR21000417</v>
      </c>
      <c r="N1889" t="str">
        <f>"01 COMPUTER RACK"</f>
        <v>01 COMPUTER RACK</v>
      </c>
      <c r="O1889">
        <v>0</v>
      </c>
      <c r="P1889" t="str">
        <f>"$"</f>
        <v>$</v>
      </c>
      <c r="Q1889" t="str">
        <f>"117"</f>
        <v>117</v>
      </c>
      <c r="R1889" t="str">
        <f>"רתמות"</f>
        <v>רתמות</v>
      </c>
      <c r="S1889" t="str">
        <f>"034"</f>
        <v>034</v>
      </c>
      <c r="T1889" t="str">
        <f>"עמר ליגל"</f>
        <v>עמר ליגל</v>
      </c>
      <c r="U1889">
        <v>0</v>
      </c>
      <c r="V1889">
        <v>0</v>
      </c>
      <c r="W1889">
        <v>0</v>
      </c>
      <c r="X1889">
        <v>0</v>
      </c>
      <c r="Z1889" t="str">
        <f>"Y"</f>
        <v>Y</v>
      </c>
      <c r="AA1889">
        <v>1</v>
      </c>
      <c r="AC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 t="str">
        <f>"$"</f>
        <v>$</v>
      </c>
    </row>
    <row r="1890" spans="1:38" x14ac:dyDescent="0.3">
      <c r="A1890" t="str">
        <f>"SO22000317"</f>
        <v>SO22000317</v>
      </c>
      <c r="B1890" t="str">
        <f>"E000371826"</f>
        <v>E000371826</v>
      </c>
      <c r="C1890" t="str">
        <f>"בוצעה"</f>
        <v>בוצעה</v>
      </c>
      <c r="E1890" s="3">
        <v>44782</v>
      </c>
      <c r="F1890" s="3">
        <v>44925</v>
      </c>
      <c r="G1890" t="str">
        <f>"700065"</f>
        <v>700065</v>
      </c>
      <c r="H1890" t="str">
        <f>"אלתא מערכות בע""מ"</f>
        <v>אלתא מערכות בע"מ</v>
      </c>
      <c r="I1890" t="str">
        <f>"ערן שלו"</f>
        <v>ערן שלו</v>
      </c>
      <c r="J1890" t="str">
        <f>"CB1100257"</f>
        <v>CB1100257</v>
      </c>
      <c r="K1890" s="1" t="str">
        <f>"F/O HARNESS WF388 OLM TO I/O J3"</f>
        <v>F/O HARNESS WF388 OLM TO I/O J3</v>
      </c>
      <c r="L1890">
        <v>1</v>
      </c>
      <c r="M1890" t="str">
        <f>"PR21000417"</f>
        <v>PR21000417</v>
      </c>
      <c r="N1890" t="str">
        <f>"01 COMPUTER RACK"</f>
        <v>01 COMPUTER RACK</v>
      </c>
      <c r="O1890">
        <v>0</v>
      </c>
      <c r="P1890" t="str">
        <f>"$"</f>
        <v>$</v>
      </c>
      <c r="Q1890" t="str">
        <f>"117"</f>
        <v>117</v>
      </c>
      <c r="R1890" t="str">
        <f>"רתמות"</f>
        <v>רתמות</v>
      </c>
      <c r="S1890" t="str">
        <f>"034"</f>
        <v>034</v>
      </c>
      <c r="T1890" t="str">
        <f>"עמר ליגל"</f>
        <v>עמר ליגל</v>
      </c>
      <c r="U1890">
        <v>0</v>
      </c>
      <c r="V1890">
        <v>0</v>
      </c>
      <c r="W1890">
        <v>0</v>
      </c>
      <c r="X1890">
        <v>0</v>
      </c>
      <c r="Z1890" t="str">
        <f>"Y"</f>
        <v>Y</v>
      </c>
      <c r="AA1890">
        <v>1</v>
      </c>
      <c r="AC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 t="str">
        <f>"$"</f>
        <v>$</v>
      </c>
    </row>
    <row r="1891" spans="1:38" x14ac:dyDescent="0.3">
      <c r="A1891" t="str">
        <f>"SO22000317"</f>
        <v>SO22000317</v>
      </c>
      <c r="B1891" t="str">
        <f>"E000371826"</f>
        <v>E000371826</v>
      </c>
      <c r="C1891" t="str">
        <f>"בוצעה"</f>
        <v>בוצעה</v>
      </c>
      <c r="E1891" s="3">
        <v>44782</v>
      </c>
      <c r="F1891" s="3">
        <v>44872</v>
      </c>
      <c r="G1891" t="str">
        <f>"700065"</f>
        <v>700065</v>
      </c>
      <c r="H1891" t="str">
        <f>"אלתא מערכות בע""מ"</f>
        <v>אלתא מערכות בע"מ</v>
      </c>
      <c r="I1891" t="str">
        <f>"ערן שלו"</f>
        <v>ערן שלו</v>
      </c>
      <c r="J1891" t="str">
        <f>"000"</f>
        <v>000</v>
      </c>
      <c r="K1891" s="1" t="str">
        <f>"תיקון ובדיקה כבלי CB1100257+C"</f>
        <v>תיקון ובדיקה כבלי CB1100257+C</v>
      </c>
      <c r="L1891">
        <v>1</v>
      </c>
      <c r="O1891" s="2">
        <v>3046</v>
      </c>
      <c r="P1891" t="str">
        <f>"$"</f>
        <v>$</v>
      </c>
      <c r="Q1891" t="str">
        <f>"117"</f>
        <v>117</v>
      </c>
      <c r="R1891" t="str">
        <f>"רתמות"</f>
        <v>רתמות</v>
      </c>
      <c r="S1891" t="str">
        <f>"034"</f>
        <v>034</v>
      </c>
      <c r="T1891" t="str">
        <f>"עמר ליגל"</f>
        <v>עמר ליגל</v>
      </c>
      <c r="U1891">
        <v>0</v>
      </c>
      <c r="V1891">
        <v>0</v>
      </c>
      <c r="W1891" s="2">
        <v>3046</v>
      </c>
      <c r="X1891" s="2">
        <v>3046</v>
      </c>
      <c r="Z1891" t="str">
        <f>"Y"</f>
        <v>Y</v>
      </c>
      <c r="AA1891">
        <v>1</v>
      </c>
      <c r="AC1891">
        <v>0</v>
      </c>
      <c r="AE1891">
        <v>0</v>
      </c>
      <c r="AF1891">
        <v>0</v>
      </c>
      <c r="AG1891" s="2">
        <v>10073.120000000001</v>
      </c>
      <c r="AH1891">
        <v>0</v>
      </c>
      <c r="AI1891" s="2">
        <v>10073.120000000001</v>
      </c>
      <c r="AJ1891" s="2">
        <v>3046</v>
      </c>
      <c r="AK1891" s="2">
        <v>3046</v>
      </c>
      <c r="AL1891" t="str">
        <f>"$"</f>
        <v>$</v>
      </c>
    </row>
    <row r="1892" spans="1:38" x14ac:dyDescent="0.3">
      <c r="A1892" t="str">
        <f>"SO22000318"</f>
        <v>SO22000318</v>
      </c>
      <c r="B1892" t="str">
        <f>"פנימית אלתא"</f>
        <v>פנימית אלתא</v>
      </c>
      <c r="C1892" t="str">
        <f>"בוצעה"</f>
        <v>בוצעה</v>
      </c>
      <c r="E1892" s="3">
        <v>44782</v>
      </c>
      <c r="F1892" s="3">
        <v>44782</v>
      </c>
      <c r="G1892" t="str">
        <f>"700065"</f>
        <v>700065</v>
      </c>
      <c r="H1892" t="str">
        <f>"אלתא מערכות בע""מ"</f>
        <v>אלתא מערכות בע"מ</v>
      </c>
      <c r="I1892" t="str">
        <f>"ערן שלו"</f>
        <v>ערן שלו</v>
      </c>
      <c r="J1892" t="str">
        <f>"PA1002334"</f>
        <v>PA1002334</v>
      </c>
      <c r="K1892" s="1" t="str">
        <f>"בולם זעזועים GGTC3.2-28/36/10L"</f>
        <v>בולם זעזועים GGTC3.2-28/36/10L</v>
      </c>
      <c r="L1892">
        <v>50</v>
      </c>
      <c r="M1892" t="str">
        <f>"PR22000201"</f>
        <v>PR22000201</v>
      </c>
      <c r="N1892" t="str">
        <f>"מארז מחשוב ייצור זיווד"</f>
        <v>מארז מחשוב ייצור זיווד</v>
      </c>
      <c r="O1892">
        <v>0</v>
      </c>
      <c r="P1892" t="str">
        <f>"$"</f>
        <v>$</v>
      </c>
      <c r="Q1892" t="str">
        <f>"117"</f>
        <v>117</v>
      </c>
      <c r="R1892" t="str">
        <f>"רתמות"</f>
        <v>רתמות</v>
      </c>
      <c r="S1892" t="str">
        <f>"034"</f>
        <v>034</v>
      </c>
      <c r="T1892" t="str">
        <f>"עמר ליגל"</f>
        <v>עמר ליגל</v>
      </c>
      <c r="U1892">
        <v>0</v>
      </c>
      <c r="V1892">
        <v>0</v>
      </c>
      <c r="W1892">
        <v>0</v>
      </c>
      <c r="X1892">
        <v>0</v>
      </c>
      <c r="Z1892" t="str">
        <f>"Y"</f>
        <v>Y</v>
      </c>
      <c r="AA1892">
        <v>0</v>
      </c>
      <c r="AC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 t="str">
        <f>"$"</f>
        <v>$</v>
      </c>
    </row>
    <row r="1893" spans="1:38" x14ac:dyDescent="0.3">
      <c r="A1893" t="str">
        <f>"SO22000323"</f>
        <v>SO22000323</v>
      </c>
      <c r="B1893" t="str">
        <f>"E000369946"</f>
        <v>E000369946</v>
      </c>
      <c r="C1893" t="str">
        <f>"בוצעה"</f>
        <v>בוצעה</v>
      </c>
      <c r="E1893" s="3">
        <v>44784</v>
      </c>
      <c r="F1893" s="3">
        <v>44834</v>
      </c>
      <c r="G1893" t="str">
        <f>"700065"</f>
        <v>700065</v>
      </c>
      <c r="H1893" t="str">
        <f>"אלתא מערכות בע""מ"</f>
        <v>אלתא מערכות בע"מ</v>
      </c>
      <c r="I1893" t="str">
        <f>"רחמים זרוק"</f>
        <v>רחמים זרוק</v>
      </c>
      <c r="J1893" t="str">
        <f>"cust001406"</f>
        <v>cust001406</v>
      </c>
      <c r="K1893" s="1" t="str">
        <f>"מטען מצברים 1039V517-001 ירוק ELTA"</f>
        <v>מטען מצברים 1039V517-001 ירוק ELTA</v>
      </c>
      <c r="L1893">
        <v>1</v>
      </c>
      <c r="O1893">
        <v>0</v>
      </c>
      <c r="P1893" t="str">
        <f>"$"</f>
        <v>$</v>
      </c>
      <c r="Q1893" t="str">
        <f>"118"</f>
        <v>118</v>
      </c>
      <c r="R1893" t="str">
        <f>"מערכות"</f>
        <v>מערכות</v>
      </c>
      <c r="S1893" t="str">
        <f>"040"</f>
        <v>040</v>
      </c>
      <c r="T1893" t="str">
        <f>"עמר ליגל"</f>
        <v>עמר ליגל</v>
      </c>
      <c r="U1893">
        <v>0</v>
      </c>
      <c r="V1893">
        <v>0</v>
      </c>
      <c r="W1893">
        <v>0</v>
      </c>
      <c r="X1893">
        <v>0</v>
      </c>
      <c r="Z1893" t="str">
        <f>"Y"</f>
        <v>Y</v>
      </c>
      <c r="AA1893">
        <v>0</v>
      </c>
      <c r="AC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 t="str">
        <f>"$"</f>
        <v>$</v>
      </c>
    </row>
    <row r="1894" spans="1:38" x14ac:dyDescent="0.3">
      <c r="A1894" t="str">
        <f>"SO22000325"</f>
        <v>SO22000325</v>
      </c>
      <c r="B1894" t="str">
        <f>"E000369895"</f>
        <v>E000369895</v>
      </c>
      <c r="C1894" t="str">
        <f>"בוצעה"</f>
        <v>בוצעה</v>
      </c>
      <c r="E1894" s="3">
        <v>44787</v>
      </c>
      <c r="F1894" s="3">
        <v>44772</v>
      </c>
      <c r="G1894" t="str">
        <f>"700065"</f>
        <v>700065</v>
      </c>
      <c r="H1894" t="str">
        <f>"אלתא מערכות בע""מ"</f>
        <v>אלתא מערכות בע"מ</v>
      </c>
      <c r="I1894" t="str">
        <f>"רוני דידי"</f>
        <v>רוני דידי</v>
      </c>
      <c r="J1894" t="str">
        <f>"000"</f>
        <v>000</v>
      </c>
      <c r="K1894" s="1" t="str">
        <f>"ניסוי פיתול על הקרון"</f>
        <v>ניסוי פיתול על הקרון</v>
      </c>
      <c r="L1894">
        <v>1</v>
      </c>
      <c r="M1894" t="str">
        <f>"PR21000398"</f>
        <v>PR21000398</v>
      </c>
      <c r="N1894" t="str">
        <f>"קרונות MDN"</f>
        <v>קרונות MDN</v>
      </c>
      <c r="O1894" s="2">
        <v>6350</v>
      </c>
      <c r="P1894" t="str">
        <f>"$"</f>
        <v>$</v>
      </c>
      <c r="Q1894" t="str">
        <f>"119"</f>
        <v>119</v>
      </c>
      <c r="R1894" t="str">
        <f>"פלטפורמות"</f>
        <v>פלטפורמות</v>
      </c>
      <c r="S1894" t="str">
        <f>"007"</f>
        <v>007</v>
      </c>
      <c r="T1894" t="str">
        <f>"עמר ליגל"</f>
        <v>עמר ליגל</v>
      </c>
      <c r="U1894">
        <v>0</v>
      </c>
      <c r="V1894">
        <v>0</v>
      </c>
      <c r="W1894" s="2">
        <v>6350</v>
      </c>
      <c r="X1894" s="2">
        <v>6350</v>
      </c>
      <c r="Z1894" t="str">
        <f>"Y"</f>
        <v>Y</v>
      </c>
      <c r="AA1894">
        <v>1</v>
      </c>
      <c r="AC1894">
        <v>0</v>
      </c>
      <c r="AE1894">
        <v>0</v>
      </c>
      <c r="AF1894">
        <v>0</v>
      </c>
      <c r="AG1894" s="2">
        <v>20580.349999999999</v>
      </c>
      <c r="AH1894">
        <v>0</v>
      </c>
      <c r="AI1894" s="2">
        <v>20580.349999999999</v>
      </c>
      <c r="AJ1894" s="2">
        <v>6350</v>
      </c>
      <c r="AK1894" s="2">
        <v>6350</v>
      </c>
      <c r="AL1894" t="str">
        <f>"$"</f>
        <v>$</v>
      </c>
    </row>
    <row r="1895" spans="1:38" x14ac:dyDescent="0.3">
      <c r="A1895" t="str">
        <f>"SO22000326"</f>
        <v>SO22000326</v>
      </c>
      <c r="B1895" t="str">
        <f>"E000371868"</f>
        <v>E000371868</v>
      </c>
      <c r="C1895" t="str">
        <f>"בוצעה"</f>
        <v>בוצעה</v>
      </c>
      <c r="E1895" s="3">
        <v>44788</v>
      </c>
      <c r="F1895" s="3">
        <v>44824</v>
      </c>
      <c r="G1895" t="str">
        <f>"700065"</f>
        <v>700065</v>
      </c>
      <c r="H1895" t="str">
        <f>"אלתא מערכות בע""מ"</f>
        <v>אלתא מערכות בע"מ</v>
      </c>
      <c r="I1895" t="str">
        <f>"ערן שלו"</f>
        <v>ערן שלו</v>
      </c>
      <c r="J1895" t="str">
        <f>"cust00891"</f>
        <v>cust00891</v>
      </c>
      <c r="K1895" s="1" t="str">
        <f>"1038H185-001 אלתא"</f>
        <v>1038H185-001 אלתא</v>
      </c>
      <c r="L1895">
        <v>1</v>
      </c>
      <c r="M1895" t="str">
        <f>"PR22000576"</f>
        <v>PR22000576</v>
      </c>
      <c r="N1895" t="str">
        <f>"תיקון PDU"</f>
        <v>תיקון PDU</v>
      </c>
      <c r="O1895" s="2">
        <v>1955</v>
      </c>
      <c r="P1895" t="str">
        <f>"$"</f>
        <v>$</v>
      </c>
      <c r="Q1895" t="str">
        <f>"118"</f>
        <v>118</v>
      </c>
      <c r="R1895" t="str">
        <f>"מערכות"</f>
        <v>מערכות</v>
      </c>
      <c r="S1895" t="str">
        <f>"034"</f>
        <v>034</v>
      </c>
      <c r="T1895" t="str">
        <f>"עמר ליגל"</f>
        <v>עמר ליגל</v>
      </c>
      <c r="U1895">
        <v>0</v>
      </c>
      <c r="V1895">
        <v>0</v>
      </c>
      <c r="W1895" s="2">
        <v>1955</v>
      </c>
      <c r="X1895" s="2">
        <v>1955</v>
      </c>
      <c r="Z1895" t="str">
        <f>"Y"</f>
        <v>Y</v>
      </c>
      <c r="AA1895">
        <v>0</v>
      </c>
      <c r="AC1895">
        <v>0</v>
      </c>
      <c r="AE1895">
        <v>0</v>
      </c>
      <c r="AF1895">
        <v>0</v>
      </c>
      <c r="AG1895" s="2">
        <v>6383.08</v>
      </c>
      <c r="AH1895">
        <v>0</v>
      </c>
      <c r="AI1895" s="2">
        <v>6383.08</v>
      </c>
      <c r="AJ1895" s="2">
        <v>1955</v>
      </c>
      <c r="AK1895" s="2">
        <v>1955</v>
      </c>
      <c r="AL1895" t="str">
        <f>"$"</f>
        <v>$</v>
      </c>
    </row>
    <row r="1896" spans="1:38" x14ac:dyDescent="0.3">
      <c r="A1896" t="str">
        <f>"SO22000327"</f>
        <v>SO22000327</v>
      </c>
      <c r="B1896" t="str">
        <f>"E000370514"</f>
        <v>E000370514</v>
      </c>
      <c r="C1896" t="str">
        <f>"בוצעה"</f>
        <v>בוצעה</v>
      </c>
      <c r="E1896" s="3">
        <v>44788</v>
      </c>
      <c r="F1896" s="3">
        <v>44834</v>
      </c>
      <c r="G1896" t="str">
        <f>"700065"</f>
        <v>700065</v>
      </c>
      <c r="H1896" t="str">
        <f>"אלתא מערכות בע""מ"</f>
        <v>אלתא מערכות בע"מ</v>
      </c>
      <c r="I1896" t="str">
        <f>"רוני דידי"</f>
        <v>רוני דידי</v>
      </c>
      <c r="J1896" t="str">
        <f>"cust001348"</f>
        <v>cust001348</v>
      </c>
      <c r="K1896" s="1" t="str">
        <f>"241119.815 ELTA"</f>
        <v>241119.815 ELTA</v>
      </c>
      <c r="L1896">
        <v>1</v>
      </c>
      <c r="O1896">
        <v>200</v>
      </c>
      <c r="P1896" t="str">
        <f>"$"</f>
        <v>$</v>
      </c>
      <c r="Q1896" t="str">
        <f>"118"</f>
        <v>118</v>
      </c>
      <c r="R1896" t="str">
        <f>"מערכות"</f>
        <v>מערכות</v>
      </c>
      <c r="S1896" t="str">
        <f>"007"</f>
        <v>007</v>
      </c>
      <c r="T1896" t="str">
        <f>"עמר ליגל"</f>
        <v>עמר ליגל</v>
      </c>
      <c r="U1896">
        <v>0</v>
      </c>
      <c r="V1896">
        <v>0</v>
      </c>
      <c r="W1896">
        <v>200</v>
      </c>
      <c r="X1896">
        <v>200</v>
      </c>
      <c r="Z1896" t="str">
        <f>"Y"</f>
        <v>Y</v>
      </c>
      <c r="AA1896">
        <v>0</v>
      </c>
      <c r="AC1896">
        <v>0</v>
      </c>
      <c r="AE1896">
        <v>0</v>
      </c>
      <c r="AF1896">
        <v>0</v>
      </c>
      <c r="AG1896">
        <v>653</v>
      </c>
      <c r="AH1896">
        <v>0</v>
      </c>
      <c r="AI1896">
        <v>653</v>
      </c>
      <c r="AJ1896">
        <v>200</v>
      </c>
      <c r="AK1896">
        <v>200</v>
      </c>
      <c r="AL1896" t="str">
        <f>"$"</f>
        <v>$</v>
      </c>
    </row>
    <row r="1897" spans="1:38" x14ac:dyDescent="0.3">
      <c r="A1897" t="str">
        <f>"SO22000327"</f>
        <v>SO22000327</v>
      </c>
      <c r="B1897" t="str">
        <f>"E000370514"</f>
        <v>E000370514</v>
      </c>
      <c r="C1897" t="str">
        <f>"בוצעה"</f>
        <v>בוצעה</v>
      </c>
      <c r="E1897" s="3">
        <v>44788</v>
      </c>
      <c r="F1897" s="3">
        <v>44834</v>
      </c>
      <c r="G1897" t="str">
        <f>"700065"</f>
        <v>700065</v>
      </c>
      <c r="H1897" t="str">
        <f>"אלתא מערכות בע""מ"</f>
        <v>אלתא מערכות בע"מ</v>
      </c>
      <c r="I1897" t="str">
        <f>"רוני דידי"</f>
        <v>רוני דידי</v>
      </c>
      <c r="J1897" t="str">
        <f>"cust001348"</f>
        <v>cust001348</v>
      </c>
      <c r="K1897" s="1" t="str">
        <f>"241119.815 ELTA"</f>
        <v>241119.815 ELTA</v>
      </c>
      <c r="L1897">
        <v>1</v>
      </c>
      <c r="O1897">
        <v>200</v>
      </c>
      <c r="P1897" t="str">
        <f>"$"</f>
        <v>$</v>
      </c>
      <c r="Q1897" t="str">
        <f>"118"</f>
        <v>118</v>
      </c>
      <c r="R1897" t="str">
        <f>"מערכות"</f>
        <v>מערכות</v>
      </c>
      <c r="S1897" t="str">
        <f>"007"</f>
        <v>007</v>
      </c>
      <c r="T1897" t="str">
        <f>"עמר ליגל"</f>
        <v>עמר ליגל</v>
      </c>
      <c r="U1897">
        <v>0</v>
      </c>
      <c r="V1897">
        <v>0</v>
      </c>
      <c r="W1897">
        <v>200</v>
      </c>
      <c r="X1897">
        <v>200</v>
      </c>
      <c r="Z1897" t="str">
        <f>"Y"</f>
        <v>Y</v>
      </c>
      <c r="AA1897">
        <v>0</v>
      </c>
      <c r="AC1897">
        <v>0</v>
      </c>
      <c r="AE1897">
        <v>0</v>
      </c>
      <c r="AF1897">
        <v>0</v>
      </c>
      <c r="AG1897">
        <v>653</v>
      </c>
      <c r="AH1897">
        <v>0</v>
      </c>
      <c r="AI1897">
        <v>653</v>
      </c>
      <c r="AJ1897">
        <v>200</v>
      </c>
      <c r="AK1897">
        <v>200</v>
      </c>
      <c r="AL1897" t="str">
        <f>"$"</f>
        <v>$</v>
      </c>
    </row>
    <row r="1898" spans="1:38" x14ac:dyDescent="0.3">
      <c r="A1898" t="str">
        <f>"SO22000327"</f>
        <v>SO22000327</v>
      </c>
      <c r="B1898" t="str">
        <f>"E000370514"</f>
        <v>E000370514</v>
      </c>
      <c r="C1898" t="str">
        <f>"בוצעה"</f>
        <v>בוצעה</v>
      </c>
      <c r="E1898" s="3">
        <v>44788</v>
      </c>
      <c r="F1898" s="3">
        <v>44834</v>
      </c>
      <c r="G1898" t="str">
        <f>"700065"</f>
        <v>700065</v>
      </c>
      <c r="H1898" t="str">
        <f>"אלתא מערכות בע""מ"</f>
        <v>אלתא מערכות בע"מ</v>
      </c>
      <c r="I1898" t="str">
        <f>"רוני דידי"</f>
        <v>רוני דידי</v>
      </c>
      <c r="J1898" t="str">
        <f>"cust001348"</f>
        <v>cust001348</v>
      </c>
      <c r="K1898" s="1" t="str">
        <f>"241119.815 ELTA"</f>
        <v>241119.815 ELTA</v>
      </c>
      <c r="L1898">
        <v>1</v>
      </c>
      <c r="O1898">
        <v>200</v>
      </c>
      <c r="P1898" t="str">
        <f>"$"</f>
        <v>$</v>
      </c>
      <c r="Q1898" t="str">
        <f>"118"</f>
        <v>118</v>
      </c>
      <c r="R1898" t="str">
        <f>"מערכות"</f>
        <v>מערכות</v>
      </c>
      <c r="S1898" t="str">
        <f>"007"</f>
        <v>007</v>
      </c>
      <c r="T1898" t="str">
        <f>"עמר ליגל"</f>
        <v>עמר ליגל</v>
      </c>
      <c r="U1898">
        <v>0</v>
      </c>
      <c r="V1898">
        <v>0</v>
      </c>
      <c r="W1898">
        <v>200</v>
      </c>
      <c r="X1898">
        <v>200</v>
      </c>
      <c r="Z1898" t="str">
        <f>"Y"</f>
        <v>Y</v>
      </c>
      <c r="AA1898">
        <v>0</v>
      </c>
      <c r="AC1898">
        <v>0</v>
      </c>
      <c r="AE1898">
        <v>0</v>
      </c>
      <c r="AF1898">
        <v>0</v>
      </c>
      <c r="AG1898">
        <v>653</v>
      </c>
      <c r="AH1898">
        <v>0</v>
      </c>
      <c r="AI1898">
        <v>653</v>
      </c>
      <c r="AJ1898">
        <v>200</v>
      </c>
      <c r="AK1898">
        <v>200</v>
      </c>
      <c r="AL1898" t="str">
        <f>"$"</f>
        <v>$</v>
      </c>
    </row>
    <row r="1899" spans="1:38" x14ac:dyDescent="0.3">
      <c r="A1899" t="str">
        <f>"SO22000327"</f>
        <v>SO22000327</v>
      </c>
      <c r="B1899" t="str">
        <f>"E000370514"</f>
        <v>E000370514</v>
      </c>
      <c r="C1899" t="str">
        <f>"בוצעה"</f>
        <v>בוצעה</v>
      </c>
      <c r="E1899" s="3">
        <v>44788</v>
      </c>
      <c r="F1899" s="3">
        <v>44834</v>
      </c>
      <c r="G1899" t="str">
        <f>"700065"</f>
        <v>700065</v>
      </c>
      <c r="H1899" t="str">
        <f>"אלתא מערכות בע""מ"</f>
        <v>אלתא מערכות בע"מ</v>
      </c>
      <c r="I1899" t="str">
        <f>"רוני דידי"</f>
        <v>רוני דידי</v>
      </c>
      <c r="J1899" t="str">
        <f>"cust001348"</f>
        <v>cust001348</v>
      </c>
      <c r="K1899" s="1" t="str">
        <f>"241119.815 ELTA"</f>
        <v>241119.815 ELTA</v>
      </c>
      <c r="L1899">
        <v>1</v>
      </c>
      <c r="O1899">
        <v>200</v>
      </c>
      <c r="P1899" t="str">
        <f>"$"</f>
        <v>$</v>
      </c>
      <c r="Q1899" t="str">
        <f>"118"</f>
        <v>118</v>
      </c>
      <c r="R1899" t="str">
        <f>"מערכות"</f>
        <v>מערכות</v>
      </c>
      <c r="S1899" t="str">
        <f>"007"</f>
        <v>007</v>
      </c>
      <c r="T1899" t="str">
        <f>"עמר ליגל"</f>
        <v>עמר ליגל</v>
      </c>
      <c r="U1899">
        <v>0</v>
      </c>
      <c r="V1899">
        <v>0</v>
      </c>
      <c r="W1899">
        <v>200</v>
      </c>
      <c r="X1899">
        <v>200</v>
      </c>
      <c r="Z1899" t="str">
        <f>"Y"</f>
        <v>Y</v>
      </c>
      <c r="AA1899">
        <v>0</v>
      </c>
      <c r="AC1899">
        <v>0</v>
      </c>
      <c r="AE1899">
        <v>0</v>
      </c>
      <c r="AF1899">
        <v>0</v>
      </c>
      <c r="AG1899">
        <v>653</v>
      </c>
      <c r="AH1899">
        <v>0</v>
      </c>
      <c r="AI1899">
        <v>653</v>
      </c>
      <c r="AJ1899">
        <v>200</v>
      </c>
      <c r="AK1899">
        <v>200</v>
      </c>
      <c r="AL1899" t="str">
        <f>"$"</f>
        <v>$</v>
      </c>
    </row>
    <row r="1900" spans="1:38" x14ac:dyDescent="0.3">
      <c r="A1900" t="str">
        <f>"SO22000327"</f>
        <v>SO22000327</v>
      </c>
      <c r="B1900" t="str">
        <f>"E000370514"</f>
        <v>E000370514</v>
      </c>
      <c r="C1900" t="str">
        <f>"בוצעה"</f>
        <v>בוצעה</v>
      </c>
      <c r="E1900" s="3">
        <v>44788</v>
      </c>
      <c r="F1900" s="3">
        <v>44834</v>
      </c>
      <c r="G1900" t="str">
        <f>"700065"</f>
        <v>700065</v>
      </c>
      <c r="H1900" t="str">
        <f>"אלתא מערכות בע""מ"</f>
        <v>אלתא מערכות בע"מ</v>
      </c>
      <c r="I1900" t="str">
        <f>"רוני דידי"</f>
        <v>רוני דידי</v>
      </c>
      <c r="J1900" t="str">
        <f>"cust001348"</f>
        <v>cust001348</v>
      </c>
      <c r="K1900" s="1" t="str">
        <f>"241119.815 ELTA"</f>
        <v>241119.815 ELTA</v>
      </c>
      <c r="L1900">
        <v>1</v>
      </c>
      <c r="O1900">
        <v>200</v>
      </c>
      <c r="P1900" t="str">
        <f>"$"</f>
        <v>$</v>
      </c>
      <c r="Q1900" t="str">
        <f>"118"</f>
        <v>118</v>
      </c>
      <c r="R1900" t="str">
        <f>"מערכות"</f>
        <v>מערכות</v>
      </c>
      <c r="S1900" t="str">
        <f>"007"</f>
        <v>007</v>
      </c>
      <c r="T1900" t="str">
        <f>"עמר ליגל"</f>
        <v>עמר ליגל</v>
      </c>
      <c r="U1900">
        <v>0</v>
      </c>
      <c r="V1900">
        <v>0</v>
      </c>
      <c r="W1900">
        <v>200</v>
      </c>
      <c r="X1900">
        <v>200</v>
      </c>
      <c r="Z1900" t="str">
        <f>"Y"</f>
        <v>Y</v>
      </c>
      <c r="AA1900">
        <v>0</v>
      </c>
      <c r="AC1900">
        <v>0</v>
      </c>
      <c r="AE1900">
        <v>0</v>
      </c>
      <c r="AF1900">
        <v>0</v>
      </c>
      <c r="AG1900">
        <v>653</v>
      </c>
      <c r="AH1900">
        <v>0</v>
      </c>
      <c r="AI1900">
        <v>653</v>
      </c>
      <c r="AJ1900">
        <v>200</v>
      </c>
      <c r="AK1900">
        <v>200</v>
      </c>
      <c r="AL1900" t="str">
        <f>"$"</f>
        <v>$</v>
      </c>
    </row>
    <row r="1901" spans="1:38" x14ac:dyDescent="0.3">
      <c r="A1901" t="str">
        <f>"SO22000327"</f>
        <v>SO22000327</v>
      </c>
      <c r="B1901" t="str">
        <f>"E000370514"</f>
        <v>E000370514</v>
      </c>
      <c r="C1901" t="str">
        <f>"בוצעה"</f>
        <v>בוצעה</v>
      </c>
      <c r="E1901" s="3">
        <v>44788</v>
      </c>
      <c r="F1901" s="3">
        <v>44834</v>
      </c>
      <c r="G1901" t="str">
        <f>"700065"</f>
        <v>700065</v>
      </c>
      <c r="H1901" t="str">
        <f>"אלתא מערכות בע""מ"</f>
        <v>אלתא מערכות בע"מ</v>
      </c>
      <c r="I1901" t="str">
        <f>"רוני דידי"</f>
        <v>רוני דידי</v>
      </c>
      <c r="J1901" t="str">
        <f>"cust001348"</f>
        <v>cust001348</v>
      </c>
      <c r="K1901" s="1" t="str">
        <f>"241119.815 ELTA"</f>
        <v>241119.815 ELTA</v>
      </c>
      <c r="L1901">
        <v>1</v>
      </c>
      <c r="O1901">
        <v>0.01</v>
      </c>
      <c r="P1901" t="str">
        <f>"$"</f>
        <v>$</v>
      </c>
      <c r="Q1901" t="str">
        <f>"118"</f>
        <v>118</v>
      </c>
      <c r="R1901" t="str">
        <f>"מערכות"</f>
        <v>מערכות</v>
      </c>
      <c r="S1901" t="str">
        <f>"007"</f>
        <v>007</v>
      </c>
      <c r="T1901" t="str">
        <f>"עמר ליגל"</f>
        <v>עמר ליגל</v>
      </c>
      <c r="U1901">
        <v>0</v>
      </c>
      <c r="V1901">
        <v>0</v>
      </c>
      <c r="W1901">
        <v>0.01</v>
      </c>
      <c r="X1901">
        <v>0.01</v>
      </c>
      <c r="Z1901" t="str">
        <f>"Y"</f>
        <v>Y</v>
      </c>
      <c r="AA1901">
        <v>0</v>
      </c>
      <c r="AC1901">
        <v>0</v>
      </c>
      <c r="AE1901">
        <v>0</v>
      </c>
      <c r="AF1901">
        <v>0</v>
      </c>
      <c r="AG1901">
        <v>0.03</v>
      </c>
      <c r="AH1901">
        <v>0</v>
      </c>
      <c r="AI1901">
        <v>0.03</v>
      </c>
      <c r="AJ1901">
        <v>0.01</v>
      </c>
      <c r="AK1901">
        <v>0.01</v>
      </c>
      <c r="AL1901" t="str">
        <f>"$"</f>
        <v>$</v>
      </c>
    </row>
    <row r="1902" spans="1:38" x14ac:dyDescent="0.3">
      <c r="A1902" t="str">
        <f>"SO22000327"</f>
        <v>SO22000327</v>
      </c>
      <c r="B1902" t="str">
        <f>"E000370514"</f>
        <v>E000370514</v>
      </c>
      <c r="C1902" t="str">
        <f>"בוצעה"</f>
        <v>בוצעה</v>
      </c>
      <c r="E1902" s="3">
        <v>44788</v>
      </c>
      <c r="F1902" s="3">
        <v>44834</v>
      </c>
      <c r="G1902" t="str">
        <f>"700065"</f>
        <v>700065</v>
      </c>
      <c r="H1902" t="str">
        <f>"אלתא מערכות בע""מ"</f>
        <v>אלתא מערכות בע"מ</v>
      </c>
      <c r="I1902" t="str">
        <f>"רוני דידי"</f>
        <v>רוני דידי</v>
      </c>
      <c r="J1902" t="str">
        <f>"cust001348"</f>
        <v>cust001348</v>
      </c>
      <c r="K1902" s="1" t="str">
        <f>"241119.815 ELTA"</f>
        <v>241119.815 ELTA</v>
      </c>
      <c r="L1902">
        <v>1</v>
      </c>
      <c r="O1902">
        <v>0.01</v>
      </c>
      <c r="P1902" t="str">
        <f>"$"</f>
        <v>$</v>
      </c>
      <c r="Q1902" t="str">
        <f>"118"</f>
        <v>118</v>
      </c>
      <c r="R1902" t="str">
        <f>"מערכות"</f>
        <v>מערכות</v>
      </c>
      <c r="S1902" t="str">
        <f>"007"</f>
        <v>007</v>
      </c>
      <c r="T1902" t="str">
        <f>"עמר ליגל"</f>
        <v>עמר ליגל</v>
      </c>
      <c r="U1902">
        <v>0</v>
      </c>
      <c r="V1902">
        <v>0</v>
      </c>
      <c r="W1902">
        <v>0.01</v>
      </c>
      <c r="X1902">
        <v>0.01</v>
      </c>
      <c r="Z1902" t="str">
        <f>"Y"</f>
        <v>Y</v>
      </c>
      <c r="AA1902">
        <v>0</v>
      </c>
      <c r="AC1902">
        <v>0</v>
      </c>
      <c r="AE1902">
        <v>0</v>
      </c>
      <c r="AF1902">
        <v>0</v>
      </c>
      <c r="AG1902">
        <v>0.03</v>
      </c>
      <c r="AH1902">
        <v>0</v>
      </c>
      <c r="AI1902">
        <v>0.03</v>
      </c>
      <c r="AJ1902">
        <v>0.01</v>
      </c>
      <c r="AK1902">
        <v>0.01</v>
      </c>
      <c r="AL1902" t="str">
        <f>"$"</f>
        <v>$</v>
      </c>
    </row>
    <row r="1903" spans="1:38" x14ac:dyDescent="0.3">
      <c r="A1903" t="str">
        <f>"SO22000327"</f>
        <v>SO22000327</v>
      </c>
      <c r="B1903" t="str">
        <f>"E000370514"</f>
        <v>E000370514</v>
      </c>
      <c r="C1903" t="str">
        <f>"בוצעה"</f>
        <v>בוצעה</v>
      </c>
      <c r="E1903" s="3">
        <v>44788</v>
      </c>
      <c r="F1903" s="3">
        <v>44834</v>
      </c>
      <c r="G1903" t="str">
        <f>"700065"</f>
        <v>700065</v>
      </c>
      <c r="H1903" t="str">
        <f>"אלתא מערכות בע""מ"</f>
        <v>אלתא מערכות בע"מ</v>
      </c>
      <c r="I1903" t="str">
        <f>"רוני דידי"</f>
        <v>רוני דידי</v>
      </c>
      <c r="J1903" t="str">
        <f>"cust001348"</f>
        <v>cust001348</v>
      </c>
      <c r="K1903" s="1" t="str">
        <f>"241119.815 ELTA"</f>
        <v>241119.815 ELTA</v>
      </c>
      <c r="L1903">
        <v>1</v>
      </c>
      <c r="O1903">
        <v>0.01</v>
      </c>
      <c r="P1903" t="str">
        <f>"$"</f>
        <v>$</v>
      </c>
      <c r="Q1903" t="str">
        <f>"118"</f>
        <v>118</v>
      </c>
      <c r="R1903" t="str">
        <f>"מערכות"</f>
        <v>מערכות</v>
      </c>
      <c r="S1903" t="str">
        <f>"007"</f>
        <v>007</v>
      </c>
      <c r="T1903" t="str">
        <f>"עמר ליגל"</f>
        <v>עמר ליגל</v>
      </c>
      <c r="U1903">
        <v>0</v>
      </c>
      <c r="V1903">
        <v>0</v>
      </c>
      <c r="W1903">
        <v>0.01</v>
      </c>
      <c r="X1903">
        <v>0.01</v>
      </c>
      <c r="Z1903" t="str">
        <f>"Y"</f>
        <v>Y</v>
      </c>
      <c r="AA1903">
        <v>0</v>
      </c>
      <c r="AC1903">
        <v>0</v>
      </c>
      <c r="AE1903">
        <v>0</v>
      </c>
      <c r="AF1903">
        <v>0</v>
      </c>
      <c r="AG1903">
        <v>0.03</v>
      </c>
      <c r="AH1903">
        <v>0</v>
      </c>
      <c r="AI1903">
        <v>0.03</v>
      </c>
      <c r="AJ1903">
        <v>0.01</v>
      </c>
      <c r="AK1903">
        <v>0.01</v>
      </c>
      <c r="AL1903" t="str">
        <f>"$"</f>
        <v>$</v>
      </c>
    </row>
    <row r="1904" spans="1:38" x14ac:dyDescent="0.3">
      <c r="A1904" t="str">
        <f>"SO22000327"</f>
        <v>SO22000327</v>
      </c>
      <c r="B1904" t="str">
        <f>"E000370514"</f>
        <v>E000370514</v>
      </c>
      <c r="C1904" t="str">
        <f>"בוצעה"</f>
        <v>בוצעה</v>
      </c>
      <c r="E1904" s="3">
        <v>44788</v>
      </c>
      <c r="F1904" s="3">
        <v>44834</v>
      </c>
      <c r="G1904" t="str">
        <f>"700065"</f>
        <v>700065</v>
      </c>
      <c r="H1904" t="str">
        <f>"אלתא מערכות בע""מ"</f>
        <v>אלתא מערכות בע"מ</v>
      </c>
      <c r="I1904" t="str">
        <f>"רוני דידי"</f>
        <v>רוני דידי</v>
      </c>
      <c r="J1904" t="str">
        <f>"cust001348"</f>
        <v>cust001348</v>
      </c>
      <c r="K1904" s="1" t="str">
        <f>"241119.815 ELTA"</f>
        <v>241119.815 ELTA</v>
      </c>
      <c r="L1904">
        <v>1</v>
      </c>
      <c r="O1904">
        <v>0.01</v>
      </c>
      <c r="P1904" t="str">
        <f>"$"</f>
        <v>$</v>
      </c>
      <c r="Q1904" t="str">
        <f>"118"</f>
        <v>118</v>
      </c>
      <c r="R1904" t="str">
        <f>"מערכות"</f>
        <v>מערכות</v>
      </c>
      <c r="S1904" t="str">
        <f>"007"</f>
        <v>007</v>
      </c>
      <c r="T1904" t="str">
        <f>"עמר ליגל"</f>
        <v>עמר ליגל</v>
      </c>
      <c r="U1904">
        <v>0</v>
      </c>
      <c r="V1904">
        <v>0</v>
      </c>
      <c r="W1904">
        <v>0.01</v>
      </c>
      <c r="X1904">
        <v>0.01</v>
      </c>
      <c r="Z1904" t="str">
        <f>"Y"</f>
        <v>Y</v>
      </c>
      <c r="AA1904">
        <v>0</v>
      </c>
      <c r="AC1904">
        <v>0</v>
      </c>
      <c r="AE1904">
        <v>0</v>
      </c>
      <c r="AF1904">
        <v>0</v>
      </c>
      <c r="AG1904">
        <v>0.03</v>
      </c>
      <c r="AH1904">
        <v>0</v>
      </c>
      <c r="AI1904">
        <v>0.03</v>
      </c>
      <c r="AJ1904">
        <v>0.01</v>
      </c>
      <c r="AK1904">
        <v>0.01</v>
      </c>
      <c r="AL1904" t="str">
        <f>"$"</f>
        <v>$</v>
      </c>
    </row>
    <row r="1905" spans="1:38" x14ac:dyDescent="0.3">
      <c r="A1905" t="str">
        <f>"SO22000327"</f>
        <v>SO22000327</v>
      </c>
      <c r="B1905" t="str">
        <f>"E000370514"</f>
        <v>E000370514</v>
      </c>
      <c r="C1905" t="str">
        <f>"בוצעה"</f>
        <v>בוצעה</v>
      </c>
      <c r="E1905" s="3">
        <v>44788</v>
      </c>
      <c r="F1905" s="3">
        <v>44834</v>
      </c>
      <c r="G1905" t="str">
        <f>"700065"</f>
        <v>700065</v>
      </c>
      <c r="H1905" t="str">
        <f>"אלתא מערכות בע""מ"</f>
        <v>אלתא מערכות בע"מ</v>
      </c>
      <c r="I1905" t="str">
        <f>"רוני דידי"</f>
        <v>רוני דידי</v>
      </c>
      <c r="J1905" t="str">
        <f>"cust001348"</f>
        <v>cust001348</v>
      </c>
      <c r="K1905" s="1" t="str">
        <f>"241119.815 ELTA"</f>
        <v>241119.815 ELTA</v>
      </c>
      <c r="L1905">
        <v>1</v>
      </c>
      <c r="O1905">
        <v>0.01</v>
      </c>
      <c r="P1905" t="str">
        <f>"$"</f>
        <v>$</v>
      </c>
      <c r="Q1905" t="str">
        <f>"118"</f>
        <v>118</v>
      </c>
      <c r="R1905" t="str">
        <f>"מערכות"</f>
        <v>מערכות</v>
      </c>
      <c r="S1905" t="str">
        <f>"007"</f>
        <v>007</v>
      </c>
      <c r="T1905" t="str">
        <f>"עמר ליגל"</f>
        <v>עמר ליגל</v>
      </c>
      <c r="U1905">
        <v>0</v>
      </c>
      <c r="V1905">
        <v>0</v>
      </c>
      <c r="W1905">
        <v>0.01</v>
      </c>
      <c r="X1905">
        <v>0.01</v>
      </c>
      <c r="Z1905" t="str">
        <f>"Y"</f>
        <v>Y</v>
      </c>
      <c r="AA1905">
        <v>0</v>
      </c>
      <c r="AC1905">
        <v>0</v>
      </c>
      <c r="AE1905">
        <v>0</v>
      </c>
      <c r="AF1905">
        <v>0</v>
      </c>
      <c r="AG1905">
        <v>0.03</v>
      </c>
      <c r="AH1905">
        <v>0</v>
      </c>
      <c r="AI1905">
        <v>0.03</v>
      </c>
      <c r="AJ1905">
        <v>0.01</v>
      </c>
      <c r="AK1905">
        <v>0.01</v>
      </c>
      <c r="AL1905" t="str">
        <f>"$"</f>
        <v>$</v>
      </c>
    </row>
    <row r="1906" spans="1:38" x14ac:dyDescent="0.3">
      <c r="A1906" t="str">
        <f>"SO22000327"</f>
        <v>SO22000327</v>
      </c>
      <c r="B1906" t="str">
        <f>"E000370514"</f>
        <v>E000370514</v>
      </c>
      <c r="C1906" t="str">
        <f>"בוצעה"</f>
        <v>בוצעה</v>
      </c>
      <c r="E1906" s="3">
        <v>44788</v>
      </c>
      <c r="F1906" s="3">
        <v>44834</v>
      </c>
      <c r="G1906" t="str">
        <f>"700065"</f>
        <v>700065</v>
      </c>
      <c r="H1906" t="str">
        <f>"אלתא מערכות בע""מ"</f>
        <v>אלתא מערכות בע"מ</v>
      </c>
      <c r="I1906" t="str">
        <f>"רוני דידי"</f>
        <v>רוני דידי</v>
      </c>
      <c r="J1906" t="str">
        <f>"cust001348"</f>
        <v>cust001348</v>
      </c>
      <c r="K1906" s="1" t="str">
        <f>"241119.815 ELTA"</f>
        <v>241119.815 ELTA</v>
      </c>
      <c r="L1906">
        <v>1</v>
      </c>
      <c r="O1906">
        <v>0.01</v>
      </c>
      <c r="P1906" t="str">
        <f>"$"</f>
        <v>$</v>
      </c>
      <c r="Q1906" t="str">
        <f>"118"</f>
        <v>118</v>
      </c>
      <c r="R1906" t="str">
        <f>"מערכות"</f>
        <v>מערכות</v>
      </c>
      <c r="S1906" t="str">
        <f>"007"</f>
        <v>007</v>
      </c>
      <c r="T1906" t="str">
        <f>"עמר ליגל"</f>
        <v>עמר ליגל</v>
      </c>
      <c r="U1906">
        <v>0</v>
      </c>
      <c r="V1906">
        <v>0</v>
      </c>
      <c r="W1906">
        <v>0.01</v>
      </c>
      <c r="X1906">
        <v>0.01</v>
      </c>
      <c r="Z1906" t="str">
        <f>"Y"</f>
        <v>Y</v>
      </c>
      <c r="AA1906">
        <v>0</v>
      </c>
      <c r="AC1906">
        <v>0</v>
      </c>
      <c r="AE1906">
        <v>0</v>
      </c>
      <c r="AF1906">
        <v>0</v>
      </c>
      <c r="AG1906">
        <v>0.03</v>
      </c>
      <c r="AH1906">
        <v>0</v>
      </c>
      <c r="AI1906">
        <v>0.03</v>
      </c>
      <c r="AJ1906">
        <v>0.01</v>
      </c>
      <c r="AK1906">
        <v>0.01</v>
      </c>
      <c r="AL1906" t="str">
        <f>"$"</f>
        <v>$</v>
      </c>
    </row>
    <row r="1907" spans="1:38" x14ac:dyDescent="0.3">
      <c r="A1907" t="str">
        <f>"SO22000327"</f>
        <v>SO22000327</v>
      </c>
      <c r="B1907" t="str">
        <f>"E000370514"</f>
        <v>E000370514</v>
      </c>
      <c r="C1907" t="str">
        <f>"בוצעה"</f>
        <v>בוצעה</v>
      </c>
      <c r="E1907" s="3">
        <v>44788</v>
      </c>
      <c r="F1907" s="3">
        <v>44834</v>
      </c>
      <c r="G1907" t="str">
        <f>"700065"</f>
        <v>700065</v>
      </c>
      <c r="H1907" t="str">
        <f>"אלתא מערכות בע""מ"</f>
        <v>אלתא מערכות בע"מ</v>
      </c>
      <c r="I1907" t="str">
        <f>"רוני דידי"</f>
        <v>רוני דידי</v>
      </c>
      <c r="J1907" t="str">
        <f>"cust001348"</f>
        <v>cust001348</v>
      </c>
      <c r="K1907" s="1" t="str">
        <f>"241119.815 ELTA"</f>
        <v>241119.815 ELTA</v>
      </c>
      <c r="L1907">
        <v>1</v>
      </c>
      <c r="O1907">
        <v>0.01</v>
      </c>
      <c r="P1907" t="str">
        <f>"$"</f>
        <v>$</v>
      </c>
      <c r="Q1907" t="str">
        <f>"118"</f>
        <v>118</v>
      </c>
      <c r="R1907" t="str">
        <f>"מערכות"</f>
        <v>מערכות</v>
      </c>
      <c r="S1907" t="str">
        <f>"007"</f>
        <v>007</v>
      </c>
      <c r="T1907" t="str">
        <f>"עמר ליגל"</f>
        <v>עמר ליגל</v>
      </c>
      <c r="U1907">
        <v>0</v>
      </c>
      <c r="V1907">
        <v>0</v>
      </c>
      <c r="W1907">
        <v>0.01</v>
      </c>
      <c r="X1907">
        <v>0.01</v>
      </c>
      <c r="Z1907" t="str">
        <f>"Y"</f>
        <v>Y</v>
      </c>
      <c r="AA1907">
        <v>0</v>
      </c>
      <c r="AC1907">
        <v>0</v>
      </c>
      <c r="AE1907">
        <v>0</v>
      </c>
      <c r="AF1907">
        <v>0</v>
      </c>
      <c r="AG1907">
        <v>0.03</v>
      </c>
      <c r="AH1907">
        <v>0</v>
      </c>
      <c r="AI1907">
        <v>0.03</v>
      </c>
      <c r="AJ1907">
        <v>0.01</v>
      </c>
      <c r="AK1907">
        <v>0.01</v>
      </c>
      <c r="AL1907" t="str">
        <f>"$"</f>
        <v>$</v>
      </c>
    </row>
    <row r="1908" spans="1:38" x14ac:dyDescent="0.3">
      <c r="A1908" t="str">
        <f>"SO22000328"</f>
        <v>SO22000328</v>
      </c>
      <c r="B1908" t="str">
        <f>"E000371756"</f>
        <v>E000371756</v>
      </c>
      <c r="C1908" t="str">
        <f>"בוצעה"</f>
        <v>בוצעה</v>
      </c>
      <c r="E1908" s="3">
        <v>44788</v>
      </c>
      <c r="F1908" s="3">
        <v>44809</v>
      </c>
      <c r="G1908" t="str">
        <f>"700065"</f>
        <v>700065</v>
      </c>
      <c r="H1908" t="str">
        <f>"אלתא מערכות בע""מ"</f>
        <v>אלתא מערכות בע"מ</v>
      </c>
      <c r="I1908" t="str">
        <f>"ערן שלו"</f>
        <v>ערן שלו</v>
      </c>
      <c r="J1908" t="str">
        <f>"CB1500001"</f>
        <v>CB1500001</v>
      </c>
      <c r="K1908" s="1" t="str">
        <f>"כבל תקן ימי XTCuZ1-K (AS) 0,6/1 kV 3X95 2003095"</f>
        <v>כבל תקן ימי XTCuZ1-K (AS) 0,6/1 kV 3X95 2003095</v>
      </c>
      <c r="L1908">
        <v>50</v>
      </c>
      <c r="M1908" t="str">
        <f>"PR19000400"</f>
        <v>PR19000400</v>
      </c>
      <c r="N1908" t="str">
        <f>"פרויקט ראשי - BELL7"</f>
        <v>פרויקט ראשי - BELL7</v>
      </c>
      <c r="O1908">
        <v>66</v>
      </c>
      <c r="P1908" t="str">
        <f>"$"</f>
        <v>$</v>
      </c>
      <c r="Q1908" t="str">
        <f>"117"</f>
        <v>117</v>
      </c>
      <c r="R1908" t="str">
        <f>"רתמות"</f>
        <v>רתמות</v>
      </c>
      <c r="S1908" t="str">
        <f>"034"</f>
        <v>034</v>
      </c>
      <c r="T1908" t="str">
        <f>"עמר ליגל"</f>
        <v>עמר ליגל</v>
      </c>
      <c r="U1908">
        <v>0</v>
      </c>
      <c r="V1908">
        <v>0</v>
      </c>
      <c r="W1908">
        <v>66</v>
      </c>
      <c r="X1908" s="2">
        <v>3300</v>
      </c>
      <c r="Z1908" t="str">
        <f>"Y"</f>
        <v>Y</v>
      </c>
      <c r="AA1908">
        <v>0</v>
      </c>
      <c r="AC1908">
        <v>0</v>
      </c>
      <c r="AE1908">
        <v>0</v>
      </c>
      <c r="AF1908">
        <v>0</v>
      </c>
      <c r="AG1908">
        <v>215.49</v>
      </c>
      <c r="AH1908">
        <v>0</v>
      </c>
      <c r="AI1908" s="2">
        <v>10774.5</v>
      </c>
      <c r="AJ1908" s="2">
        <v>3300</v>
      </c>
      <c r="AK1908" s="2">
        <v>3300</v>
      </c>
      <c r="AL1908" t="str">
        <f>"$"</f>
        <v>$</v>
      </c>
    </row>
    <row r="1909" spans="1:38" x14ac:dyDescent="0.3">
      <c r="A1909" t="str">
        <f>"SO22000329"</f>
        <v>SO22000329</v>
      </c>
      <c r="B1909" t="str">
        <f>"E000370512"</f>
        <v>E000370512</v>
      </c>
      <c r="C1909" t="str">
        <f>"הרכבה חלקית"</f>
        <v>הרכבה חלקית</v>
      </c>
      <c r="E1909" s="3">
        <v>44788</v>
      </c>
      <c r="F1909" s="3">
        <v>44804</v>
      </c>
      <c r="G1909" t="str">
        <f>"700065"</f>
        <v>700065</v>
      </c>
      <c r="H1909" t="str">
        <f>"אלתא מערכות בע""מ"</f>
        <v>אלתא מערכות בע"מ</v>
      </c>
      <c r="I1909" t="str">
        <f>"רחמים זרוק"</f>
        <v>רחמים זרוק</v>
      </c>
      <c r="J1909" t="str">
        <f>"OP-AR03260"</f>
        <v>OP-AR03260</v>
      </c>
      <c r="K1909" s="1" t="str">
        <f>"1035C391-001   GROUND CABLE 3W091 - DOOR TO RACK-GND"</f>
        <v>1035C391-001   GROUND CABLE 3W091 - DOOR TO RACK-GND</v>
      </c>
      <c r="L1909">
        <v>2</v>
      </c>
      <c r="M1909" t="str">
        <f>"PR22000553"</f>
        <v>PR22000553</v>
      </c>
      <c r="N1909" t="str">
        <f>"E000370512"</f>
        <v>E000370512</v>
      </c>
      <c r="O1909">
        <v>122.3</v>
      </c>
      <c r="P1909" t="str">
        <f>"$"</f>
        <v>$</v>
      </c>
      <c r="Q1909" t="str">
        <f>"117"</f>
        <v>117</v>
      </c>
      <c r="R1909" t="str">
        <f>"רתמות"</f>
        <v>רתמות</v>
      </c>
      <c r="S1909" t="str">
        <f>"040"</f>
        <v>040</v>
      </c>
      <c r="T1909" t="str">
        <f>"עמר ליגל"</f>
        <v>עמר ליגל</v>
      </c>
      <c r="U1909">
        <v>0</v>
      </c>
      <c r="V1909">
        <v>0</v>
      </c>
      <c r="W1909">
        <v>122.3</v>
      </c>
      <c r="X1909">
        <v>244.6</v>
      </c>
      <c r="Z1909" t="str">
        <f>"Y"</f>
        <v>Y</v>
      </c>
      <c r="AA1909">
        <v>0</v>
      </c>
      <c r="AC1909">
        <v>0</v>
      </c>
      <c r="AE1909">
        <v>0</v>
      </c>
      <c r="AF1909">
        <v>0</v>
      </c>
      <c r="AG1909">
        <v>399.31</v>
      </c>
      <c r="AH1909">
        <v>0</v>
      </c>
      <c r="AI1909">
        <v>798.62</v>
      </c>
      <c r="AJ1909">
        <v>244.6</v>
      </c>
      <c r="AK1909">
        <v>244.6</v>
      </c>
      <c r="AL1909" t="str">
        <f>"$"</f>
        <v>$</v>
      </c>
    </row>
    <row r="1910" spans="1:38" x14ac:dyDescent="0.3">
      <c r="A1910" t="str">
        <f>"SO22000329"</f>
        <v>SO22000329</v>
      </c>
      <c r="B1910" t="str">
        <f>"E000370512"</f>
        <v>E000370512</v>
      </c>
      <c r="C1910" t="str">
        <f>"הרכבה חלקית"</f>
        <v>הרכבה חלקית</v>
      </c>
      <c r="E1910" s="3">
        <v>44788</v>
      </c>
      <c r="F1910" s="3">
        <v>44874</v>
      </c>
      <c r="G1910" t="str">
        <f>"700065"</f>
        <v>700065</v>
      </c>
      <c r="H1910" t="str">
        <f>"אלתא מערכות בע""מ"</f>
        <v>אלתא מערכות בע"מ</v>
      </c>
      <c r="I1910" t="str">
        <f>"רחמים זרוק"</f>
        <v>רחמים זרוק</v>
      </c>
      <c r="J1910" t="str">
        <f>"OP-AR02235"</f>
        <v>OP-AR02235</v>
      </c>
      <c r="K1910" s="1" t="str">
        <f>"1036C426-001   HARNESS W426 - EPU - PDU1 CONTROL"</f>
        <v>1036C426-001   HARNESS W426 - EPU - PDU1 CONTROL</v>
      </c>
      <c r="L1910">
        <v>2</v>
      </c>
      <c r="M1910" t="str">
        <f>"PR22000553"</f>
        <v>PR22000553</v>
      </c>
      <c r="N1910" t="str">
        <f>"E000370512"</f>
        <v>E000370512</v>
      </c>
      <c r="O1910" s="2">
        <v>3307.94</v>
      </c>
      <c r="P1910" t="str">
        <f>"$"</f>
        <v>$</v>
      </c>
      <c r="Q1910" t="str">
        <f>"117"</f>
        <v>117</v>
      </c>
      <c r="R1910" t="str">
        <f>"רתמות"</f>
        <v>רתמות</v>
      </c>
      <c r="S1910" t="str">
        <f>"040"</f>
        <v>040</v>
      </c>
      <c r="T1910" t="str">
        <f>"עמר ליגל"</f>
        <v>עמר ליגל</v>
      </c>
      <c r="U1910">
        <v>0</v>
      </c>
      <c r="V1910">
        <v>0</v>
      </c>
      <c r="W1910" s="2">
        <v>3307.94</v>
      </c>
      <c r="X1910" s="2">
        <v>6615.88</v>
      </c>
      <c r="Z1910" t="str">
        <f>"Y"</f>
        <v>Y</v>
      </c>
      <c r="AA1910">
        <v>0</v>
      </c>
      <c r="AC1910">
        <v>0</v>
      </c>
      <c r="AE1910">
        <v>0</v>
      </c>
      <c r="AF1910">
        <v>0</v>
      </c>
      <c r="AG1910" s="2">
        <v>10800.42</v>
      </c>
      <c r="AH1910">
        <v>0</v>
      </c>
      <c r="AI1910" s="2">
        <v>21600.85</v>
      </c>
      <c r="AJ1910" s="2">
        <v>6615.88</v>
      </c>
      <c r="AK1910" s="2">
        <v>6615.88</v>
      </c>
      <c r="AL1910" t="str">
        <f>"$"</f>
        <v>$</v>
      </c>
    </row>
    <row r="1911" spans="1:38" x14ac:dyDescent="0.3">
      <c r="A1911" t="str">
        <f>"SO22000329"</f>
        <v>SO22000329</v>
      </c>
      <c r="B1911" t="str">
        <f>"E000370512"</f>
        <v>E000370512</v>
      </c>
      <c r="C1911" t="str">
        <f>"הרכבה חלקית"</f>
        <v>הרכבה חלקית</v>
      </c>
      <c r="E1911" s="3">
        <v>44788</v>
      </c>
      <c r="F1911" s="3">
        <v>44860</v>
      </c>
      <c r="G1911" t="str">
        <f>"700065"</f>
        <v>700065</v>
      </c>
      <c r="H1911" t="str">
        <f>"אלתא מערכות בע""מ"</f>
        <v>אלתא מערכות בע"מ</v>
      </c>
      <c r="I1911" t="str">
        <f>"רחמים זרוק"</f>
        <v>רחמים זרוק</v>
      </c>
      <c r="J1911" t="str">
        <f>"OP-AR03261"</f>
        <v>OP-AR03261</v>
      </c>
      <c r="K1911" s="1" t="str">
        <f>"1018M578-001    HARNESS W5327 RACK 2 PDU TO CSM HOST"</f>
        <v>1018M578-001    HARNESS W5327 RACK 2 PDU TO CSM HOST</v>
      </c>
      <c r="L1911">
        <v>1</v>
      </c>
      <c r="M1911" t="str">
        <f>"PR22000553"</f>
        <v>PR22000553</v>
      </c>
      <c r="N1911" t="str">
        <f>"E000370512"</f>
        <v>E000370512</v>
      </c>
      <c r="O1911">
        <v>526.33000000000004</v>
      </c>
      <c r="P1911" t="str">
        <f>"$"</f>
        <v>$</v>
      </c>
      <c r="Q1911" t="str">
        <f>"117"</f>
        <v>117</v>
      </c>
      <c r="R1911" t="str">
        <f>"רתמות"</f>
        <v>רתמות</v>
      </c>
      <c r="S1911" t="str">
        <f>"040"</f>
        <v>040</v>
      </c>
      <c r="T1911" t="str">
        <f>"עמר ליגל"</f>
        <v>עמר ליגל</v>
      </c>
      <c r="U1911">
        <v>0</v>
      </c>
      <c r="V1911">
        <v>0</v>
      </c>
      <c r="W1911">
        <v>526.33000000000004</v>
      </c>
      <c r="X1911">
        <v>526.33000000000004</v>
      </c>
      <c r="Z1911" t="str">
        <f>"Y"</f>
        <v>Y</v>
      </c>
      <c r="AA1911">
        <v>0</v>
      </c>
      <c r="AC1911">
        <v>0</v>
      </c>
      <c r="AE1911">
        <v>0</v>
      </c>
      <c r="AF1911">
        <v>0</v>
      </c>
      <c r="AG1911" s="2">
        <v>1718.47</v>
      </c>
      <c r="AH1911">
        <v>0</v>
      </c>
      <c r="AI1911" s="2">
        <v>1718.47</v>
      </c>
      <c r="AJ1911">
        <v>526.33000000000004</v>
      </c>
      <c r="AK1911">
        <v>526.33000000000004</v>
      </c>
      <c r="AL1911" t="str">
        <f>"$"</f>
        <v>$</v>
      </c>
    </row>
    <row r="1912" spans="1:38" x14ac:dyDescent="0.3">
      <c r="A1912" t="str">
        <f>"SO22000330"</f>
        <v>SO22000330</v>
      </c>
      <c r="B1912" t="str">
        <f>"E000370958"</f>
        <v>E000370958</v>
      </c>
      <c r="C1912" t="str">
        <f>"בוצעה"</f>
        <v>בוצעה</v>
      </c>
      <c r="E1912" s="3">
        <v>44788</v>
      </c>
      <c r="F1912" s="3">
        <v>44849</v>
      </c>
      <c r="G1912" t="str">
        <f>"700065"</f>
        <v>700065</v>
      </c>
      <c r="H1912" t="str">
        <f>"אלתא מערכות בע""מ"</f>
        <v>אלתא מערכות בע"מ</v>
      </c>
      <c r="I1912" t="str">
        <f>"רוני דידי"</f>
        <v>רוני דידי</v>
      </c>
      <c r="J1912" t="str">
        <f>"cust001406"</f>
        <v>cust001406</v>
      </c>
      <c r="K1912" s="1" t="str">
        <f>"מטען מצברים 1039V517-001 ירוק ELTA"</f>
        <v>מטען מצברים 1039V517-001 ירוק ELTA</v>
      </c>
      <c r="L1912">
        <v>1</v>
      </c>
      <c r="O1912">
        <v>0</v>
      </c>
      <c r="P1912" t="str">
        <f>"$"</f>
        <v>$</v>
      </c>
      <c r="Q1912" t="str">
        <f>"118"</f>
        <v>118</v>
      </c>
      <c r="R1912" t="str">
        <f>"מערכות"</f>
        <v>מערכות</v>
      </c>
      <c r="S1912" t="str">
        <f>"007"</f>
        <v>007</v>
      </c>
      <c r="T1912" t="str">
        <f>"עמר ליגל"</f>
        <v>עמר ליגל</v>
      </c>
      <c r="U1912">
        <v>0</v>
      </c>
      <c r="V1912">
        <v>0</v>
      </c>
      <c r="W1912">
        <v>0</v>
      </c>
      <c r="X1912">
        <v>0</v>
      </c>
      <c r="Z1912" t="str">
        <f>"Y"</f>
        <v>Y</v>
      </c>
      <c r="AA1912">
        <v>0</v>
      </c>
      <c r="AC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 t="str">
        <f>"$"</f>
        <v>$</v>
      </c>
    </row>
    <row r="1913" spans="1:38" x14ac:dyDescent="0.3">
      <c r="A1913" t="str">
        <f>"SO22000331"</f>
        <v>SO22000331</v>
      </c>
      <c r="B1913" t="str">
        <f>"E000372142"</f>
        <v>E000372142</v>
      </c>
      <c r="C1913" t="str">
        <f>"הרכבה חלקית"</f>
        <v>הרכבה חלקית</v>
      </c>
      <c r="E1913" s="3">
        <v>44788</v>
      </c>
      <c r="F1913" s="3">
        <v>44900</v>
      </c>
      <c r="G1913" t="str">
        <f>"700065"</f>
        <v>700065</v>
      </c>
      <c r="H1913" t="str">
        <f>"אלתא מערכות בע""מ"</f>
        <v>אלתא מערכות בע"מ</v>
      </c>
      <c r="I1913" t="str">
        <f>"רחמים זרוק"</f>
        <v>רחמים זרוק</v>
      </c>
      <c r="J1913" t="str">
        <f>"OP-AR01663"</f>
        <v>OP-AR01663</v>
      </c>
      <c r="K1913" s="1" t="str">
        <f>"6649E011-001 SYSTEM BUNDLE TO RSU - POWER"</f>
        <v>6649E011-001 SYSTEM BUNDLE TO RSU - POWER</v>
      </c>
      <c r="L1913">
        <v>1</v>
      </c>
      <c r="M1913" t="str">
        <f>"PR22000579"</f>
        <v>PR22000579</v>
      </c>
      <c r="N1913" t="str">
        <f>"E000372142"</f>
        <v>E000372142</v>
      </c>
      <c r="O1913">
        <v>352.43</v>
      </c>
      <c r="P1913" t="str">
        <f>"$"</f>
        <v>$</v>
      </c>
      <c r="Q1913" t="str">
        <f>"117"</f>
        <v>117</v>
      </c>
      <c r="R1913" t="str">
        <f>"רתמות"</f>
        <v>רתמות</v>
      </c>
      <c r="S1913" t="str">
        <f>"040"</f>
        <v>040</v>
      </c>
      <c r="T1913" t="str">
        <f>"עמר ליגל"</f>
        <v>עמר ליגל</v>
      </c>
      <c r="U1913">
        <v>0</v>
      </c>
      <c r="V1913">
        <v>0</v>
      </c>
      <c r="W1913">
        <v>352.43</v>
      </c>
      <c r="X1913">
        <v>352.43</v>
      </c>
      <c r="Z1913" t="str">
        <f>"Y"</f>
        <v>Y</v>
      </c>
      <c r="AA1913">
        <v>0</v>
      </c>
      <c r="AC1913">
        <v>0</v>
      </c>
      <c r="AE1913">
        <v>0</v>
      </c>
      <c r="AF1913">
        <v>0</v>
      </c>
      <c r="AG1913" s="2">
        <v>1150.68</v>
      </c>
      <c r="AH1913">
        <v>0</v>
      </c>
      <c r="AI1913" s="2">
        <v>1150.68</v>
      </c>
      <c r="AJ1913">
        <v>352.43</v>
      </c>
      <c r="AK1913">
        <v>352.43</v>
      </c>
      <c r="AL1913" t="str">
        <f>"$"</f>
        <v>$</v>
      </c>
    </row>
    <row r="1914" spans="1:38" x14ac:dyDescent="0.3">
      <c r="A1914" t="str">
        <f>"SO22000331"</f>
        <v>SO22000331</v>
      </c>
      <c r="B1914" t="str">
        <f>"E000372142"</f>
        <v>E000372142</v>
      </c>
      <c r="C1914" t="str">
        <f>"הרכבה חלקית"</f>
        <v>הרכבה חלקית</v>
      </c>
      <c r="E1914" s="3">
        <v>44788</v>
      </c>
      <c r="F1914" s="3">
        <v>44900</v>
      </c>
      <c r="G1914" t="str">
        <f>"700065"</f>
        <v>700065</v>
      </c>
      <c r="H1914" t="str">
        <f>"אלתא מערכות בע""מ"</f>
        <v>אלתא מערכות בע"מ</v>
      </c>
      <c r="I1914" t="str">
        <f>"רחמים זרוק"</f>
        <v>רחמים זרוק</v>
      </c>
      <c r="J1914" t="str">
        <f>"OP-AR01664"</f>
        <v>OP-AR01664</v>
      </c>
      <c r="K1914" s="1" t="str">
        <f>"6649E012-001 SYSTEM BUNDLE TO RSU - COMMUNICATIO"</f>
        <v>6649E012-001 SYSTEM BUNDLE TO RSU - COMMUNICATIO</v>
      </c>
      <c r="L1914">
        <v>1</v>
      </c>
      <c r="M1914" t="str">
        <f>"PR22000579"</f>
        <v>PR22000579</v>
      </c>
      <c r="N1914" t="str">
        <f>"E000372142"</f>
        <v>E000372142</v>
      </c>
      <c r="O1914">
        <v>493.04</v>
      </c>
      <c r="P1914" t="str">
        <f>"$"</f>
        <v>$</v>
      </c>
      <c r="Q1914" t="str">
        <f>"117"</f>
        <v>117</v>
      </c>
      <c r="R1914" t="str">
        <f>"רתמות"</f>
        <v>רתמות</v>
      </c>
      <c r="S1914" t="str">
        <f>"040"</f>
        <v>040</v>
      </c>
      <c r="T1914" t="str">
        <f>"עמר ליגל"</f>
        <v>עמר ליגל</v>
      </c>
      <c r="U1914">
        <v>0</v>
      </c>
      <c r="V1914">
        <v>0</v>
      </c>
      <c r="W1914">
        <v>493.04</v>
      </c>
      <c r="X1914">
        <v>493.04</v>
      </c>
      <c r="Z1914" t="str">
        <f>"Y"</f>
        <v>Y</v>
      </c>
      <c r="AA1914">
        <v>0</v>
      </c>
      <c r="AC1914">
        <v>0</v>
      </c>
      <c r="AE1914">
        <v>0</v>
      </c>
      <c r="AF1914">
        <v>0</v>
      </c>
      <c r="AG1914" s="2">
        <v>1609.78</v>
      </c>
      <c r="AH1914">
        <v>0</v>
      </c>
      <c r="AI1914" s="2">
        <v>1609.78</v>
      </c>
      <c r="AJ1914">
        <v>493.04</v>
      </c>
      <c r="AK1914">
        <v>493.04</v>
      </c>
      <c r="AL1914" t="str">
        <f>"$"</f>
        <v>$</v>
      </c>
    </row>
    <row r="1915" spans="1:38" x14ac:dyDescent="0.3">
      <c r="A1915" t="str">
        <f>"SO22000331"</f>
        <v>SO22000331</v>
      </c>
      <c r="B1915" t="str">
        <f>"E000372142"</f>
        <v>E000372142</v>
      </c>
      <c r="C1915" t="str">
        <f>"הרכבה חלקית"</f>
        <v>הרכבה חלקית</v>
      </c>
      <c r="E1915" s="3">
        <v>44788</v>
      </c>
      <c r="F1915" s="3">
        <v>44900</v>
      </c>
      <c r="G1915" t="str">
        <f>"700065"</f>
        <v>700065</v>
      </c>
      <c r="H1915" t="str">
        <f>"אלתא מערכות בע""מ"</f>
        <v>אלתא מערכות בע"מ</v>
      </c>
      <c r="I1915" t="str">
        <f>"רחמים זרוק"</f>
        <v>רחמים זרוק</v>
      </c>
      <c r="J1915" t="str">
        <f>"OP-AR01675"</f>
        <v>OP-AR01675</v>
      </c>
      <c r="K1915" s="1" t="str">
        <f>"6649E301-001 W1091"</f>
        <v>6649E301-001 W1091</v>
      </c>
      <c r="L1915">
        <v>1</v>
      </c>
      <c r="M1915" t="str">
        <f>"PR22000579"</f>
        <v>PR22000579</v>
      </c>
      <c r="N1915" t="str">
        <f>"E000372142"</f>
        <v>E000372142</v>
      </c>
      <c r="O1915">
        <v>472.33</v>
      </c>
      <c r="P1915" t="str">
        <f>"$"</f>
        <v>$</v>
      </c>
      <c r="Q1915" t="str">
        <f>"117"</f>
        <v>117</v>
      </c>
      <c r="R1915" t="str">
        <f>"רתמות"</f>
        <v>רתמות</v>
      </c>
      <c r="S1915" t="str">
        <f>"040"</f>
        <v>040</v>
      </c>
      <c r="T1915" t="str">
        <f>"עמר ליגל"</f>
        <v>עמר ליגל</v>
      </c>
      <c r="U1915">
        <v>0</v>
      </c>
      <c r="V1915">
        <v>0</v>
      </c>
      <c r="W1915">
        <v>472.33</v>
      </c>
      <c r="X1915">
        <v>472.33</v>
      </c>
      <c r="Z1915" t="str">
        <f>"Y"</f>
        <v>Y</v>
      </c>
      <c r="AA1915">
        <v>0</v>
      </c>
      <c r="AC1915">
        <v>0</v>
      </c>
      <c r="AE1915">
        <v>0</v>
      </c>
      <c r="AF1915">
        <v>0</v>
      </c>
      <c r="AG1915" s="2">
        <v>1542.16</v>
      </c>
      <c r="AH1915">
        <v>0</v>
      </c>
      <c r="AI1915" s="2">
        <v>1542.16</v>
      </c>
      <c r="AJ1915">
        <v>472.33</v>
      </c>
      <c r="AK1915">
        <v>472.33</v>
      </c>
      <c r="AL1915" t="str">
        <f>"$"</f>
        <v>$</v>
      </c>
    </row>
    <row r="1916" spans="1:38" x14ac:dyDescent="0.3">
      <c r="A1916" t="str">
        <f>"SO22000331"</f>
        <v>SO22000331</v>
      </c>
      <c r="B1916" t="str">
        <f>"E000372142"</f>
        <v>E000372142</v>
      </c>
      <c r="C1916" t="str">
        <f>"הרכבה חלקית"</f>
        <v>הרכבה חלקית</v>
      </c>
      <c r="E1916" s="3">
        <v>44788</v>
      </c>
      <c r="F1916" s="3">
        <v>44900</v>
      </c>
      <c r="G1916" t="str">
        <f>"700065"</f>
        <v>700065</v>
      </c>
      <c r="H1916" t="str">
        <f>"אלתא מערכות בע""מ"</f>
        <v>אלתא מערכות בע"מ</v>
      </c>
      <c r="I1916" t="str">
        <f>"רחמים זרוק"</f>
        <v>רחמים זרוק</v>
      </c>
      <c r="J1916" t="str">
        <f>"OP-AR01677"</f>
        <v>OP-AR01677</v>
      </c>
      <c r="K1916" s="1" t="str">
        <f>"6649E612-001 ANT DGPS TBDM"</f>
        <v>6649E612-001 ANT DGPS TBDM</v>
      </c>
      <c r="L1916">
        <v>1</v>
      </c>
      <c r="M1916" t="str">
        <f>"PR22000579"</f>
        <v>PR22000579</v>
      </c>
      <c r="N1916" t="str">
        <f>"E000372142"</f>
        <v>E000372142</v>
      </c>
      <c r="O1916">
        <v>127.43</v>
      </c>
      <c r="P1916" t="str">
        <f>"$"</f>
        <v>$</v>
      </c>
      <c r="Q1916" t="str">
        <f>"117"</f>
        <v>117</v>
      </c>
      <c r="R1916" t="str">
        <f>"רתמות"</f>
        <v>רתמות</v>
      </c>
      <c r="S1916" t="str">
        <f>"040"</f>
        <v>040</v>
      </c>
      <c r="T1916" t="str">
        <f>"עמר ליגל"</f>
        <v>עמר ליגל</v>
      </c>
      <c r="U1916">
        <v>0</v>
      </c>
      <c r="V1916">
        <v>0</v>
      </c>
      <c r="W1916">
        <v>127.43</v>
      </c>
      <c r="X1916">
        <v>127.43</v>
      </c>
      <c r="Z1916" t="str">
        <f>"Y"</f>
        <v>Y</v>
      </c>
      <c r="AA1916">
        <v>0</v>
      </c>
      <c r="AC1916">
        <v>0</v>
      </c>
      <c r="AE1916">
        <v>0</v>
      </c>
      <c r="AF1916">
        <v>0</v>
      </c>
      <c r="AG1916">
        <v>416.06</v>
      </c>
      <c r="AH1916">
        <v>0</v>
      </c>
      <c r="AI1916">
        <v>416.06</v>
      </c>
      <c r="AJ1916">
        <v>127.43</v>
      </c>
      <c r="AK1916">
        <v>127.43</v>
      </c>
      <c r="AL1916" t="str">
        <f>"$"</f>
        <v>$</v>
      </c>
    </row>
    <row r="1917" spans="1:38" x14ac:dyDescent="0.3">
      <c r="A1917" t="str">
        <f>"SO22000331"</f>
        <v>SO22000331</v>
      </c>
      <c r="B1917" t="str">
        <f>"E000372142"</f>
        <v>E000372142</v>
      </c>
      <c r="C1917" t="str">
        <f>"הרכבה חלקית"</f>
        <v>הרכבה חלקית</v>
      </c>
      <c r="E1917" s="3">
        <v>44788</v>
      </c>
      <c r="F1917" s="3">
        <v>44900</v>
      </c>
      <c r="G1917" t="str">
        <f>"700065"</f>
        <v>700065</v>
      </c>
      <c r="H1917" t="str">
        <f>"אלתא מערכות בע""מ"</f>
        <v>אלתא מערכות בע"מ</v>
      </c>
      <c r="I1917" t="str">
        <f>"רחמים זרוק"</f>
        <v>רחמים זרוק</v>
      </c>
      <c r="J1917" t="str">
        <f>"OP-AR01674"</f>
        <v>OP-AR01674</v>
      </c>
      <c r="K1917" s="1" t="str">
        <f>"6649E322-001 W1292"</f>
        <v>6649E322-001 W1292</v>
      </c>
      <c r="L1917">
        <v>1</v>
      </c>
      <c r="M1917" t="str">
        <f>"PR22000579"</f>
        <v>PR22000579</v>
      </c>
      <c r="N1917" t="str">
        <f>"E000372142"</f>
        <v>E000372142</v>
      </c>
      <c r="O1917">
        <v>485.22</v>
      </c>
      <c r="P1917" t="str">
        <f>"$"</f>
        <v>$</v>
      </c>
      <c r="Q1917" t="str">
        <f>"117"</f>
        <v>117</v>
      </c>
      <c r="R1917" t="str">
        <f>"רתמות"</f>
        <v>רתמות</v>
      </c>
      <c r="S1917" t="str">
        <f>"040"</f>
        <v>040</v>
      </c>
      <c r="T1917" t="str">
        <f>"עמר ליגל"</f>
        <v>עמר ליגל</v>
      </c>
      <c r="U1917">
        <v>0</v>
      </c>
      <c r="V1917">
        <v>0</v>
      </c>
      <c r="W1917">
        <v>485.22</v>
      </c>
      <c r="X1917">
        <v>485.22</v>
      </c>
      <c r="Z1917" t="str">
        <f>"Y"</f>
        <v>Y</v>
      </c>
      <c r="AA1917">
        <v>0</v>
      </c>
      <c r="AC1917">
        <v>0</v>
      </c>
      <c r="AE1917">
        <v>0</v>
      </c>
      <c r="AF1917">
        <v>0</v>
      </c>
      <c r="AG1917" s="2">
        <v>1584.24</v>
      </c>
      <c r="AH1917">
        <v>0</v>
      </c>
      <c r="AI1917" s="2">
        <v>1584.24</v>
      </c>
      <c r="AJ1917">
        <v>485.22</v>
      </c>
      <c r="AK1917">
        <v>485.22</v>
      </c>
      <c r="AL1917" t="str">
        <f>"$"</f>
        <v>$</v>
      </c>
    </row>
    <row r="1918" spans="1:38" x14ac:dyDescent="0.3">
      <c r="A1918" t="str">
        <f>"SO22000331"</f>
        <v>SO22000331</v>
      </c>
      <c r="B1918" t="str">
        <f>"E000372142"</f>
        <v>E000372142</v>
      </c>
      <c r="C1918" t="str">
        <f>"הרכבה חלקית"</f>
        <v>הרכבה חלקית</v>
      </c>
      <c r="E1918" s="3">
        <v>44788</v>
      </c>
      <c r="F1918" s="3">
        <v>44900</v>
      </c>
      <c r="G1918" t="str">
        <f>"700065"</f>
        <v>700065</v>
      </c>
      <c r="H1918" t="str">
        <f>"אלתא מערכות בע""מ"</f>
        <v>אלתא מערכות בע"מ</v>
      </c>
      <c r="I1918" t="str">
        <f>"רחמים זרוק"</f>
        <v>רחמים זרוק</v>
      </c>
      <c r="J1918" t="str">
        <f>"OP-AR01667"</f>
        <v>OP-AR01667</v>
      </c>
      <c r="K1918" s="1" t="str">
        <f>"6660J719-003 W719"</f>
        <v>6660J719-003 W719</v>
      </c>
      <c r="L1918">
        <v>2</v>
      </c>
      <c r="M1918" t="str">
        <f>"PR22000579"</f>
        <v>PR22000579</v>
      </c>
      <c r="N1918" t="str">
        <f>"E000372142"</f>
        <v>E000372142</v>
      </c>
      <c r="O1918">
        <v>782.11</v>
      </c>
      <c r="P1918" t="str">
        <f>"$"</f>
        <v>$</v>
      </c>
      <c r="Q1918" t="str">
        <f>"117"</f>
        <v>117</v>
      </c>
      <c r="R1918" t="str">
        <f>"רתמות"</f>
        <v>רתמות</v>
      </c>
      <c r="S1918" t="str">
        <f>"040"</f>
        <v>040</v>
      </c>
      <c r="T1918" t="str">
        <f>"עמר ליגל"</f>
        <v>עמר ליגל</v>
      </c>
      <c r="U1918">
        <v>0</v>
      </c>
      <c r="V1918">
        <v>0</v>
      </c>
      <c r="W1918">
        <v>782.11</v>
      </c>
      <c r="X1918" s="2">
        <v>1564.22</v>
      </c>
      <c r="Z1918" t="str">
        <f>"Y"</f>
        <v>Y</v>
      </c>
      <c r="AA1918">
        <v>0</v>
      </c>
      <c r="AC1918">
        <v>0</v>
      </c>
      <c r="AE1918">
        <v>0</v>
      </c>
      <c r="AF1918">
        <v>0</v>
      </c>
      <c r="AG1918" s="2">
        <v>2553.59</v>
      </c>
      <c r="AH1918">
        <v>0</v>
      </c>
      <c r="AI1918" s="2">
        <v>5107.18</v>
      </c>
      <c r="AJ1918" s="2">
        <v>1564.22</v>
      </c>
      <c r="AK1918" s="2">
        <v>1564.22</v>
      </c>
      <c r="AL1918" t="str">
        <f>"$"</f>
        <v>$</v>
      </c>
    </row>
    <row r="1919" spans="1:38" x14ac:dyDescent="0.3">
      <c r="A1919" t="str">
        <f>"SO22000332"</f>
        <v>SO22000332</v>
      </c>
      <c r="B1919" t="str">
        <f>"E000372167"</f>
        <v>E000372167</v>
      </c>
      <c r="C1919" t="str">
        <f>"הרכבה חלקית"</f>
        <v>הרכבה חלקית</v>
      </c>
      <c r="E1919" s="3">
        <v>44788</v>
      </c>
      <c r="F1919" s="3">
        <v>44814</v>
      </c>
      <c r="G1919" t="str">
        <f>"700065"</f>
        <v>700065</v>
      </c>
      <c r="H1919" t="str">
        <f>"אלתא מערכות בע""מ"</f>
        <v>אלתא מערכות בע"מ</v>
      </c>
      <c r="I1919" t="str">
        <f>"רחמים זרוק"</f>
        <v>רחמים זרוק</v>
      </c>
      <c r="J1919" t="str">
        <f>"OP-AR03263"</f>
        <v>OP-AR03263</v>
      </c>
      <c r="K1919" s="1" t="str">
        <f>"1035C390-001    GROUND CABLE 3W090 - UNIT TO RACK-GND"</f>
        <v>1035C390-001    GROUND CABLE 3W090 - UNIT TO RACK-GND</v>
      </c>
      <c r="L1919">
        <v>13</v>
      </c>
      <c r="M1919" t="str">
        <f>"PR22000581"</f>
        <v>PR22000581</v>
      </c>
      <c r="N1919" t="str">
        <f>"E000372167"</f>
        <v>E000372167</v>
      </c>
      <c r="O1919">
        <v>67.900000000000006</v>
      </c>
      <c r="P1919" t="str">
        <f>"$"</f>
        <v>$</v>
      </c>
      <c r="Q1919" t="str">
        <f>"117"</f>
        <v>117</v>
      </c>
      <c r="R1919" t="str">
        <f>"רתמות"</f>
        <v>רתמות</v>
      </c>
      <c r="S1919" t="str">
        <f>"040"</f>
        <v>040</v>
      </c>
      <c r="T1919" t="str">
        <f>"עמר ליגל"</f>
        <v>עמר ליגל</v>
      </c>
      <c r="U1919">
        <v>0</v>
      </c>
      <c r="V1919">
        <v>0</v>
      </c>
      <c r="W1919">
        <v>67.900000000000006</v>
      </c>
      <c r="X1919">
        <v>882.7</v>
      </c>
      <c r="Z1919" t="str">
        <f>"Y"</f>
        <v>Y</v>
      </c>
      <c r="AA1919">
        <v>0</v>
      </c>
      <c r="AC1919">
        <v>0</v>
      </c>
      <c r="AE1919">
        <v>0</v>
      </c>
      <c r="AF1919">
        <v>0</v>
      </c>
      <c r="AG1919">
        <v>221.69</v>
      </c>
      <c r="AH1919">
        <v>0</v>
      </c>
      <c r="AI1919" s="2">
        <v>2882.02</v>
      </c>
      <c r="AJ1919">
        <v>882.7</v>
      </c>
      <c r="AK1919">
        <v>882.7</v>
      </c>
      <c r="AL1919" t="str">
        <f>"$"</f>
        <v>$</v>
      </c>
    </row>
    <row r="1920" spans="1:38" x14ac:dyDescent="0.3">
      <c r="A1920" t="str">
        <f>"SO22000332"</f>
        <v>SO22000332</v>
      </c>
      <c r="B1920" t="str">
        <f>"E000372167"</f>
        <v>E000372167</v>
      </c>
      <c r="C1920" t="str">
        <f>"הרכבה חלקית"</f>
        <v>הרכבה חלקית</v>
      </c>
      <c r="E1920" s="3">
        <v>44788</v>
      </c>
      <c r="F1920" s="3">
        <v>44895</v>
      </c>
      <c r="G1920" t="str">
        <f>"700065"</f>
        <v>700065</v>
      </c>
      <c r="H1920" t="str">
        <f>"אלתא מערכות בע""מ"</f>
        <v>אלתא מערכות בע"מ</v>
      </c>
      <c r="I1920" t="str">
        <f>"רחמים זרוק"</f>
        <v>רחמים זרוק</v>
      </c>
      <c r="J1920" t="str">
        <f>"OP-AR03264"</f>
        <v>OP-AR03264</v>
      </c>
      <c r="K1920" s="1" t="str">
        <f>"6930B166-001    INTEGRATION CABLE PWR TO IFF"</f>
        <v>6930B166-001    INTEGRATION CABLE PWR TO IFF</v>
      </c>
      <c r="L1920">
        <v>1</v>
      </c>
      <c r="M1920" t="str">
        <f>"PR22000581"</f>
        <v>PR22000581</v>
      </c>
      <c r="N1920" t="str">
        <f>"E000372167"</f>
        <v>E000372167</v>
      </c>
      <c r="O1920">
        <v>225.32</v>
      </c>
      <c r="P1920" t="str">
        <f>"$"</f>
        <v>$</v>
      </c>
      <c r="Q1920" t="str">
        <f>"117"</f>
        <v>117</v>
      </c>
      <c r="R1920" t="str">
        <f>"רתמות"</f>
        <v>רתמות</v>
      </c>
      <c r="S1920" t="str">
        <f>"040"</f>
        <v>040</v>
      </c>
      <c r="T1920" t="str">
        <f>"עמר ליגל"</f>
        <v>עמר ליגל</v>
      </c>
      <c r="U1920">
        <v>0</v>
      </c>
      <c r="V1920">
        <v>0</v>
      </c>
      <c r="W1920">
        <v>225.32</v>
      </c>
      <c r="X1920">
        <v>225.32</v>
      </c>
      <c r="AA1920">
        <v>1</v>
      </c>
      <c r="AC1920">
        <v>0</v>
      </c>
      <c r="AE1920">
        <v>0</v>
      </c>
      <c r="AF1920">
        <v>0</v>
      </c>
      <c r="AG1920">
        <v>735.67</v>
      </c>
      <c r="AH1920">
        <v>0</v>
      </c>
      <c r="AI1920">
        <v>735.67</v>
      </c>
      <c r="AJ1920">
        <v>225.32</v>
      </c>
      <c r="AK1920">
        <v>225.32</v>
      </c>
      <c r="AL1920" t="str">
        <f>"$"</f>
        <v>$</v>
      </c>
    </row>
    <row r="1921" spans="1:38" x14ac:dyDescent="0.3">
      <c r="A1921" t="str">
        <f>"SO22000332"</f>
        <v>SO22000332</v>
      </c>
      <c r="B1921" t="str">
        <f>"E000372167"</f>
        <v>E000372167</v>
      </c>
      <c r="C1921" t="str">
        <f>"הרכבה חלקית"</f>
        <v>הרכבה חלקית</v>
      </c>
      <c r="E1921" s="3">
        <v>44788</v>
      </c>
      <c r="F1921" s="3">
        <v>44895</v>
      </c>
      <c r="G1921" t="str">
        <f>"700065"</f>
        <v>700065</v>
      </c>
      <c r="H1921" t="str">
        <f>"אלתא מערכות בע""מ"</f>
        <v>אלתא מערכות בע"מ</v>
      </c>
      <c r="I1921" t="str">
        <f>"רחמים זרוק"</f>
        <v>רחמים זרוק</v>
      </c>
      <c r="J1921" t="str">
        <f>"OP-AR03265"</f>
        <v>OP-AR03265</v>
      </c>
      <c r="K1921" s="1" t="str">
        <f>"6930B167-001   INTEGRATION CABLE IFF CTRL"</f>
        <v>6930B167-001   INTEGRATION CABLE IFF CTRL</v>
      </c>
      <c r="L1921">
        <v>1</v>
      </c>
      <c r="M1921" t="str">
        <f>"PR22000581"</f>
        <v>PR22000581</v>
      </c>
      <c r="N1921" t="str">
        <f>"E000372167"</f>
        <v>E000372167</v>
      </c>
      <c r="O1921">
        <v>402.81</v>
      </c>
      <c r="P1921" t="str">
        <f>"$"</f>
        <v>$</v>
      </c>
      <c r="Q1921" t="str">
        <f>"117"</f>
        <v>117</v>
      </c>
      <c r="R1921" t="str">
        <f>"רתמות"</f>
        <v>רתמות</v>
      </c>
      <c r="S1921" t="str">
        <f>"040"</f>
        <v>040</v>
      </c>
      <c r="T1921" t="str">
        <f>"עמר ליגל"</f>
        <v>עמר ליגל</v>
      </c>
      <c r="U1921">
        <v>0</v>
      </c>
      <c r="V1921">
        <v>0</v>
      </c>
      <c r="W1921">
        <v>402.81</v>
      </c>
      <c r="X1921">
        <v>402.81</v>
      </c>
      <c r="Z1921" t="str">
        <f>"Y"</f>
        <v>Y</v>
      </c>
      <c r="AA1921">
        <v>0</v>
      </c>
      <c r="AC1921">
        <v>0</v>
      </c>
      <c r="AE1921">
        <v>0</v>
      </c>
      <c r="AF1921">
        <v>0</v>
      </c>
      <c r="AG1921" s="2">
        <v>1315.17</v>
      </c>
      <c r="AH1921">
        <v>0</v>
      </c>
      <c r="AI1921" s="2">
        <v>1315.17</v>
      </c>
      <c r="AJ1921">
        <v>402.81</v>
      </c>
      <c r="AK1921">
        <v>402.81</v>
      </c>
      <c r="AL1921" t="str">
        <f>"$"</f>
        <v>$</v>
      </c>
    </row>
    <row r="1922" spans="1:38" x14ac:dyDescent="0.3">
      <c r="A1922" t="str">
        <f>"SO22000332"</f>
        <v>SO22000332</v>
      </c>
      <c r="B1922" t="str">
        <f>"E000372167"</f>
        <v>E000372167</v>
      </c>
      <c r="C1922" t="str">
        <f>"הרכבה חלקית"</f>
        <v>הרכבה חלקית</v>
      </c>
      <c r="E1922" s="3">
        <v>44788</v>
      </c>
      <c r="F1922" s="3">
        <v>44895</v>
      </c>
      <c r="G1922" t="str">
        <f>"700065"</f>
        <v>700065</v>
      </c>
      <c r="H1922" t="str">
        <f>"אלתא מערכות בע""מ"</f>
        <v>אלתא מערכות בע"מ</v>
      </c>
      <c r="I1922" t="str">
        <f>"רחמים זרוק"</f>
        <v>רחמים זרוק</v>
      </c>
      <c r="J1922" t="str">
        <f>"OP-AR03265"</f>
        <v>OP-AR03265</v>
      </c>
      <c r="K1922" s="1" t="str">
        <f>"6930B167-001   INTEGRATION CABLE IFF CTRL"</f>
        <v>6930B167-001   INTEGRATION CABLE IFF CTRL</v>
      </c>
      <c r="L1922">
        <v>2</v>
      </c>
      <c r="M1922" t="str">
        <f>"PR22000581"</f>
        <v>PR22000581</v>
      </c>
      <c r="N1922" t="str">
        <f>"E000372167"</f>
        <v>E000372167</v>
      </c>
      <c r="O1922">
        <v>402.81</v>
      </c>
      <c r="P1922" t="str">
        <f>"$"</f>
        <v>$</v>
      </c>
      <c r="Q1922" t="str">
        <f>"117"</f>
        <v>117</v>
      </c>
      <c r="R1922" t="str">
        <f>"רתמות"</f>
        <v>רתמות</v>
      </c>
      <c r="S1922" t="str">
        <f>"040"</f>
        <v>040</v>
      </c>
      <c r="T1922" t="str">
        <f>"עמר ליגל"</f>
        <v>עמר ליגל</v>
      </c>
      <c r="U1922">
        <v>0</v>
      </c>
      <c r="V1922">
        <v>0</v>
      </c>
      <c r="W1922">
        <v>402.81</v>
      </c>
      <c r="X1922">
        <v>805.62</v>
      </c>
      <c r="Z1922" t="str">
        <f>"Y"</f>
        <v>Y</v>
      </c>
      <c r="AA1922">
        <v>0</v>
      </c>
      <c r="AC1922">
        <v>0</v>
      </c>
      <c r="AE1922">
        <v>0</v>
      </c>
      <c r="AF1922">
        <v>0</v>
      </c>
      <c r="AG1922" s="2">
        <v>1315.17</v>
      </c>
      <c r="AH1922">
        <v>0</v>
      </c>
      <c r="AI1922" s="2">
        <v>2630.35</v>
      </c>
      <c r="AJ1922">
        <v>805.62</v>
      </c>
      <c r="AK1922">
        <v>805.62</v>
      </c>
      <c r="AL1922" t="str">
        <f>"$"</f>
        <v>$</v>
      </c>
    </row>
    <row r="1923" spans="1:38" x14ac:dyDescent="0.3">
      <c r="A1923" t="str">
        <f>"SO22000332"</f>
        <v>SO22000332</v>
      </c>
      <c r="B1923" t="str">
        <f>"E000372167"</f>
        <v>E000372167</v>
      </c>
      <c r="C1923" t="str">
        <f>"הרכבה חלקית"</f>
        <v>הרכבה חלקית</v>
      </c>
      <c r="E1923" s="3">
        <v>44788</v>
      </c>
      <c r="F1923" s="3">
        <v>44895</v>
      </c>
      <c r="G1923" t="str">
        <f>"700065"</f>
        <v>700065</v>
      </c>
      <c r="H1923" t="str">
        <f>"אלתא מערכות בע""מ"</f>
        <v>אלתא מערכות בע"מ</v>
      </c>
      <c r="I1923" t="str">
        <f>"רחמים זרוק"</f>
        <v>רחמים זרוק</v>
      </c>
      <c r="J1923" t="str">
        <f>"OP-AR03264"</f>
        <v>OP-AR03264</v>
      </c>
      <c r="K1923" s="1" t="str">
        <f>"6930B166-001    INTEGRATION CABLE PWR TO IFF"</f>
        <v>6930B166-001    INTEGRATION CABLE PWR TO IFF</v>
      </c>
      <c r="L1923">
        <v>2</v>
      </c>
      <c r="M1923" t="str">
        <f>"PR22000581"</f>
        <v>PR22000581</v>
      </c>
      <c r="N1923" t="str">
        <f>"E000372167"</f>
        <v>E000372167</v>
      </c>
      <c r="O1923">
        <v>225.32</v>
      </c>
      <c r="P1923" t="str">
        <f>"$"</f>
        <v>$</v>
      </c>
      <c r="Q1923" t="str">
        <f>"117"</f>
        <v>117</v>
      </c>
      <c r="R1923" t="str">
        <f>"רתמות"</f>
        <v>רתמות</v>
      </c>
      <c r="S1923" t="str">
        <f>"040"</f>
        <v>040</v>
      </c>
      <c r="T1923" t="str">
        <f>"עמר ליגל"</f>
        <v>עמר ליגל</v>
      </c>
      <c r="U1923">
        <v>0</v>
      </c>
      <c r="V1923">
        <v>0</v>
      </c>
      <c r="W1923">
        <v>225.32</v>
      </c>
      <c r="X1923">
        <v>450.64</v>
      </c>
      <c r="AA1923">
        <v>2</v>
      </c>
      <c r="AC1923">
        <v>0</v>
      </c>
      <c r="AE1923">
        <v>0</v>
      </c>
      <c r="AF1923">
        <v>0</v>
      </c>
      <c r="AG1923">
        <v>735.67</v>
      </c>
      <c r="AH1923">
        <v>0</v>
      </c>
      <c r="AI1923" s="2">
        <v>1471.34</v>
      </c>
      <c r="AJ1923">
        <v>450.64</v>
      </c>
      <c r="AK1923">
        <v>450.64</v>
      </c>
      <c r="AL1923" t="str">
        <f>"$"</f>
        <v>$</v>
      </c>
    </row>
    <row r="1924" spans="1:38" x14ac:dyDescent="0.3">
      <c r="A1924" t="str">
        <f>"SO22000333"</f>
        <v>SO22000333</v>
      </c>
      <c r="B1924" t="str">
        <f>"E000372158"</f>
        <v>E000372158</v>
      </c>
      <c r="C1924" t="str">
        <f>"בוצעה"</f>
        <v>בוצעה</v>
      </c>
      <c r="E1924" s="3">
        <v>44789</v>
      </c>
      <c r="F1924" s="3">
        <v>44956</v>
      </c>
      <c r="G1924" t="str">
        <f>"700065"</f>
        <v>700065</v>
      </c>
      <c r="H1924" t="str">
        <f>"אלתא מערכות בע""מ"</f>
        <v>אלתא מערכות בע"מ</v>
      </c>
      <c r="I1924" t="str">
        <f>"רחמים זרוק"</f>
        <v>רחמים זרוק</v>
      </c>
      <c r="J1924" t="str">
        <f>"OP-AR03267"</f>
        <v>OP-AR03267</v>
      </c>
      <c r="K1924" s="1" t="str">
        <f>"1035C107-001   HARNESS 1W007 - POWER and STATUS FROM FI"</f>
        <v>1035C107-001   HARNESS 1W007 - POWER and STATUS FROM FI</v>
      </c>
      <c r="L1924">
        <v>2</v>
      </c>
      <c r="M1924" t="str">
        <f>"PR22000577"</f>
        <v>PR22000577</v>
      </c>
      <c r="N1924" t="str">
        <f>"E000372158"</f>
        <v>E000372158</v>
      </c>
      <c r="O1924" s="2">
        <v>1240.32</v>
      </c>
      <c r="P1924" t="str">
        <f>"$"</f>
        <v>$</v>
      </c>
      <c r="Q1924" t="str">
        <f>"117"</f>
        <v>117</v>
      </c>
      <c r="R1924" t="str">
        <f>"רתמות"</f>
        <v>רתמות</v>
      </c>
      <c r="S1924" t="str">
        <f>"040"</f>
        <v>040</v>
      </c>
      <c r="T1924" t="str">
        <f>"עמר ליגל"</f>
        <v>עמר ליגל</v>
      </c>
      <c r="U1924">
        <v>0</v>
      </c>
      <c r="V1924">
        <v>0</v>
      </c>
      <c r="W1924" s="2">
        <v>1240.32</v>
      </c>
      <c r="X1924" s="2">
        <v>2480.64</v>
      </c>
      <c r="Z1924" t="str">
        <f>"Y"</f>
        <v>Y</v>
      </c>
      <c r="AA1924">
        <v>0</v>
      </c>
      <c r="AC1924">
        <v>0</v>
      </c>
      <c r="AE1924">
        <v>0</v>
      </c>
      <c r="AF1924">
        <v>0</v>
      </c>
      <c r="AG1924" s="2">
        <v>4059.57</v>
      </c>
      <c r="AH1924">
        <v>0</v>
      </c>
      <c r="AI1924" s="2">
        <v>8119.13</v>
      </c>
      <c r="AJ1924" s="2">
        <v>2480.64</v>
      </c>
      <c r="AK1924" s="2">
        <v>2480.64</v>
      </c>
      <c r="AL1924" t="str">
        <f>"$"</f>
        <v>$</v>
      </c>
    </row>
    <row r="1925" spans="1:38" x14ac:dyDescent="0.3">
      <c r="A1925" t="str">
        <f>"SO22000333"</f>
        <v>SO22000333</v>
      </c>
      <c r="B1925" t="str">
        <f>"E000372158"</f>
        <v>E000372158</v>
      </c>
      <c r="C1925" t="str">
        <f>"בוצעה"</f>
        <v>בוצעה</v>
      </c>
      <c r="E1925" s="3">
        <v>44789</v>
      </c>
      <c r="F1925" s="3">
        <v>44956</v>
      </c>
      <c r="G1925" t="str">
        <f>"700065"</f>
        <v>700065</v>
      </c>
      <c r="H1925" t="str">
        <f>"אלתא מערכות בע""מ"</f>
        <v>אלתא מערכות בע"מ</v>
      </c>
      <c r="I1925" t="str">
        <f>"רחמים זרוק"</f>
        <v>רחמים זרוק</v>
      </c>
      <c r="J1925" t="str">
        <f>"OP-AR03268"</f>
        <v>OP-AR03268</v>
      </c>
      <c r="K1925" s="1" t="str">
        <f>"1035C109-001   HARNESS 1W009 - POWER and STATUS FROM FI"</f>
        <v>1035C109-001   HARNESS 1W009 - POWER and STATUS FROM FI</v>
      </c>
      <c r="L1925">
        <v>2</v>
      </c>
      <c r="M1925" t="str">
        <f>"PR22000577"</f>
        <v>PR22000577</v>
      </c>
      <c r="N1925" t="str">
        <f>"E000372158"</f>
        <v>E000372158</v>
      </c>
      <c r="O1925" s="2">
        <v>1240.32</v>
      </c>
      <c r="P1925" t="str">
        <f>"$"</f>
        <v>$</v>
      </c>
      <c r="Q1925" t="str">
        <f>"117"</f>
        <v>117</v>
      </c>
      <c r="R1925" t="str">
        <f>"רתמות"</f>
        <v>רתמות</v>
      </c>
      <c r="S1925" t="str">
        <f>"040"</f>
        <v>040</v>
      </c>
      <c r="T1925" t="str">
        <f>"עמר ליגל"</f>
        <v>עמר ליגל</v>
      </c>
      <c r="U1925">
        <v>0</v>
      </c>
      <c r="V1925">
        <v>0</v>
      </c>
      <c r="W1925" s="2">
        <v>1240.32</v>
      </c>
      <c r="X1925" s="2">
        <v>2480.64</v>
      </c>
      <c r="Z1925" t="str">
        <f>"Y"</f>
        <v>Y</v>
      </c>
      <c r="AA1925">
        <v>0</v>
      </c>
      <c r="AC1925">
        <v>0</v>
      </c>
      <c r="AE1925">
        <v>0</v>
      </c>
      <c r="AF1925">
        <v>0</v>
      </c>
      <c r="AG1925" s="2">
        <v>4059.57</v>
      </c>
      <c r="AH1925">
        <v>0</v>
      </c>
      <c r="AI1925" s="2">
        <v>8119.13</v>
      </c>
      <c r="AJ1925" s="2">
        <v>2480.64</v>
      </c>
      <c r="AK1925" s="2">
        <v>2480.64</v>
      </c>
      <c r="AL1925" t="str">
        <f>"$"</f>
        <v>$</v>
      </c>
    </row>
    <row r="1926" spans="1:38" x14ac:dyDescent="0.3">
      <c r="A1926" t="str">
        <f>"SO22000333"</f>
        <v>SO22000333</v>
      </c>
      <c r="B1926" t="str">
        <f>"E000372158"</f>
        <v>E000372158</v>
      </c>
      <c r="C1926" t="str">
        <f>"בוצעה"</f>
        <v>בוצעה</v>
      </c>
      <c r="E1926" s="3">
        <v>44789</v>
      </c>
      <c r="F1926" s="3">
        <v>44956</v>
      </c>
      <c r="G1926" t="str">
        <f>"700065"</f>
        <v>700065</v>
      </c>
      <c r="H1926" t="str">
        <f>"אלתא מערכות בע""מ"</f>
        <v>אלתא מערכות בע"מ</v>
      </c>
      <c r="I1926" t="str">
        <f>"רחמים זרוק"</f>
        <v>רחמים זרוק</v>
      </c>
      <c r="J1926" t="str">
        <f>"OP-AR03269"</f>
        <v>OP-AR03269</v>
      </c>
      <c r="K1926" s="1" t="str">
        <f>"1035C111-001   HARNESS 1W011 - POWER and STATUS FROM FI"</f>
        <v>1035C111-001   HARNESS 1W011 - POWER and STATUS FROM FI</v>
      </c>
      <c r="L1926">
        <v>2</v>
      </c>
      <c r="M1926" t="str">
        <f>"PR22000577"</f>
        <v>PR22000577</v>
      </c>
      <c r="N1926" t="str">
        <f>"E000372158"</f>
        <v>E000372158</v>
      </c>
      <c r="O1926" s="2">
        <v>1240.32</v>
      </c>
      <c r="P1926" t="str">
        <f>"$"</f>
        <v>$</v>
      </c>
      <c r="Q1926" t="str">
        <f>"117"</f>
        <v>117</v>
      </c>
      <c r="R1926" t="str">
        <f>"רתמות"</f>
        <v>רתמות</v>
      </c>
      <c r="S1926" t="str">
        <f>"040"</f>
        <v>040</v>
      </c>
      <c r="T1926" t="str">
        <f>"עמר ליגל"</f>
        <v>עמר ליגל</v>
      </c>
      <c r="U1926">
        <v>0</v>
      </c>
      <c r="V1926">
        <v>0</v>
      </c>
      <c r="W1926" s="2">
        <v>1240.32</v>
      </c>
      <c r="X1926" s="2">
        <v>2480.64</v>
      </c>
      <c r="Z1926" t="str">
        <f>"Y"</f>
        <v>Y</v>
      </c>
      <c r="AA1926">
        <v>0</v>
      </c>
      <c r="AC1926">
        <v>0</v>
      </c>
      <c r="AE1926">
        <v>0</v>
      </c>
      <c r="AF1926">
        <v>0</v>
      </c>
      <c r="AG1926" s="2">
        <v>4059.57</v>
      </c>
      <c r="AH1926">
        <v>0</v>
      </c>
      <c r="AI1926" s="2">
        <v>8119.13</v>
      </c>
      <c r="AJ1926" s="2">
        <v>2480.64</v>
      </c>
      <c r="AK1926" s="2">
        <v>2480.64</v>
      </c>
      <c r="AL1926" t="str">
        <f>"$"</f>
        <v>$</v>
      </c>
    </row>
    <row r="1927" spans="1:38" x14ac:dyDescent="0.3">
      <c r="A1927" t="str">
        <f>"SO22000333"</f>
        <v>SO22000333</v>
      </c>
      <c r="B1927" t="str">
        <f>"E000372158"</f>
        <v>E000372158</v>
      </c>
      <c r="C1927" t="str">
        <f>"בוצעה"</f>
        <v>בוצעה</v>
      </c>
      <c r="E1927" s="3">
        <v>44789</v>
      </c>
      <c r="F1927" s="3">
        <v>44956</v>
      </c>
      <c r="G1927" t="str">
        <f>"700065"</f>
        <v>700065</v>
      </c>
      <c r="H1927" t="str">
        <f>"אלתא מערכות בע""מ"</f>
        <v>אלתא מערכות בע"מ</v>
      </c>
      <c r="I1927" t="str">
        <f>"רחמים זרוק"</f>
        <v>רחמים זרוק</v>
      </c>
      <c r="J1927" t="str">
        <f>"OP-AR03270"</f>
        <v>OP-AR03270</v>
      </c>
      <c r="K1927" s="1" t="str">
        <f>"1035C113-001   HARNESS 1W013 - POWER and STATUS FROM FI"</f>
        <v>1035C113-001   HARNESS 1W013 - POWER and STATUS FROM FI</v>
      </c>
      <c r="L1927">
        <v>2</v>
      </c>
      <c r="M1927" t="str">
        <f>"PR22000577"</f>
        <v>PR22000577</v>
      </c>
      <c r="N1927" t="str">
        <f>"E000372158"</f>
        <v>E000372158</v>
      </c>
      <c r="O1927" s="2">
        <v>1240.32</v>
      </c>
      <c r="P1927" t="str">
        <f>"$"</f>
        <v>$</v>
      </c>
      <c r="Q1927" t="str">
        <f>"117"</f>
        <v>117</v>
      </c>
      <c r="R1927" t="str">
        <f>"רתמות"</f>
        <v>רתמות</v>
      </c>
      <c r="S1927" t="str">
        <f>"040"</f>
        <v>040</v>
      </c>
      <c r="T1927" t="str">
        <f>"עמר ליגל"</f>
        <v>עמר ליגל</v>
      </c>
      <c r="U1927">
        <v>0</v>
      </c>
      <c r="V1927">
        <v>0</v>
      </c>
      <c r="W1927" s="2">
        <v>1240.32</v>
      </c>
      <c r="X1927" s="2">
        <v>2480.64</v>
      </c>
      <c r="Z1927" t="str">
        <f>"Y"</f>
        <v>Y</v>
      </c>
      <c r="AA1927">
        <v>0</v>
      </c>
      <c r="AC1927">
        <v>0</v>
      </c>
      <c r="AE1927">
        <v>0</v>
      </c>
      <c r="AF1927">
        <v>0</v>
      </c>
      <c r="AG1927" s="2">
        <v>4059.57</v>
      </c>
      <c r="AH1927">
        <v>0</v>
      </c>
      <c r="AI1927" s="2">
        <v>8119.13</v>
      </c>
      <c r="AJ1927" s="2">
        <v>2480.64</v>
      </c>
      <c r="AK1927" s="2">
        <v>2480.64</v>
      </c>
      <c r="AL1927" t="str">
        <f>"$"</f>
        <v>$</v>
      </c>
    </row>
    <row r="1928" spans="1:38" x14ac:dyDescent="0.3">
      <c r="A1928" t="str">
        <f>"SO22000333"</f>
        <v>SO22000333</v>
      </c>
      <c r="B1928" t="str">
        <f>"E000372158"</f>
        <v>E000372158</v>
      </c>
      <c r="C1928" t="str">
        <f>"בוצעה"</f>
        <v>בוצעה</v>
      </c>
      <c r="E1928" s="3">
        <v>44789</v>
      </c>
      <c r="F1928" s="3">
        <v>44956</v>
      </c>
      <c r="G1928" t="str">
        <f>"700065"</f>
        <v>700065</v>
      </c>
      <c r="H1928" t="str">
        <f>"אלתא מערכות בע""מ"</f>
        <v>אלתא מערכות בע"מ</v>
      </c>
      <c r="I1928" t="str">
        <f>"רחמים זרוק"</f>
        <v>רחמים זרוק</v>
      </c>
      <c r="J1928" t="str">
        <f>"OP-AR03271"</f>
        <v>OP-AR03271</v>
      </c>
      <c r="K1928" s="1" t="str">
        <f>"1035C108-001   HARNESS 1W008 - POWER and STATUS FROM FI"</f>
        <v>1035C108-001   HARNESS 1W008 - POWER and STATUS FROM FI</v>
      </c>
      <c r="L1928">
        <v>2</v>
      </c>
      <c r="M1928" t="str">
        <f>"PR22000577"</f>
        <v>PR22000577</v>
      </c>
      <c r="N1928" t="str">
        <f>"E000372158"</f>
        <v>E000372158</v>
      </c>
      <c r="O1928" s="2">
        <v>1240.32</v>
      </c>
      <c r="P1928" t="str">
        <f>"$"</f>
        <v>$</v>
      </c>
      <c r="Q1928" t="str">
        <f>"117"</f>
        <v>117</v>
      </c>
      <c r="R1928" t="str">
        <f>"רתמות"</f>
        <v>רתמות</v>
      </c>
      <c r="S1928" t="str">
        <f>"040"</f>
        <v>040</v>
      </c>
      <c r="T1928" t="str">
        <f>"עמר ליגל"</f>
        <v>עמר ליגל</v>
      </c>
      <c r="U1928">
        <v>0</v>
      </c>
      <c r="V1928">
        <v>0</v>
      </c>
      <c r="W1928" s="2">
        <v>1240.32</v>
      </c>
      <c r="X1928" s="2">
        <v>2480.64</v>
      </c>
      <c r="Z1928" t="str">
        <f>"Y"</f>
        <v>Y</v>
      </c>
      <c r="AA1928">
        <v>0</v>
      </c>
      <c r="AC1928">
        <v>0</v>
      </c>
      <c r="AE1928">
        <v>0</v>
      </c>
      <c r="AF1928">
        <v>0</v>
      </c>
      <c r="AG1928" s="2">
        <v>4059.57</v>
      </c>
      <c r="AH1928">
        <v>0</v>
      </c>
      <c r="AI1928" s="2">
        <v>8119.13</v>
      </c>
      <c r="AJ1928" s="2">
        <v>2480.64</v>
      </c>
      <c r="AK1928" s="2">
        <v>2480.64</v>
      </c>
      <c r="AL1928" t="str">
        <f>"$"</f>
        <v>$</v>
      </c>
    </row>
    <row r="1929" spans="1:38" x14ac:dyDescent="0.3">
      <c r="A1929" t="str">
        <f>"SO22000333"</f>
        <v>SO22000333</v>
      </c>
      <c r="B1929" t="str">
        <f>"E000372158"</f>
        <v>E000372158</v>
      </c>
      <c r="C1929" t="str">
        <f>"בוצעה"</f>
        <v>בוצעה</v>
      </c>
      <c r="E1929" s="3">
        <v>44789</v>
      </c>
      <c r="F1929" s="3">
        <v>44956</v>
      </c>
      <c r="G1929" t="str">
        <f>"700065"</f>
        <v>700065</v>
      </c>
      <c r="H1929" t="str">
        <f>"אלתא מערכות בע""מ"</f>
        <v>אלתא מערכות בע"מ</v>
      </c>
      <c r="I1929" t="str">
        <f>"רחמים זרוק"</f>
        <v>רחמים זרוק</v>
      </c>
      <c r="J1929" t="str">
        <f>"OP-AR03272"</f>
        <v>OP-AR03272</v>
      </c>
      <c r="K1929" s="1" t="str">
        <f>"1035C112-001   HARNESS 1W012 - POWER and STATUS FROM FI"</f>
        <v>1035C112-001   HARNESS 1W012 - POWER and STATUS FROM FI</v>
      </c>
      <c r="L1929">
        <v>2</v>
      </c>
      <c r="M1929" t="str">
        <f>"PR22000577"</f>
        <v>PR22000577</v>
      </c>
      <c r="N1929" t="str">
        <f>"E000372158"</f>
        <v>E000372158</v>
      </c>
      <c r="O1929" s="2">
        <v>1240.32</v>
      </c>
      <c r="P1929" t="str">
        <f>"$"</f>
        <v>$</v>
      </c>
      <c r="Q1929" t="str">
        <f>"117"</f>
        <v>117</v>
      </c>
      <c r="R1929" t="str">
        <f>"רתמות"</f>
        <v>רתמות</v>
      </c>
      <c r="S1929" t="str">
        <f>"040"</f>
        <v>040</v>
      </c>
      <c r="T1929" t="str">
        <f>"עמר ליגל"</f>
        <v>עמר ליגל</v>
      </c>
      <c r="U1929">
        <v>0</v>
      </c>
      <c r="V1929">
        <v>0</v>
      </c>
      <c r="W1929" s="2">
        <v>1240.32</v>
      </c>
      <c r="X1929" s="2">
        <v>2480.64</v>
      </c>
      <c r="Z1929" t="str">
        <f>"Y"</f>
        <v>Y</v>
      </c>
      <c r="AA1929">
        <v>0</v>
      </c>
      <c r="AC1929">
        <v>0</v>
      </c>
      <c r="AE1929">
        <v>0</v>
      </c>
      <c r="AF1929">
        <v>0</v>
      </c>
      <c r="AG1929" s="2">
        <v>4059.57</v>
      </c>
      <c r="AH1929">
        <v>0</v>
      </c>
      <c r="AI1929" s="2">
        <v>8119.13</v>
      </c>
      <c r="AJ1929" s="2">
        <v>2480.64</v>
      </c>
      <c r="AK1929" s="2">
        <v>2480.64</v>
      </c>
      <c r="AL1929" t="str">
        <f>"$"</f>
        <v>$</v>
      </c>
    </row>
    <row r="1930" spans="1:38" x14ac:dyDescent="0.3">
      <c r="A1930" t="str">
        <f>"SO22000333"</f>
        <v>SO22000333</v>
      </c>
      <c r="B1930" t="str">
        <f>"E000372158"</f>
        <v>E000372158</v>
      </c>
      <c r="C1930" t="str">
        <f>"בוצעה"</f>
        <v>בוצעה</v>
      </c>
      <c r="E1930" s="3">
        <v>44789</v>
      </c>
      <c r="F1930" s="3">
        <v>44956</v>
      </c>
      <c r="G1930" t="str">
        <f>"700065"</f>
        <v>700065</v>
      </c>
      <c r="H1930" t="str">
        <f>"אלתא מערכות בע""מ"</f>
        <v>אלתא מערכות בע"מ</v>
      </c>
      <c r="I1930" t="str">
        <f>"רחמים זרוק"</f>
        <v>רחמים זרוק</v>
      </c>
      <c r="J1930" t="str">
        <f>"OP-AR03273"</f>
        <v>OP-AR03273</v>
      </c>
      <c r="K1930" s="1" t="str">
        <f>"1035C110-001   HARNESS 1W010 - POWER and STATUS FROM FI"</f>
        <v>1035C110-001   HARNESS 1W010 - POWER and STATUS FROM FI</v>
      </c>
      <c r="L1930">
        <v>1</v>
      </c>
      <c r="M1930" t="str">
        <f>"PR22000577"</f>
        <v>PR22000577</v>
      </c>
      <c r="N1930" t="str">
        <f>"E000372158"</f>
        <v>E000372158</v>
      </c>
      <c r="O1930" s="2">
        <v>1240.32</v>
      </c>
      <c r="P1930" t="str">
        <f>"$"</f>
        <v>$</v>
      </c>
      <c r="Q1930" t="str">
        <f>"117"</f>
        <v>117</v>
      </c>
      <c r="R1930" t="str">
        <f>"רתמות"</f>
        <v>רתמות</v>
      </c>
      <c r="S1930" t="str">
        <f>"040"</f>
        <v>040</v>
      </c>
      <c r="T1930" t="str">
        <f>"עמר ליגל"</f>
        <v>עמר ליגל</v>
      </c>
      <c r="U1930">
        <v>0</v>
      </c>
      <c r="V1930">
        <v>0</v>
      </c>
      <c r="W1930" s="2">
        <v>1240.32</v>
      </c>
      <c r="X1930" s="2">
        <v>1240.32</v>
      </c>
      <c r="Z1930" t="str">
        <f>"Y"</f>
        <v>Y</v>
      </c>
      <c r="AA1930">
        <v>0</v>
      </c>
      <c r="AC1930">
        <v>0</v>
      </c>
      <c r="AE1930">
        <v>0</v>
      </c>
      <c r="AF1930">
        <v>0</v>
      </c>
      <c r="AG1930" s="2">
        <v>4059.57</v>
      </c>
      <c r="AH1930">
        <v>0</v>
      </c>
      <c r="AI1930" s="2">
        <v>4059.57</v>
      </c>
      <c r="AJ1930" s="2">
        <v>1240.32</v>
      </c>
      <c r="AK1930" s="2">
        <v>1240.32</v>
      </c>
      <c r="AL1930" t="str">
        <f>"$"</f>
        <v>$</v>
      </c>
    </row>
    <row r="1931" spans="1:38" x14ac:dyDescent="0.3">
      <c r="A1931" t="str">
        <f>"SO22000333"</f>
        <v>SO22000333</v>
      </c>
      <c r="B1931" t="str">
        <f>"E000372158"</f>
        <v>E000372158</v>
      </c>
      <c r="C1931" t="str">
        <f>"בוצעה"</f>
        <v>בוצעה</v>
      </c>
      <c r="E1931" s="3">
        <v>44789</v>
      </c>
      <c r="F1931" s="3">
        <v>44956</v>
      </c>
      <c r="G1931" t="str">
        <f>"700065"</f>
        <v>700065</v>
      </c>
      <c r="H1931" t="str">
        <f>"אלתא מערכות בע""מ"</f>
        <v>אלתא מערכות בע"מ</v>
      </c>
      <c r="I1931" t="str">
        <f>"רחמים זרוק"</f>
        <v>רחמים זרוק</v>
      </c>
      <c r="J1931" t="str">
        <f>"OP-AR03274"</f>
        <v>OP-AR03274</v>
      </c>
      <c r="K1931" s="1" t="str">
        <f>"1035C114-001   HARNESS 1W014 - POWER and STATUS FROM FI"</f>
        <v>1035C114-001   HARNESS 1W014 - POWER and STATUS FROM FI</v>
      </c>
      <c r="L1931">
        <v>1</v>
      </c>
      <c r="M1931" t="str">
        <f>"PR22000577"</f>
        <v>PR22000577</v>
      </c>
      <c r="N1931" t="str">
        <f>"E000372158"</f>
        <v>E000372158</v>
      </c>
      <c r="O1931" s="2">
        <v>1240.32</v>
      </c>
      <c r="P1931" t="str">
        <f>"$"</f>
        <v>$</v>
      </c>
      <c r="Q1931" t="str">
        <f>"117"</f>
        <v>117</v>
      </c>
      <c r="R1931" t="str">
        <f>"רתמות"</f>
        <v>רתמות</v>
      </c>
      <c r="S1931" t="str">
        <f>"040"</f>
        <v>040</v>
      </c>
      <c r="T1931" t="str">
        <f>"עמר ליגל"</f>
        <v>עמר ליגל</v>
      </c>
      <c r="U1931">
        <v>0</v>
      </c>
      <c r="V1931">
        <v>0</v>
      </c>
      <c r="W1931" s="2">
        <v>1240.32</v>
      </c>
      <c r="X1931" s="2">
        <v>1240.32</v>
      </c>
      <c r="Z1931" t="str">
        <f>"Y"</f>
        <v>Y</v>
      </c>
      <c r="AA1931">
        <v>0</v>
      </c>
      <c r="AC1931">
        <v>0</v>
      </c>
      <c r="AE1931">
        <v>0</v>
      </c>
      <c r="AF1931">
        <v>0</v>
      </c>
      <c r="AG1931" s="2">
        <v>4059.57</v>
      </c>
      <c r="AH1931">
        <v>0</v>
      </c>
      <c r="AI1931" s="2">
        <v>4059.57</v>
      </c>
      <c r="AJ1931" s="2">
        <v>1240.32</v>
      </c>
      <c r="AK1931" s="2">
        <v>1240.32</v>
      </c>
      <c r="AL1931" t="str">
        <f>"$"</f>
        <v>$</v>
      </c>
    </row>
    <row r="1932" spans="1:38" x14ac:dyDescent="0.3">
      <c r="A1932" t="str">
        <f>"SO22000333"</f>
        <v>SO22000333</v>
      </c>
      <c r="B1932" t="str">
        <f>"E000372158"</f>
        <v>E000372158</v>
      </c>
      <c r="C1932" t="str">
        <f>"בוצעה"</f>
        <v>בוצעה</v>
      </c>
      <c r="E1932" s="3">
        <v>44789</v>
      </c>
      <c r="F1932" s="3">
        <v>45097</v>
      </c>
      <c r="G1932" t="str">
        <f>"700065"</f>
        <v>700065</v>
      </c>
      <c r="H1932" t="str">
        <f>"אלתא מערכות בע""מ"</f>
        <v>אלתא מערכות בע"מ</v>
      </c>
      <c r="I1932" t="str">
        <f>"רחמים זרוק"</f>
        <v>רחמים זרוק</v>
      </c>
      <c r="J1932" t="str">
        <f>"OP-AR03540"</f>
        <v>OP-AR03540</v>
      </c>
      <c r="K1932" s="1" t="str">
        <f>"1033M790-001     CABLE CREATION JIG"</f>
        <v>1033M790-001     CABLE CREATION JIG</v>
      </c>
      <c r="L1932">
        <v>1</v>
      </c>
      <c r="M1932" t="str">
        <f>"PR22000577"</f>
        <v>PR22000577</v>
      </c>
      <c r="N1932" t="str">
        <f>"E000372158"</f>
        <v>E000372158</v>
      </c>
      <c r="O1932" s="2">
        <v>2860</v>
      </c>
      <c r="P1932" t="str">
        <f>"$"</f>
        <v>$</v>
      </c>
      <c r="Q1932" t="str">
        <f>"117"</f>
        <v>117</v>
      </c>
      <c r="R1932" t="str">
        <f>"רתמות"</f>
        <v>רתמות</v>
      </c>
      <c r="S1932" t="str">
        <f>"040"</f>
        <v>040</v>
      </c>
      <c r="T1932" t="str">
        <f>"עמר ליגל"</f>
        <v>עמר ליגל</v>
      </c>
      <c r="U1932">
        <v>0</v>
      </c>
      <c r="V1932">
        <v>0</v>
      </c>
      <c r="W1932" s="2">
        <v>2860</v>
      </c>
      <c r="X1932" s="2">
        <v>2860</v>
      </c>
      <c r="Z1932" t="str">
        <f>"Y"</f>
        <v>Y</v>
      </c>
      <c r="AA1932">
        <v>0</v>
      </c>
      <c r="AC1932">
        <v>0</v>
      </c>
      <c r="AE1932">
        <v>0</v>
      </c>
      <c r="AF1932">
        <v>0</v>
      </c>
      <c r="AG1932" s="2">
        <v>9360.7800000000007</v>
      </c>
      <c r="AH1932">
        <v>0</v>
      </c>
      <c r="AI1932" s="2">
        <v>9360.7800000000007</v>
      </c>
      <c r="AJ1932" s="2">
        <v>2860</v>
      </c>
      <c r="AK1932" s="2">
        <v>2860</v>
      </c>
      <c r="AL1932" t="str">
        <f>"$"</f>
        <v>$</v>
      </c>
    </row>
    <row r="1933" spans="1:38" x14ac:dyDescent="0.3">
      <c r="A1933" t="str">
        <f>"SO22000333"</f>
        <v>SO22000333</v>
      </c>
      <c r="B1933" t="str">
        <f>"E000372158"</f>
        <v>E000372158</v>
      </c>
      <c r="C1933" t="str">
        <f>"בוצעה"</f>
        <v>בוצעה</v>
      </c>
      <c r="E1933" s="3">
        <v>44789</v>
      </c>
      <c r="F1933" s="3">
        <v>44997</v>
      </c>
      <c r="G1933" t="str">
        <f>"700065"</f>
        <v>700065</v>
      </c>
      <c r="H1933" t="str">
        <f>"אלתא מערכות בע""מ"</f>
        <v>אלתא מערכות בע"מ</v>
      </c>
      <c r="I1933" t="str">
        <f>"רחמים זרוק"</f>
        <v>רחמים זרוק</v>
      </c>
      <c r="J1933" t="str">
        <f>"000"</f>
        <v>000</v>
      </c>
      <c r="K1933" s="1" t="str">
        <f>"1035C108-001 לבדיקה"</f>
        <v>1035C108-001 לבדיקה</v>
      </c>
      <c r="L1933">
        <v>1</v>
      </c>
      <c r="O1933">
        <v>0</v>
      </c>
      <c r="P1933" t="str">
        <f>"$"</f>
        <v>$</v>
      </c>
      <c r="Q1933" t="str">
        <f>"117"</f>
        <v>117</v>
      </c>
      <c r="R1933" t="str">
        <f>"רתמות"</f>
        <v>רתמות</v>
      </c>
      <c r="S1933" t="str">
        <f>"040"</f>
        <v>040</v>
      </c>
      <c r="T1933" t="str">
        <f>"עמר ליגל"</f>
        <v>עמר ליגל</v>
      </c>
      <c r="U1933">
        <v>0</v>
      </c>
      <c r="V1933">
        <v>0</v>
      </c>
      <c r="W1933">
        <v>0</v>
      </c>
      <c r="X1933">
        <v>0</v>
      </c>
      <c r="Z1933" t="str">
        <f>"Y"</f>
        <v>Y</v>
      </c>
      <c r="AA1933">
        <v>1</v>
      </c>
      <c r="AC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 t="str">
        <f>"$"</f>
        <v>$</v>
      </c>
    </row>
    <row r="1934" spans="1:38" x14ac:dyDescent="0.3">
      <c r="A1934" t="str">
        <f>"SO22000334"</f>
        <v>SO22000334</v>
      </c>
      <c r="B1934" t="str">
        <f>"E000369247"</f>
        <v>E000369247</v>
      </c>
      <c r="C1934" t="str">
        <f>"הרכבה חלקית"</f>
        <v>הרכבה חלקית</v>
      </c>
      <c r="E1934" s="3">
        <v>44789</v>
      </c>
      <c r="F1934" s="3">
        <v>44956</v>
      </c>
      <c r="G1934" t="str">
        <f>"700065"</f>
        <v>700065</v>
      </c>
      <c r="H1934" t="str">
        <f>"אלתא מערכות בע""מ"</f>
        <v>אלתא מערכות בע"מ</v>
      </c>
      <c r="I1934" t="str">
        <f>"רחמים זרוק"</f>
        <v>רחמים זרוק</v>
      </c>
      <c r="J1934" t="str">
        <f>"OP-AR03223"</f>
        <v>OP-AR03223</v>
      </c>
      <c r="K1934" s="1" t="str">
        <f>"2201E332-001    TEST CABLE LAB"</f>
        <v>2201E332-001    TEST CABLE LAB</v>
      </c>
      <c r="L1934">
        <v>4</v>
      </c>
      <c r="M1934" t="str">
        <f>"PR22000552"</f>
        <v>PR22000552</v>
      </c>
      <c r="N1934" t="str">
        <f>"E000369247"</f>
        <v>E000369247</v>
      </c>
      <c r="O1934">
        <v>781.56</v>
      </c>
      <c r="P1934" t="str">
        <f>"$"</f>
        <v>$</v>
      </c>
      <c r="Q1934" t="str">
        <f>"117"</f>
        <v>117</v>
      </c>
      <c r="R1934" t="str">
        <f>"רתמות"</f>
        <v>רתמות</v>
      </c>
      <c r="S1934" t="str">
        <f>"040"</f>
        <v>040</v>
      </c>
      <c r="T1934" t="str">
        <f>"עמר ליגל"</f>
        <v>עמר ליגל</v>
      </c>
      <c r="U1934">
        <v>0</v>
      </c>
      <c r="V1934">
        <v>0</v>
      </c>
      <c r="W1934">
        <v>781.56</v>
      </c>
      <c r="X1934" s="2">
        <v>3126.24</v>
      </c>
      <c r="Z1934" t="str">
        <f>"Y"</f>
        <v>Y</v>
      </c>
      <c r="AA1934">
        <v>0</v>
      </c>
      <c r="AC1934">
        <v>0</v>
      </c>
      <c r="AE1934">
        <v>0</v>
      </c>
      <c r="AF1934">
        <v>0</v>
      </c>
      <c r="AG1934" s="2">
        <v>2558.0500000000002</v>
      </c>
      <c r="AH1934">
        <v>0</v>
      </c>
      <c r="AI1934" s="2">
        <v>10232.18</v>
      </c>
      <c r="AJ1934" s="2">
        <v>3126.24</v>
      </c>
      <c r="AK1934" s="2">
        <v>3126.24</v>
      </c>
      <c r="AL1934" t="str">
        <f>"$"</f>
        <v>$</v>
      </c>
    </row>
    <row r="1935" spans="1:38" x14ac:dyDescent="0.3">
      <c r="A1935" t="str">
        <f>"SO22000334"</f>
        <v>SO22000334</v>
      </c>
      <c r="B1935" t="str">
        <f>"E000369247"</f>
        <v>E000369247</v>
      </c>
      <c r="C1935" t="str">
        <f>"הרכבה חלקית"</f>
        <v>הרכבה חלקית</v>
      </c>
      <c r="E1935" s="3">
        <v>44789</v>
      </c>
      <c r="F1935" s="3">
        <v>44956</v>
      </c>
      <c r="G1935" t="str">
        <f>"700065"</f>
        <v>700065</v>
      </c>
      <c r="H1935" t="str">
        <f>"אלתא מערכות בע""מ"</f>
        <v>אלתא מערכות בע"מ</v>
      </c>
      <c r="I1935" t="str">
        <f>"רחמים זרוק"</f>
        <v>רחמים זרוק</v>
      </c>
      <c r="J1935" t="str">
        <f>"OP-AR03224"</f>
        <v>OP-AR03224</v>
      </c>
      <c r="K1935" s="1" t="str">
        <f>"6950A161-001    HARNESS WM01 - CU TO ANTENNA RIGHT FWD"</f>
        <v>6950A161-001    HARNESS WM01 - CU TO ANTENNA RIGHT FWD</v>
      </c>
      <c r="L1935">
        <v>6</v>
      </c>
      <c r="M1935" t="str">
        <f>"PR22000552"</f>
        <v>PR22000552</v>
      </c>
      <c r="N1935" t="str">
        <f>"E000369247"</f>
        <v>E000369247</v>
      </c>
      <c r="O1935" s="2">
        <v>1291.22</v>
      </c>
      <c r="P1935" t="str">
        <f>"$"</f>
        <v>$</v>
      </c>
      <c r="Q1935" t="str">
        <f>"117"</f>
        <v>117</v>
      </c>
      <c r="R1935" t="str">
        <f>"רתמות"</f>
        <v>רתמות</v>
      </c>
      <c r="S1935" t="str">
        <f>"040"</f>
        <v>040</v>
      </c>
      <c r="T1935" t="str">
        <f>"עמר ליגל"</f>
        <v>עמר ליגל</v>
      </c>
      <c r="U1935">
        <v>0</v>
      </c>
      <c r="V1935">
        <v>0</v>
      </c>
      <c r="W1935" s="2">
        <v>1291.22</v>
      </c>
      <c r="X1935" s="2">
        <v>7747.32</v>
      </c>
      <c r="Z1935" t="str">
        <f>"Y"</f>
        <v>Y</v>
      </c>
      <c r="AA1935">
        <v>0</v>
      </c>
      <c r="AC1935">
        <v>0</v>
      </c>
      <c r="AE1935">
        <v>0</v>
      </c>
      <c r="AF1935">
        <v>0</v>
      </c>
      <c r="AG1935" s="2">
        <v>4226.16</v>
      </c>
      <c r="AH1935">
        <v>0</v>
      </c>
      <c r="AI1935" s="2">
        <v>25356.98</v>
      </c>
      <c r="AJ1935" s="2">
        <v>7747.32</v>
      </c>
      <c r="AK1935" s="2">
        <v>7747.32</v>
      </c>
      <c r="AL1935" t="str">
        <f>"$"</f>
        <v>$</v>
      </c>
    </row>
    <row r="1936" spans="1:38" x14ac:dyDescent="0.3">
      <c r="A1936" t="str">
        <f>"SO22000334"</f>
        <v>SO22000334</v>
      </c>
      <c r="B1936" t="str">
        <f>"E000369247"</f>
        <v>E000369247</v>
      </c>
      <c r="C1936" t="str">
        <f>"הרכבה חלקית"</f>
        <v>הרכבה חלקית</v>
      </c>
      <c r="E1936" s="3">
        <v>44789</v>
      </c>
      <c r="F1936" s="3">
        <v>44956</v>
      </c>
      <c r="G1936" t="str">
        <f>"700065"</f>
        <v>700065</v>
      </c>
      <c r="H1936" t="str">
        <f>"אלתא מערכות בע""מ"</f>
        <v>אלתא מערכות בע"מ</v>
      </c>
      <c r="I1936" t="str">
        <f>"רחמים זרוק"</f>
        <v>רחמים זרוק</v>
      </c>
      <c r="J1936" t="str">
        <f>"OP-AR03225"</f>
        <v>OP-AR03225</v>
      </c>
      <c r="K1936" s="1" t="str">
        <f>"6950A162-001    HARNESS WM02 - CU TO ANTENNA RIGHT AFT"</f>
        <v>6950A162-001    HARNESS WM02 - CU TO ANTENNA RIGHT AFT</v>
      </c>
      <c r="L1936">
        <v>2</v>
      </c>
      <c r="M1936" t="str">
        <f>"PR22000552"</f>
        <v>PR22000552</v>
      </c>
      <c r="N1936" t="str">
        <f>"E000369247"</f>
        <v>E000369247</v>
      </c>
      <c r="O1936" s="2">
        <v>1302.52</v>
      </c>
      <c r="P1936" t="str">
        <f>"$"</f>
        <v>$</v>
      </c>
      <c r="Q1936" t="str">
        <f>"117"</f>
        <v>117</v>
      </c>
      <c r="R1936" t="str">
        <f>"רתמות"</f>
        <v>רתמות</v>
      </c>
      <c r="S1936" t="str">
        <f>"040"</f>
        <v>040</v>
      </c>
      <c r="T1936" t="str">
        <f>"עמר ליגל"</f>
        <v>עמר ליגל</v>
      </c>
      <c r="U1936">
        <v>0</v>
      </c>
      <c r="V1936">
        <v>0</v>
      </c>
      <c r="W1936" s="2">
        <v>1302.52</v>
      </c>
      <c r="X1936" s="2">
        <v>2605.04</v>
      </c>
      <c r="Z1936" t="str">
        <f>"Y"</f>
        <v>Y</v>
      </c>
      <c r="AA1936">
        <v>0</v>
      </c>
      <c r="AC1936">
        <v>0</v>
      </c>
      <c r="AE1936">
        <v>0</v>
      </c>
      <c r="AF1936">
        <v>0</v>
      </c>
      <c r="AG1936" s="2">
        <v>4263.1499999999996</v>
      </c>
      <c r="AH1936">
        <v>0</v>
      </c>
      <c r="AI1936" s="2">
        <v>8526.2999999999993</v>
      </c>
      <c r="AJ1936" s="2">
        <v>2605.04</v>
      </c>
      <c r="AK1936" s="2">
        <v>2605.04</v>
      </c>
      <c r="AL1936" t="str">
        <f>"$"</f>
        <v>$</v>
      </c>
    </row>
    <row r="1937" spans="1:38" x14ac:dyDescent="0.3">
      <c r="A1937" t="str">
        <f>"SO22000334"</f>
        <v>SO22000334</v>
      </c>
      <c r="B1937" t="str">
        <f>"E000369247"</f>
        <v>E000369247</v>
      </c>
      <c r="C1937" t="str">
        <f>"הרכבה חלקית"</f>
        <v>הרכבה חלקית</v>
      </c>
      <c r="E1937" s="3">
        <v>44789</v>
      </c>
      <c r="F1937" s="3">
        <v>44956</v>
      </c>
      <c r="G1937" t="str">
        <f>"700065"</f>
        <v>700065</v>
      </c>
      <c r="H1937" t="str">
        <f>"אלתא מערכות בע""מ"</f>
        <v>אלתא מערכות בע"מ</v>
      </c>
      <c r="I1937" t="str">
        <f>"רחמים זרוק"</f>
        <v>רחמים זרוק</v>
      </c>
      <c r="J1937" t="str">
        <f>"OP-AR03226"</f>
        <v>OP-AR03226</v>
      </c>
      <c r="K1937" s="1" t="str">
        <f>"6950A163-001    HARNESS WM03 - CU TO ANTENNA LEFT AFT"</f>
        <v>6950A163-001    HARNESS WM03 - CU TO ANTENNA LEFT AFT</v>
      </c>
      <c r="L1937">
        <v>2</v>
      </c>
      <c r="M1937" t="str">
        <f>"PR22000552"</f>
        <v>PR22000552</v>
      </c>
      <c r="N1937" t="str">
        <f>"E000369247"</f>
        <v>E000369247</v>
      </c>
      <c r="O1937" s="2">
        <v>1302.52</v>
      </c>
      <c r="P1937" t="str">
        <f>"$"</f>
        <v>$</v>
      </c>
      <c r="Q1937" t="str">
        <f>"117"</f>
        <v>117</v>
      </c>
      <c r="R1937" t="str">
        <f>"רתמות"</f>
        <v>רתמות</v>
      </c>
      <c r="S1937" t="str">
        <f>"040"</f>
        <v>040</v>
      </c>
      <c r="T1937" t="str">
        <f>"עמר ליגל"</f>
        <v>עמר ליגל</v>
      </c>
      <c r="U1937">
        <v>0</v>
      </c>
      <c r="V1937">
        <v>0</v>
      </c>
      <c r="W1937" s="2">
        <v>1302.52</v>
      </c>
      <c r="X1937" s="2">
        <v>2605.04</v>
      </c>
      <c r="Z1937" t="str">
        <f>"Y"</f>
        <v>Y</v>
      </c>
      <c r="AA1937">
        <v>0</v>
      </c>
      <c r="AC1937">
        <v>0</v>
      </c>
      <c r="AE1937">
        <v>0</v>
      </c>
      <c r="AF1937">
        <v>0</v>
      </c>
      <c r="AG1937" s="2">
        <v>4263.1499999999996</v>
      </c>
      <c r="AH1937">
        <v>0</v>
      </c>
      <c r="AI1937" s="2">
        <v>8526.2999999999993</v>
      </c>
      <c r="AJ1937" s="2">
        <v>2605.04</v>
      </c>
      <c r="AK1937" s="2">
        <v>2605.04</v>
      </c>
      <c r="AL1937" t="str">
        <f>"$"</f>
        <v>$</v>
      </c>
    </row>
    <row r="1938" spans="1:38" x14ac:dyDescent="0.3">
      <c r="A1938" t="str">
        <f>"SO22000334"</f>
        <v>SO22000334</v>
      </c>
      <c r="B1938" t="str">
        <f>"E000369247"</f>
        <v>E000369247</v>
      </c>
      <c r="C1938" t="str">
        <f>"הרכבה חלקית"</f>
        <v>הרכבה חלקית</v>
      </c>
      <c r="E1938" s="3">
        <v>44789</v>
      </c>
      <c r="F1938" s="3">
        <v>44956</v>
      </c>
      <c r="G1938" t="str">
        <f>"700065"</f>
        <v>700065</v>
      </c>
      <c r="H1938" t="str">
        <f>"אלתא מערכות בע""מ"</f>
        <v>אלתא מערכות בע"מ</v>
      </c>
      <c r="I1938" t="str">
        <f>"רחמים זרוק"</f>
        <v>רחמים זרוק</v>
      </c>
      <c r="J1938" t="str">
        <f>"OP-AR03227"</f>
        <v>OP-AR03227</v>
      </c>
      <c r="K1938" s="1" t="str">
        <f>"6950A164-001    HARNESS WM04 - CU TO ANTENNA LEFT FWD"</f>
        <v>6950A164-001    HARNESS WM04 - CU TO ANTENNA LEFT FWD</v>
      </c>
      <c r="L1938">
        <v>2</v>
      </c>
      <c r="M1938" t="str">
        <f>"PR22000552"</f>
        <v>PR22000552</v>
      </c>
      <c r="N1938" t="str">
        <f>"E000369247"</f>
        <v>E000369247</v>
      </c>
      <c r="O1938" s="2">
        <v>1300.74</v>
      </c>
      <c r="P1938" t="str">
        <f>"$"</f>
        <v>$</v>
      </c>
      <c r="Q1938" t="str">
        <f>"117"</f>
        <v>117</v>
      </c>
      <c r="R1938" t="str">
        <f>"רתמות"</f>
        <v>רתמות</v>
      </c>
      <c r="S1938" t="str">
        <f>"040"</f>
        <v>040</v>
      </c>
      <c r="T1938" t="str">
        <f>"עמר ליגל"</f>
        <v>עמר ליגל</v>
      </c>
      <c r="U1938">
        <v>0</v>
      </c>
      <c r="V1938">
        <v>0</v>
      </c>
      <c r="W1938" s="2">
        <v>1300.74</v>
      </c>
      <c r="X1938" s="2">
        <v>2601.48</v>
      </c>
      <c r="Z1938" t="str">
        <f>"Y"</f>
        <v>Y</v>
      </c>
      <c r="AA1938">
        <v>0</v>
      </c>
      <c r="AC1938">
        <v>0</v>
      </c>
      <c r="AE1938">
        <v>0</v>
      </c>
      <c r="AF1938">
        <v>0</v>
      </c>
      <c r="AG1938" s="2">
        <v>4257.32</v>
      </c>
      <c r="AH1938">
        <v>0</v>
      </c>
      <c r="AI1938" s="2">
        <v>8514.64</v>
      </c>
      <c r="AJ1938" s="2">
        <v>2601.48</v>
      </c>
      <c r="AK1938" s="2">
        <v>2601.48</v>
      </c>
      <c r="AL1938" t="str">
        <f>"$"</f>
        <v>$</v>
      </c>
    </row>
    <row r="1939" spans="1:38" x14ac:dyDescent="0.3">
      <c r="A1939" t="str">
        <f>"SO22000334"</f>
        <v>SO22000334</v>
      </c>
      <c r="B1939" t="str">
        <f>"E000369247"</f>
        <v>E000369247</v>
      </c>
      <c r="C1939" t="str">
        <f>"הרכבה חלקית"</f>
        <v>הרכבה חלקית</v>
      </c>
      <c r="E1939" s="3">
        <v>44789</v>
      </c>
      <c r="F1939" s="3">
        <v>44956</v>
      </c>
      <c r="G1939" t="str">
        <f>"700065"</f>
        <v>700065</v>
      </c>
      <c r="H1939" t="str">
        <f>"אלתא מערכות בע""מ"</f>
        <v>אלתא מערכות בע"מ</v>
      </c>
      <c r="I1939" t="str">
        <f>"רחמים זרוק"</f>
        <v>רחמים זרוק</v>
      </c>
      <c r="J1939" t="str">
        <f>"OP-AR03228"</f>
        <v>OP-AR03228</v>
      </c>
      <c r="K1939" s="1" t="str">
        <f>"6950A165-001    HARNESS WM05 - CU TO ANTENNA RIGHT FWD ("</f>
        <v>6950A165-001    HARNESS WM05 - CU TO ANTENNA RIGHT FWD (</v>
      </c>
      <c r="L1939">
        <v>6</v>
      </c>
      <c r="M1939" t="str">
        <f>"PR22000552"</f>
        <v>PR22000552</v>
      </c>
      <c r="N1939" t="str">
        <f>"E000369247"</f>
        <v>E000369247</v>
      </c>
      <c r="O1939" s="2">
        <v>1737.74</v>
      </c>
      <c r="P1939" t="str">
        <f>"$"</f>
        <v>$</v>
      </c>
      <c r="Q1939" t="str">
        <f>"117"</f>
        <v>117</v>
      </c>
      <c r="R1939" t="str">
        <f>"רתמות"</f>
        <v>רתמות</v>
      </c>
      <c r="S1939" t="str">
        <f>"040"</f>
        <v>040</v>
      </c>
      <c r="T1939" t="str">
        <f>"עמר ליגל"</f>
        <v>עמר ליגל</v>
      </c>
      <c r="U1939">
        <v>0</v>
      </c>
      <c r="V1939">
        <v>0</v>
      </c>
      <c r="W1939" s="2">
        <v>1737.74</v>
      </c>
      <c r="X1939" s="2">
        <v>10426.44</v>
      </c>
      <c r="Z1939" t="str">
        <f>"Y"</f>
        <v>Y</v>
      </c>
      <c r="AA1939">
        <v>0</v>
      </c>
      <c r="AC1939">
        <v>0</v>
      </c>
      <c r="AE1939">
        <v>0</v>
      </c>
      <c r="AF1939">
        <v>0</v>
      </c>
      <c r="AG1939" s="2">
        <v>5687.62</v>
      </c>
      <c r="AH1939">
        <v>0</v>
      </c>
      <c r="AI1939" s="2">
        <v>34125.74</v>
      </c>
      <c r="AJ1939" s="2">
        <v>10426.44</v>
      </c>
      <c r="AK1939" s="2">
        <v>10426.44</v>
      </c>
      <c r="AL1939" t="str">
        <f>"$"</f>
        <v>$</v>
      </c>
    </row>
    <row r="1940" spans="1:38" x14ac:dyDescent="0.3">
      <c r="A1940" t="str">
        <f>"SO22000334"</f>
        <v>SO22000334</v>
      </c>
      <c r="B1940" t="str">
        <f>"E000369247"</f>
        <v>E000369247</v>
      </c>
      <c r="C1940" t="str">
        <f>"הרכבה חלקית"</f>
        <v>הרכבה חלקית</v>
      </c>
      <c r="E1940" s="3">
        <v>44789</v>
      </c>
      <c r="F1940" s="3">
        <v>44956</v>
      </c>
      <c r="G1940" t="str">
        <f>"700065"</f>
        <v>700065</v>
      </c>
      <c r="H1940" t="str">
        <f>"אלתא מערכות בע""מ"</f>
        <v>אלתא מערכות בע"מ</v>
      </c>
      <c r="I1940" t="str">
        <f>"רחמים זרוק"</f>
        <v>רחמים זרוק</v>
      </c>
      <c r="J1940" t="str">
        <f>"OP-AR03229"</f>
        <v>OP-AR03229</v>
      </c>
      <c r="K1940" s="1" t="str">
        <f>"6950A166-001    HARNESS WM06 - CU TO ANTENNA RIGHT AFT ("</f>
        <v>6950A166-001    HARNESS WM06 - CU TO ANTENNA RIGHT AFT (</v>
      </c>
      <c r="L1940">
        <v>2</v>
      </c>
      <c r="M1940" t="str">
        <f>"PR22000552"</f>
        <v>PR22000552</v>
      </c>
      <c r="N1940" t="str">
        <f>"E000369247"</f>
        <v>E000369247</v>
      </c>
      <c r="O1940" s="2">
        <v>1749.04</v>
      </c>
      <c r="P1940" t="str">
        <f>"$"</f>
        <v>$</v>
      </c>
      <c r="Q1940" t="str">
        <f>"117"</f>
        <v>117</v>
      </c>
      <c r="R1940" t="str">
        <f>"רתמות"</f>
        <v>רתמות</v>
      </c>
      <c r="S1940" t="str">
        <f>"040"</f>
        <v>040</v>
      </c>
      <c r="T1940" t="str">
        <f>"עמר ליגל"</f>
        <v>עמר ליגל</v>
      </c>
      <c r="U1940">
        <v>0</v>
      </c>
      <c r="V1940">
        <v>0</v>
      </c>
      <c r="W1940" s="2">
        <v>1749.04</v>
      </c>
      <c r="X1940" s="2">
        <v>3498.08</v>
      </c>
      <c r="Z1940" t="str">
        <f>"Y"</f>
        <v>Y</v>
      </c>
      <c r="AA1940">
        <v>0</v>
      </c>
      <c r="AC1940">
        <v>0</v>
      </c>
      <c r="AE1940">
        <v>0</v>
      </c>
      <c r="AF1940">
        <v>0</v>
      </c>
      <c r="AG1940" s="2">
        <v>5724.61</v>
      </c>
      <c r="AH1940">
        <v>0</v>
      </c>
      <c r="AI1940" s="2">
        <v>11449.22</v>
      </c>
      <c r="AJ1940" s="2">
        <v>3498.08</v>
      </c>
      <c r="AK1940" s="2">
        <v>3498.08</v>
      </c>
      <c r="AL1940" t="str">
        <f>"$"</f>
        <v>$</v>
      </c>
    </row>
    <row r="1941" spans="1:38" x14ac:dyDescent="0.3">
      <c r="A1941" t="str">
        <f>"SO22000334"</f>
        <v>SO22000334</v>
      </c>
      <c r="B1941" t="str">
        <f>"E000369247"</f>
        <v>E000369247</v>
      </c>
      <c r="C1941" t="str">
        <f>"הרכבה חלקית"</f>
        <v>הרכבה חלקית</v>
      </c>
      <c r="E1941" s="3">
        <v>44789</v>
      </c>
      <c r="F1941" s="3">
        <v>44956</v>
      </c>
      <c r="G1941" t="str">
        <f>"700065"</f>
        <v>700065</v>
      </c>
      <c r="H1941" t="str">
        <f>"אלתא מערכות בע""מ"</f>
        <v>אלתא מערכות בע"מ</v>
      </c>
      <c r="I1941" t="str">
        <f>"רחמים זרוק"</f>
        <v>רחמים זרוק</v>
      </c>
      <c r="J1941" t="str">
        <f>"OP-AR03230"</f>
        <v>OP-AR03230</v>
      </c>
      <c r="K1941" s="1" t="str">
        <f>"6950A167-001    HARNESS WM07 - CU TO ANTENNA LEFT AFT (6"</f>
        <v>6950A167-001    HARNESS WM07 - CU TO ANTENNA LEFT AFT (6</v>
      </c>
      <c r="L1941">
        <v>2</v>
      </c>
      <c r="M1941" t="str">
        <f>"PR22000552"</f>
        <v>PR22000552</v>
      </c>
      <c r="N1941" t="str">
        <f>"E000369247"</f>
        <v>E000369247</v>
      </c>
      <c r="O1941" s="2">
        <v>1749.04</v>
      </c>
      <c r="P1941" t="str">
        <f>"$"</f>
        <v>$</v>
      </c>
      <c r="Q1941" t="str">
        <f>"117"</f>
        <v>117</v>
      </c>
      <c r="R1941" t="str">
        <f>"רתמות"</f>
        <v>רתמות</v>
      </c>
      <c r="S1941" t="str">
        <f>"040"</f>
        <v>040</v>
      </c>
      <c r="T1941" t="str">
        <f>"עמר ליגל"</f>
        <v>עמר ליגל</v>
      </c>
      <c r="U1941">
        <v>0</v>
      </c>
      <c r="V1941">
        <v>0</v>
      </c>
      <c r="W1941" s="2">
        <v>1749.04</v>
      </c>
      <c r="X1941" s="2">
        <v>3498.08</v>
      </c>
      <c r="Z1941" t="str">
        <f>"Y"</f>
        <v>Y</v>
      </c>
      <c r="AA1941">
        <v>0</v>
      </c>
      <c r="AC1941">
        <v>0</v>
      </c>
      <c r="AE1941">
        <v>0</v>
      </c>
      <c r="AF1941">
        <v>0</v>
      </c>
      <c r="AG1941" s="2">
        <v>5724.61</v>
      </c>
      <c r="AH1941">
        <v>0</v>
      </c>
      <c r="AI1941" s="2">
        <v>11449.22</v>
      </c>
      <c r="AJ1941" s="2">
        <v>3498.08</v>
      </c>
      <c r="AK1941" s="2">
        <v>3498.08</v>
      </c>
      <c r="AL1941" t="str">
        <f>"$"</f>
        <v>$</v>
      </c>
    </row>
    <row r="1942" spans="1:38" x14ac:dyDescent="0.3">
      <c r="A1942" t="str">
        <f>"SO22000334"</f>
        <v>SO22000334</v>
      </c>
      <c r="B1942" t="str">
        <f>"E000369247"</f>
        <v>E000369247</v>
      </c>
      <c r="C1942" t="str">
        <f>"הרכבה חלקית"</f>
        <v>הרכבה חלקית</v>
      </c>
      <c r="E1942" s="3">
        <v>44789</v>
      </c>
      <c r="F1942" s="3">
        <v>44956</v>
      </c>
      <c r="G1942" t="str">
        <f>"700065"</f>
        <v>700065</v>
      </c>
      <c r="H1942" t="str">
        <f>"אלתא מערכות בע""מ"</f>
        <v>אלתא מערכות בע"מ</v>
      </c>
      <c r="I1942" t="str">
        <f>"רחמים זרוק"</f>
        <v>רחמים זרוק</v>
      </c>
      <c r="J1942" t="str">
        <f>"OP-AR03231"</f>
        <v>OP-AR03231</v>
      </c>
      <c r="K1942" s="1" t="str">
        <f>"6950A168-001    HARNESS WM08 - CU TO ANTENNA LEFT FWD (6"</f>
        <v>6950A168-001    HARNESS WM08 - CU TO ANTENNA LEFT FWD (6</v>
      </c>
      <c r="L1942">
        <v>2</v>
      </c>
      <c r="M1942" t="str">
        <f>"PR22000552"</f>
        <v>PR22000552</v>
      </c>
      <c r="N1942" t="str">
        <f>"E000369247"</f>
        <v>E000369247</v>
      </c>
      <c r="O1942" s="2">
        <v>1747.26</v>
      </c>
      <c r="P1942" t="str">
        <f>"$"</f>
        <v>$</v>
      </c>
      <c r="Q1942" t="str">
        <f>"117"</f>
        <v>117</v>
      </c>
      <c r="R1942" t="str">
        <f>"רתמות"</f>
        <v>רתמות</v>
      </c>
      <c r="S1942" t="str">
        <f>"040"</f>
        <v>040</v>
      </c>
      <c r="T1942" t="str">
        <f>"עמר ליגל"</f>
        <v>עמר ליגל</v>
      </c>
      <c r="U1942">
        <v>0</v>
      </c>
      <c r="V1942">
        <v>0</v>
      </c>
      <c r="W1942" s="2">
        <v>1747.26</v>
      </c>
      <c r="X1942" s="2">
        <v>3494.52</v>
      </c>
      <c r="Z1942" t="str">
        <f>"Y"</f>
        <v>Y</v>
      </c>
      <c r="AA1942">
        <v>0</v>
      </c>
      <c r="AC1942">
        <v>0</v>
      </c>
      <c r="AE1942">
        <v>0</v>
      </c>
      <c r="AF1942">
        <v>0</v>
      </c>
      <c r="AG1942" s="2">
        <v>5718.78</v>
      </c>
      <c r="AH1942">
        <v>0</v>
      </c>
      <c r="AI1942" s="2">
        <v>11437.56</v>
      </c>
      <c r="AJ1942" s="2">
        <v>3494.52</v>
      </c>
      <c r="AK1942" s="2">
        <v>3494.52</v>
      </c>
      <c r="AL1942" t="str">
        <f>"$"</f>
        <v>$</v>
      </c>
    </row>
    <row r="1943" spans="1:38" x14ac:dyDescent="0.3">
      <c r="A1943" t="str">
        <f>"SO22000334"</f>
        <v>SO22000334</v>
      </c>
      <c r="B1943" t="str">
        <f>"E000369247"</f>
        <v>E000369247</v>
      </c>
      <c r="C1943" t="str">
        <f>"הרכבה חלקית"</f>
        <v>הרכבה חלקית</v>
      </c>
      <c r="E1943" s="3">
        <v>44789</v>
      </c>
      <c r="F1943" s="3">
        <v>44956</v>
      </c>
      <c r="G1943" t="str">
        <f>"700065"</f>
        <v>700065</v>
      </c>
      <c r="H1943" t="str">
        <f>"אלתא מערכות בע""מ"</f>
        <v>אלתא מערכות בע"מ</v>
      </c>
      <c r="I1943" t="str">
        <f>"רחמים זרוק"</f>
        <v>רחמים זרוק</v>
      </c>
      <c r="J1943" t="str">
        <f>"OP-AR03232"</f>
        <v>OP-AR03232</v>
      </c>
      <c r="K1943" s="1" t="str">
        <f>"6950A181-001    HARNESS W181 - HFL INTEGRATION"</f>
        <v>6950A181-001    HARNESS W181 - HFL INTEGRATION</v>
      </c>
      <c r="L1943">
        <v>8</v>
      </c>
      <c r="M1943" t="str">
        <f>"PR22000552"</f>
        <v>PR22000552</v>
      </c>
      <c r="N1943" t="str">
        <f>"E000369247"</f>
        <v>E000369247</v>
      </c>
      <c r="O1943">
        <v>388.18</v>
      </c>
      <c r="P1943" t="str">
        <f>"$"</f>
        <v>$</v>
      </c>
      <c r="Q1943" t="str">
        <f>"117"</f>
        <v>117</v>
      </c>
      <c r="R1943" t="str">
        <f>"רתמות"</f>
        <v>רתמות</v>
      </c>
      <c r="S1943" t="str">
        <f>"040"</f>
        <v>040</v>
      </c>
      <c r="T1943" t="str">
        <f>"עמר ליגל"</f>
        <v>עמר ליגל</v>
      </c>
      <c r="U1943">
        <v>0</v>
      </c>
      <c r="V1943">
        <v>0</v>
      </c>
      <c r="W1943">
        <v>388.18</v>
      </c>
      <c r="X1943" s="2">
        <v>3105.44</v>
      </c>
      <c r="Z1943" t="str">
        <f>"Y"</f>
        <v>Y</v>
      </c>
      <c r="AA1943">
        <v>0</v>
      </c>
      <c r="AC1943">
        <v>0</v>
      </c>
      <c r="AE1943">
        <v>0</v>
      </c>
      <c r="AF1943">
        <v>0</v>
      </c>
      <c r="AG1943" s="2">
        <v>1270.51</v>
      </c>
      <c r="AH1943">
        <v>0</v>
      </c>
      <c r="AI1943" s="2">
        <v>10164.11</v>
      </c>
      <c r="AJ1943" s="2">
        <v>3105.44</v>
      </c>
      <c r="AK1943" s="2">
        <v>3105.44</v>
      </c>
      <c r="AL1943" t="str">
        <f>"$"</f>
        <v>$</v>
      </c>
    </row>
    <row r="1944" spans="1:38" x14ac:dyDescent="0.3">
      <c r="A1944" t="str">
        <f>"SO22000334"</f>
        <v>SO22000334</v>
      </c>
      <c r="B1944" t="str">
        <f>"E000369247"</f>
        <v>E000369247</v>
      </c>
      <c r="C1944" t="str">
        <f>"הרכבה חלקית"</f>
        <v>הרכבה חלקית</v>
      </c>
      <c r="E1944" s="3">
        <v>44789</v>
      </c>
      <c r="F1944" s="3">
        <v>44956</v>
      </c>
      <c r="G1944" t="str">
        <f>"700065"</f>
        <v>700065</v>
      </c>
      <c r="H1944" t="str">
        <f>"אלתא מערכות בע""מ"</f>
        <v>אלתא מערכות בע"מ</v>
      </c>
      <c r="I1944" t="str">
        <f>"רחמים זרוק"</f>
        <v>רחמים זרוק</v>
      </c>
      <c r="J1944" t="str">
        <f>"OP-AR03233"</f>
        <v>OP-AR03233</v>
      </c>
      <c r="K1944" s="1" t="str">
        <f>"6950A182-001    HARNESS W182 - MCU INTEGRATION"</f>
        <v>6950A182-001    HARNESS W182 - MCU INTEGRATION</v>
      </c>
      <c r="L1944">
        <v>14</v>
      </c>
      <c r="M1944" t="str">
        <f>"PR22000552"</f>
        <v>PR22000552</v>
      </c>
      <c r="N1944" t="str">
        <f>"E000369247"</f>
        <v>E000369247</v>
      </c>
      <c r="O1944">
        <v>862.04</v>
      </c>
      <c r="P1944" t="str">
        <f>"$"</f>
        <v>$</v>
      </c>
      <c r="Q1944" t="str">
        <f>"117"</f>
        <v>117</v>
      </c>
      <c r="R1944" t="str">
        <f>"רתמות"</f>
        <v>רתמות</v>
      </c>
      <c r="S1944" t="str">
        <f>"040"</f>
        <v>040</v>
      </c>
      <c r="T1944" t="str">
        <f>"עמר ליגל"</f>
        <v>עמר ליגל</v>
      </c>
      <c r="U1944">
        <v>0</v>
      </c>
      <c r="V1944">
        <v>0</v>
      </c>
      <c r="W1944">
        <v>862.04</v>
      </c>
      <c r="X1944" s="2">
        <v>12068.56</v>
      </c>
      <c r="Z1944" t="str">
        <f>"Y"</f>
        <v>Y</v>
      </c>
      <c r="AA1944">
        <v>0</v>
      </c>
      <c r="AC1944">
        <v>0</v>
      </c>
      <c r="AE1944">
        <v>0</v>
      </c>
      <c r="AF1944">
        <v>0</v>
      </c>
      <c r="AG1944" s="2">
        <v>2821.46</v>
      </c>
      <c r="AH1944">
        <v>0</v>
      </c>
      <c r="AI1944" s="2">
        <v>39500.400000000001</v>
      </c>
      <c r="AJ1944" s="2">
        <v>12068.56</v>
      </c>
      <c r="AK1944" s="2">
        <v>12068.56</v>
      </c>
      <c r="AL1944" t="str">
        <f>"$"</f>
        <v>$</v>
      </c>
    </row>
    <row r="1945" spans="1:38" x14ac:dyDescent="0.3">
      <c r="A1945" t="str">
        <f>"SO22000334"</f>
        <v>SO22000334</v>
      </c>
      <c r="B1945" t="str">
        <f>"E000369247"</f>
        <v>E000369247</v>
      </c>
      <c r="C1945" t="str">
        <f>"הרכבה חלקית"</f>
        <v>הרכבה חלקית</v>
      </c>
      <c r="E1945" s="3">
        <v>44789</v>
      </c>
      <c r="F1945" s="3">
        <v>44956</v>
      </c>
      <c r="G1945" t="str">
        <f>"700065"</f>
        <v>700065</v>
      </c>
      <c r="H1945" t="str">
        <f>"אלתא מערכות בע""מ"</f>
        <v>אלתא מערכות בע"מ</v>
      </c>
      <c r="I1945" t="str">
        <f>"רחמים זרוק"</f>
        <v>רחמים זרוק</v>
      </c>
      <c r="J1945" t="str">
        <f>"OP-AR03234"</f>
        <v>OP-AR03234</v>
      </c>
      <c r="K1945" s="1" t="str">
        <f>"6950A184-001    HARNESS W184 - RADAR OPERATIONAL"</f>
        <v>6950A184-001    HARNESS W184 - RADAR OPERATIONAL</v>
      </c>
      <c r="L1945">
        <v>8</v>
      </c>
      <c r="M1945" t="str">
        <f>"PR22000552"</f>
        <v>PR22000552</v>
      </c>
      <c r="N1945" t="str">
        <f>"E000369247"</f>
        <v>E000369247</v>
      </c>
      <c r="O1945">
        <v>798.95</v>
      </c>
      <c r="P1945" t="str">
        <f>"$"</f>
        <v>$</v>
      </c>
      <c r="Q1945" t="str">
        <f>"117"</f>
        <v>117</v>
      </c>
      <c r="R1945" t="str">
        <f>"רתמות"</f>
        <v>רתמות</v>
      </c>
      <c r="S1945" t="str">
        <f>"040"</f>
        <v>040</v>
      </c>
      <c r="T1945" t="str">
        <f>"עמר ליגל"</f>
        <v>עמר ליגל</v>
      </c>
      <c r="U1945">
        <v>0</v>
      </c>
      <c r="V1945">
        <v>0</v>
      </c>
      <c r="W1945">
        <v>798.95</v>
      </c>
      <c r="X1945" s="2">
        <v>6391.6</v>
      </c>
      <c r="Z1945" t="str">
        <f>"Y"</f>
        <v>Y</v>
      </c>
      <c r="AA1945">
        <v>0</v>
      </c>
      <c r="AC1945">
        <v>0</v>
      </c>
      <c r="AE1945">
        <v>0</v>
      </c>
      <c r="AF1945">
        <v>0</v>
      </c>
      <c r="AG1945" s="2">
        <v>2614.96</v>
      </c>
      <c r="AH1945">
        <v>0</v>
      </c>
      <c r="AI1945" s="2">
        <v>20919.71</v>
      </c>
      <c r="AJ1945" s="2">
        <v>6391.6</v>
      </c>
      <c r="AK1945" s="2">
        <v>6391.6</v>
      </c>
      <c r="AL1945" t="str">
        <f>"$"</f>
        <v>$</v>
      </c>
    </row>
    <row r="1946" spans="1:38" x14ac:dyDescent="0.3">
      <c r="A1946" t="str">
        <f>"SO22000334"</f>
        <v>SO22000334</v>
      </c>
      <c r="B1946" t="str">
        <f>"E000369247"</f>
        <v>E000369247</v>
      </c>
      <c r="C1946" t="str">
        <f>"הרכבה חלקית"</f>
        <v>הרכבה חלקית</v>
      </c>
      <c r="E1946" s="3">
        <v>44789</v>
      </c>
      <c r="F1946" s="3">
        <v>44956</v>
      </c>
      <c r="G1946" t="str">
        <f>"700065"</f>
        <v>700065</v>
      </c>
      <c r="H1946" t="str">
        <f>"אלתא מערכות בע""מ"</f>
        <v>אלתא מערכות בע"מ</v>
      </c>
      <c r="I1946" t="str">
        <f>"רחמים זרוק"</f>
        <v>רחמים זרוק</v>
      </c>
      <c r="J1946" t="str">
        <f>"OP-AR03235"</f>
        <v>OP-AR03235</v>
      </c>
      <c r="K1946" s="1" t="str">
        <f>"6950A185-001    HARNESS W185 - MCU - P6 REFAEL"</f>
        <v>6950A185-001    HARNESS W185 - MCU - P6 REFAEL</v>
      </c>
      <c r="L1946">
        <v>6</v>
      </c>
      <c r="M1946" t="str">
        <f>"PR22000552"</f>
        <v>PR22000552</v>
      </c>
      <c r="N1946" t="str">
        <f>"E000369247"</f>
        <v>E000369247</v>
      </c>
      <c r="O1946">
        <v>879.71</v>
      </c>
      <c r="P1946" t="str">
        <f>"$"</f>
        <v>$</v>
      </c>
      <c r="Q1946" t="str">
        <f>"117"</f>
        <v>117</v>
      </c>
      <c r="R1946" t="str">
        <f>"רתמות"</f>
        <v>רתמות</v>
      </c>
      <c r="S1946" t="str">
        <f>"040"</f>
        <v>040</v>
      </c>
      <c r="T1946" t="str">
        <f>"עמר ליגל"</f>
        <v>עמר ליגל</v>
      </c>
      <c r="U1946">
        <v>0</v>
      </c>
      <c r="V1946">
        <v>0</v>
      </c>
      <c r="W1946">
        <v>879.71</v>
      </c>
      <c r="X1946" s="2">
        <v>5278.26</v>
      </c>
      <c r="Z1946" t="str">
        <f>"Y"</f>
        <v>Y</v>
      </c>
      <c r="AA1946">
        <v>0</v>
      </c>
      <c r="AC1946">
        <v>0</v>
      </c>
      <c r="AE1946">
        <v>0</v>
      </c>
      <c r="AF1946">
        <v>0</v>
      </c>
      <c r="AG1946" s="2">
        <v>2879.29</v>
      </c>
      <c r="AH1946">
        <v>0</v>
      </c>
      <c r="AI1946" s="2">
        <v>17275.740000000002</v>
      </c>
      <c r="AJ1946" s="2">
        <v>5278.26</v>
      </c>
      <c r="AK1946" s="2">
        <v>5278.26</v>
      </c>
      <c r="AL1946" t="str">
        <f>"$"</f>
        <v>$</v>
      </c>
    </row>
    <row r="1947" spans="1:38" x14ac:dyDescent="0.3">
      <c r="A1947" t="str">
        <f>"SO22000334"</f>
        <v>SO22000334</v>
      </c>
      <c r="B1947" t="str">
        <f>"E000369247"</f>
        <v>E000369247</v>
      </c>
      <c r="C1947" t="str">
        <f>"הרכבה חלקית"</f>
        <v>הרכבה חלקית</v>
      </c>
      <c r="E1947" s="3">
        <v>44789</v>
      </c>
      <c r="F1947" s="3">
        <v>44956</v>
      </c>
      <c r="G1947" t="str">
        <f>"700065"</f>
        <v>700065</v>
      </c>
      <c r="H1947" t="str">
        <f>"אלתא מערכות בע""מ"</f>
        <v>אלתא מערכות בע"מ</v>
      </c>
      <c r="I1947" t="str">
        <f>"רחמים זרוק"</f>
        <v>רחמים זרוק</v>
      </c>
      <c r="J1947" t="str">
        <f>"OP-AR03236"</f>
        <v>OP-AR03236</v>
      </c>
      <c r="K1947" s="1" t="str">
        <f>"6950A631-001    HARNESS WA631 - CAMERA LINK RECORDING"</f>
        <v>6950A631-001    HARNESS WA631 - CAMERA LINK RECORDING</v>
      </c>
      <c r="L1947">
        <v>4</v>
      </c>
      <c r="M1947" t="str">
        <f>"PR22000552"</f>
        <v>PR22000552</v>
      </c>
      <c r="N1947" t="str">
        <f>"E000369247"</f>
        <v>E000369247</v>
      </c>
      <c r="O1947">
        <v>400.8</v>
      </c>
      <c r="P1947" t="str">
        <f>"$"</f>
        <v>$</v>
      </c>
      <c r="Q1947" t="str">
        <f>"117"</f>
        <v>117</v>
      </c>
      <c r="R1947" t="str">
        <f>"רתמות"</f>
        <v>רתמות</v>
      </c>
      <c r="S1947" t="str">
        <f>"040"</f>
        <v>040</v>
      </c>
      <c r="T1947" t="str">
        <f>"עמר ליגל"</f>
        <v>עמר ליגל</v>
      </c>
      <c r="U1947">
        <v>0</v>
      </c>
      <c r="V1947">
        <v>0</v>
      </c>
      <c r="W1947">
        <v>400.8</v>
      </c>
      <c r="X1947" s="2">
        <v>1603.2</v>
      </c>
      <c r="Z1947" t="str">
        <f>"Y"</f>
        <v>Y</v>
      </c>
      <c r="AA1947">
        <v>0</v>
      </c>
      <c r="AC1947">
        <v>0</v>
      </c>
      <c r="AE1947">
        <v>0</v>
      </c>
      <c r="AF1947">
        <v>0</v>
      </c>
      <c r="AG1947" s="2">
        <v>1311.82</v>
      </c>
      <c r="AH1947">
        <v>0</v>
      </c>
      <c r="AI1947" s="2">
        <v>5247.27</v>
      </c>
      <c r="AJ1947" s="2">
        <v>1603.2</v>
      </c>
      <c r="AK1947" s="2">
        <v>1603.2</v>
      </c>
      <c r="AL1947" t="str">
        <f>"$"</f>
        <v>$</v>
      </c>
    </row>
    <row r="1948" spans="1:38" x14ac:dyDescent="0.3">
      <c r="A1948" t="str">
        <f>"SO22000338"</f>
        <v>SO22000338</v>
      </c>
      <c r="B1948" t="str">
        <f>"E000369077"</f>
        <v>E000369077</v>
      </c>
      <c r="C1948" t="str">
        <f>"בוצעה"</f>
        <v>בוצעה</v>
      </c>
      <c r="E1948" s="3">
        <v>44791</v>
      </c>
      <c r="F1948" s="3">
        <v>44803</v>
      </c>
      <c r="G1948" t="str">
        <f>"700065"</f>
        <v>700065</v>
      </c>
      <c r="H1948" t="str">
        <f>"אלתא מערכות בע""מ"</f>
        <v>אלתא מערכות בע"מ</v>
      </c>
      <c r="I1948" t="str">
        <f>"רוני דידי"</f>
        <v>רוני דידי</v>
      </c>
      <c r="J1948" t="str">
        <f>"PD0300476"</f>
        <v>PD0300476</v>
      </c>
      <c r="K1948" s="1" t="str">
        <f>"תושבת למודולי בקרה שניידר BMXXBP0800H"</f>
        <v>תושבת למודולי בקרה שניידר BMXXBP0800H</v>
      </c>
      <c r="L1948">
        <v>1</v>
      </c>
      <c r="M1948" t="str">
        <f>"PR22000574"</f>
        <v>PR22000574</v>
      </c>
      <c r="N1948" t="str">
        <f>"אספקת פריטי בקרה"</f>
        <v>אספקת פריטי בקרה</v>
      </c>
      <c r="O1948">
        <v>295</v>
      </c>
      <c r="P1948" t="str">
        <f>"$"</f>
        <v>$</v>
      </c>
      <c r="Q1948" t="str">
        <f>"112"</f>
        <v>112</v>
      </c>
      <c r="R1948" t="str">
        <f>"תיקון תקלות"</f>
        <v>תיקון תקלות</v>
      </c>
      <c r="S1948" t="str">
        <f>"007"</f>
        <v>007</v>
      </c>
      <c r="T1948" t="str">
        <f>"עמר ליגל"</f>
        <v>עמר ליגל</v>
      </c>
      <c r="U1948">
        <v>0</v>
      </c>
      <c r="V1948">
        <v>0</v>
      </c>
      <c r="W1948">
        <v>295</v>
      </c>
      <c r="X1948">
        <v>295</v>
      </c>
      <c r="Z1948" t="str">
        <f>"Y"</f>
        <v>Y</v>
      </c>
      <c r="AA1948">
        <v>0</v>
      </c>
      <c r="AC1948">
        <v>0</v>
      </c>
      <c r="AE1948">
        <v>0</v>
      </c>
      <c r="AF1948">
        <v>0</v>
      </c>
      <c r="AG1948">
        <v>956.69</v>
      </c>
      <c r="AH1948">
        <v>0</v>
      </c>
      <c r="AI1948">
        <v>956.69</v>
      </c>
      <c r="AJ1948">
        <v>295</v>
      </c>
      <c r="AK1948">
        <v>295</v>
      </c>
      <c r="AL1948" t="str">
        <f>"$"</f>
        <v>$</v>
      </c>
    </row>
    <row r="1949" spans="1:38" x14ac:dyDescent="0.3">
      <c r="A1949" t="str">
        <f>"SO22000338"</f>
        <v>SO22000338</v>
      </c>
      <c r="B1949" t="str">
        <f>"E000369077"</f>
        <v>E000369077</v>
      </c>
      <c r="C1949" t="str">
        <f>"בוצעה"</f>
        <v>בוצעה</v>
      </c>
      <c r="E1949" s="3">
        <v>44791</v>
      </c>
      <c r="F1949" s="3">
        <v>44803</v>
      </c>
      <c r="G1949" t="str">
        <f>"700065"</f>
        <v>700065</v>
      </c>
      <c r="H1949" t="str">
        <f>"אלתא מערכות בע""מ"</f>
        <v>אלתא מערכות בע"מ</v>
      </c>
      <c r="I1949" t="str">
        <f>"רוני דידי"</f>
        <v>רוני דידי</v>
      </c>
      <c r="J1949" t="str">
        <f>"PD0300372"</f>
        <v>PD0300372</v>
      </c>
      <c r="K1949" s="1" t="str">
        <f>"ספק כוח לבקר BMXCPS3020H 24VDC"</f>
        <v>ספק כוח לבקר BMXCPS3020H 24VDC</v>
      </c>
      <c r="L1949">
        <v>1</v>
      </c>
      <c r="M1949" t="str">
        <f>"PR22000574"</f>
        <v>PR22000574</v>
      </c>
      <c r="N1949" t="str">
        <f>"אספקת פריטי בקרה"</f>
        <v>אספקת פריטי בקרה</v>
      </c>
      <c r="O1949">
        <v>510</v>
      </c>
      <c r="P1949" t="str">
        <f>"$"</f>
        <v>$</v>
      </c>
      <c r="Q1949" t="str">
        <f>"112"</f>
        <v>112</v>
      </c>
      <c r="R1949" t="str">
        <f>"תיקון תקלות"</f>
        <v>תיקון תקלות</v>
      </c>
      <c r="S1949" t="str">
        <f>"007"</f>
        <v>007</v>
      </c>
      <c r="T1949" t="str">
        <f>"עמר ליגל"</f>
        <v>עמר ליגל</v>
      </c>
      <c r="U1949">
        <v>0</v>
      </c>
      <c r="V1949">
        <v>0</v>
      </c>
      <c r="W1949">
        <v>510</v>
      </c>
      <c r="X1949">
        <v>510</v>
      </c>
      <c r="Z1949" t="str">
        <f>"Y"</f>
        <v>Y</v>
      </c>
      <c r="AA1949">
        <v>0</v>
      </c>
      <c r="AC1949">
        <v>0</v>
      </c>
      <c r="AE1949">
        <v>0</v>
      </c>
      <c r="AF1949">
        <v>0</v>
      </c>
      <c r="AG1949" s="2">
        <v>1653.93</v>
      </c>
      <c r="AH1949">
        <v>0</v>
      </c>
      <c r="AI1949" s="2">
        <v>1653.93</v>
      </c>
      <c r="AJ1949">
        <v>510</v>
      </c>
      <c r="AK1949">
        <v>510</v>
      </c>
      <c r="AL1949" t="str">
        <f>"$"</f>
        <v>$</v>
      </c>
    </row>
    <row r="1950" spans="1:38" x14ac:dyDescent="0.3">
      <c r="A1950" t="str">
        <f>"SO22000338"</f>
        <v>SO22000338</v>
      </c>
      <c r="B1950" t="str">
        <f>"E000369077"</f>
        <v>E000369077</v>
      </c>
      <c r="C1950" t="str">
        <f>"בוצעה"</f>
        <v>בוצעה</v>
      </c>
      <c r="E1950" s="3">
        <v>44791</v>
      </c>
      <c r="F1950" s="3">
        <v>44803</v>
      </c>
      <c r="G1950" t="str">
        <f>"700065"</f>
        <v>700065</v>
      </c>
      <c r="H1950" t="str">
        <f>"אלתא מערכות בע""מ"</f>
        <v>אלתא מערכות בע"מ</v>
      </c>
      <c r="I1950" t="str">
        <f>"רוני דידי"</f>
        <v>רוני דידי</v>
      </c>
      <c r="J1950" t="str">
        <f>"PD0300373"</f>
        <v>PD0300373</v>
      </c>
      <c r="K1950" s="1" t="str">
        <f>"מעבד לבקר מודול ראשי+MODBUSוBMXP342020H ETHERN"</f>
        <v>מעבד לבקר מודול ראשי+MODBUSוBMXP342020H ETHERN</v>
      </c>
      <c r="L1950">
        <v>1</v>
      </c>
      <c r="M1950" t="str">
        <f>"PR22000574"</f>
        <v>PR22000574</v>
      </c>
      <c r="N1950" t="str">
        <f>"אספקת פריטי בקרה"</f>
        <v>אספקת פריטי בקרה</v>
      </c>
      <c r="O1950" s="2">
        <v>1260</v>
      </c>
      <c r="P1950" t="str">
        <f>"$"</f>
        <v>$</v>
      </c>
      <c r="Q1950" t="str">
        <f>"112"</f>
        <v>112</v>
      </c>
      <c r="R1950" t="str">
        <f>"תיקון תקלות"</f>
        <v>תיקון תקלות</v>
      </c>
      <c r="S1950" t="str">
        <f>"007"</f>
        <v>007</v>
      </c>
      <c r="T1950" t="str">
        <f>"עמר ליגל"</f>
        <v>עמר ליגל</v>
      </c>
      <c r="U1950">
        <v>0</v>
      </c>
      <c r="V1950">
        <v>0</v>
      </c>
      <c r="W1950" s="2">
        <v>1260</v>
      </c>
      <c r="X1950" s="2">
        <v>1260</v>
      </c>
      <c r="Z1950" t="str">
        <f>"Y"</f>
        <v>Y</v>
      </c>
      <c r="AA1950">
        <v>0</v>
      </c>
      <c r="AC1950">
        <v>0</v>
      </c>
      <c r="AE1950">
        <v>0</v>
      </c>
      <c r="AF1950">
        <v>0</v>
      </c>
      <c r="AG1950" s="2">
        <v>4086.18</v>
      </c>
      <c r="AH1950">
        <v>0</v>
      </c>
      <c r="AI1950" s="2">
        <v>4086.18</v>
      </c>
      <c r="AJ1950" s="2">
        <v>1260</v>
      </c>
      <c r="AK1950" s="2">
        <v>1260</v>
      </c>
      <c r="AL1950" t="str">
        <f>"$"</f>
        <v>$</v>
      </c>
    </row>
    <row r="1951" spans="1:38" x14ac:dyDescent="0.3">
      <c r="A1951" t="str">
        <f>"SO22000338"</f>
        <v>SO22000338</v>
      </c>
      <c r="B1951" t="str">
        <f>"E000369077"</f>
        <v>E000369077</v>
      </c>
      <c r="C1951" t="str">
        <f>"בוצעה"</f>
        <v>בוצעה</v>
      </c>
      <c r="E1951" s="3">
        <v>44791</v>
      </c>
      <c r="F1951" s="3">
        <v>44803</v>
      </c>
      <c r="G1951" t="str">
        <f>"700065"</f>
        <v>700065</v>
      </c>
      <c r="H1951" t="str">
        <f>"אלתא מערכות בע""מ"</f>
        <v>אלתא מערכות בע"מ</v>
      </c>
      <c r="I1951" t="str">
        <f>"רוני דידי"</f>
        <v>רוני דידי</v>
      </c>
      <c r="J1951" t="str">
        <f>"PD0300477"</f>
        <v>PD0300477</v>
      </c>
      <c r="K1951" s="1" t="str">
        <f>"מודול 64 כניסות דיגיטליות שניידר BMXDDI6402K"</f>
        <v>מודול 64 כניסות דיגיטליות שניידר BMXDDI6402K</v>
      </c>
      <c r="L1951">
        <v>1</v>
      </c>
      <c r="M1951" t="str">
        <f>"PR22000574"</f>
        <v>PR22000574</v>
      </c>
      <c r="N1951" t="str">
        <f>"אספקת פריטי בקרה"</f>
        <v>אספקת פריטי בקרה</v>
      </c>
      <c r="O1951">
        <v>405</v>
      </c>
      <c r="P1951" t="str">
        <f>"$"</f>
        <v>$</v>
      </c>
      <c r="Q1951" t="str">
        <f>"112"</f>
        <v>112</v>
      </c>
      <c r="R1951" t="str">
        <f>"תיקון תקלות"</f>
        <v>תיקון תקלות</v>
      </c>
      <c r="S1951" t="str">
        <f>"007"</f>
        <v>007</v>
      </c>
      <c r="T1951" t="str">
        <f>"עמר ליגל"</f>
        <v>עמר ליגל</v>
      </c>
      <c r="U1951">
        <v>0</v>
      </c>
      <c r="V1951">
        <v>0</v>
      </c>
      <c r="W1951">
        <v>405</v>
      </c>
      <c r="X1951">
        <v>405</v>
      </c>
      <c r="Z1951" t="str">
        <f>"Y"</f>
        <v>Y</v>
      </c>
      <c r="AA1951">
        <v>0</v>
      </c>
      <c r="AC1951">
        <v>0</v>
      </c>
      <c r="AE1951">
        <v>0</v>
      </c>
      <c r="AF1951">
        <v>0</v>
      </c>
      <c r="AG1951" s="2">
        <v>1313.42</v>
      </c>
      <c r="AH1951">
        <v>0</v>
      </c>
      <c r="AI1951" s="2">
        <v>1313.42</v>
      </c>
      <c r="AJ1951">
        <v>405</v>
      </c>
      <c r="AK1951">
        <v>405</v>
      </c>
      <c r="AL1951" t="str">
        <f>"$"</f>
        <v>$</v>
      </c>
    </row>
    <row r="1952" spans="1:38" x14ac:dyDescent="0.3">
      <c r="A1952" t="str">
        <f>"SO22000338"</f>
        <v>SO22000338</v>
      </c>
      <c r="B1952" t="str">
        <f>"E000369077"</f>
        <v>E000369077</v>
      </c>
      <c r="C1952" t="str">
        <f>"בוצעה"</f>
        <v>בוצעה</v>
      </c>
      <c r="E1952" s="3">
        <v>44791</v>
      </c>
      <c r="F1952" s="3">
        <v>44803</v>
      </c>
      <c r="G1952" t="str">
        <f>"700065"</f>
        <v>700065</v>
      </c>
      <c r="H1952" t="str">
        <f>"אלתא מערכות בע""מ"</f>
        <v>אלתא מערכות בע"מ</v>
      </c>
      <c r="I1952" t="str">
        <f>"רוני דידי"</f>
        <v>רוני דידי</v>
      </c>
      <c r="J1952" t="str">
        <f>"PD0300478"</f>
        <v>PD0300478</v>
      </c>
      <c r="K1952" s="1" t="str">
        <f>"מודול 16 יציאות דיגיטליות טרנזיסטור שניידר BMXDDO1612H"</f>
        <v>מודול 16 יציאות דיגיטליות טרנזיסטור שניידר BMXDDO1612H</v>
      </c>
      <c r="L1952">
        <v>3</v>
      </c>
      <c r="M1952" t="str">
        <f>"PR22000574"</f>
        <v>PR22000574</v>
      </c>
      <c r="N1952" t="str">
        <f>"אספקת פריטי בקרה"</f>
        <v>אספקת פריטי בקרה</v>
      </c>
      <c r="O1952">
        <v>190</v>
      </c>
      <c r="P1952" t="str">
        <f>"$"</f>
        <v>$</v>
      </c>
      <c r="Q1952" t="str">
        <f>"112"</f>
        <v>112</v>
      </c>
      <c r="R1952" t="str">
        <f>"תיקון תקלות"</f>
        <v>תיקון תקלות</v>
      </c>
      <c r="S1952" t="str">
        <f>"007"</f>
        <v>007</v>
      </c>
      <c r="T1952" t="str">
        <f>"עמר ליגל"</f>
        <v>עמר ליגל</v>
      </c>
      <c r="U1952">
        <v>0</v>
      </c>
      <c r="V1952">
        <v>0</v>
      </c>
      <c r="W1952">
        <v>190</v>
      </c>
      <c r="X1952">
        <v>570</v>
      </c>
      <c r="Z1952" t="str">
        <f>"Y"</f>
        <v>Y</v>
      </c>
      <c r="AA1952">
        <v>0</v>
      </c>
      <c r="AC1952">
        <v>0</v>
      </c>
      <c r="AE1952">
        <v>0</v>
      </c>
      <c r="AF1952">
        <v>0</v>
      </c>
      <c r="AG1952">
        <v>616.16999999999996</v>
      </c>
      <c r="AH1952">
        <v>0</v>
      </c>
      <c r="AI1952" s="2">
        <v>1848.51</v>
      </c>
      <c r="AJ1952">
        <v>570</v>
      </c>
      <c r="AK1952">
        <v>570</v>
      </c>
      <c r="AL1952" t="str">
        <f>"$"</f>
        <v>$</v>
      </c>
    </row>
    <row r="1953" spans="1:38" x14ac:dyDescent="0.3">
      <c r="A1953" t="str">
        <f>"SO22000338"</f>
        <v>SO22000338</v>
      </c>
      <c r="B1953" t="str">
        <f>"E000369077"</f>
        <v>E000369077</v>
      </c>
      <c r="C1953" t="str">
        <f>"בוצעה"</f>
        <v>בוצעה</v>
      </c>
      <c r="E1953" s="3">
        <v>44791</v>
      </c>
      <c r="F1953" s="3">
        <v>44803</v>
      </c>
      <c r="G1953" t="str">
        <f>"700065"</f>
        <v>700065</v>
      </c>
      <c r="H1953" t="str">
        <f>"אלתא מערכות בע""מ"</f>
        <v>אלתא מערכות בע"מ</v>
      </c>
      <c r="I1953" t="str">
        <f>"רוני דידי"</f>
        <v>רוני דידי</v>
      </c>
      <c r="J1953" t="str">
        <f>"PD0300479"</f>
        <v>PD0300479</v>
      </c>
      <c r="K1953" s="1" t="str">
        <f>"מודול 4 כניסות אנלוגיות שניידר BMXAMI0410H"</f>
        <v>מודול 4 כניסות אנלוגיות שניידר BMXAMI0410H</v>
      </c>
      <c r="L1953">
        <v>1</v>
      </c>
      <c r="M1953" t="str">
        <f>"PR22000574"</f>
        <v>PR22000574</v>
      </c>
      <c r="N1953" t="str">
        <f>"אספקת פריטי בקרה"</f>
        <v>אספקת פריטי בקרה</v>
      </c>
      <c r="O1953">
        <v>480</v>
      </c>
      <c r="P1953" t="str">
        <f>"$"</f>
        <v>$</v>
      </c>
      <c r="Q1953" t="str">
        <f>"112"</f>
        <v>112</v>
      </c>
      <c r="R1953" t="str">
        <f>"תיקון תקלות"</f>
        <v>תיקון תקלות</v>
      </c>
      <c r="S1953" t="str">
        <f>"007"</f>
        <v>007</v>
      </c>
      <c r="T1953" t="str">
        <f>"עמר ליגל"</f>
        <v>עמר ליגל</v>
      </c>
      <c r="U1953">
        <v>0</v>
      </c>
      <c r="V1953">
        <v>0</v>
      </c>
      <c r="W1953">
        <v>480</v>
      </c>
      <c r="X1953">
        <v>480</v>
      </c>
      <c r="Z1953" t="str">
        <f>"Y"</f>
        <v>Y</v>
      </c>
      <c r="AA1953">
        <v>0</v>
      </c>
      <c r="AC1953">
        <v>0</v>
      </c>
      <c r="AE1953">
        <v>0</v>
      </c>
      <c r="AF1953">
        <v>0</v>
      </c>
      <c r="AG1953" s="2">
        <v>1556.64</v>
      </c>
      <c r="AH1953">
        <v>0</v>
      </c>
      <c r="AI1953" s="2">
        <v>1556.64</v>
      </c>
      <c r="AJ1953">
        <v>480</v>
      </c>
      <c r="AK1953">
        <v>480</v>
      </c>
      <c r="AL1953" t="str">
        <f>"$"</f>
        <v>$</v>
      </c>
    </row>
    <row r="1954" spans="1:38" x14ac:dyDescent="0.3">
      <c r="A1954" t="str">
        <f>"SO22000338"</f>
        <v>SO22000338</v>
      </c>
      <c r="B1954" t="str">
        <f>"E000369077"</f>
        <v>E000369077</v>
      </c>
      <c r="C1954" t="str">
        <f>"בוצעה"</f>
        <v>בוצעה</v>
      </c>
      <c r="E1954" s="3">
        <v>44791</v>
      </c>
      <c r="F1954" s="3">
        <v>44803</v>
      </c>
      <c r="G1954" t="str">
        <f>"700065"</f>
        <v>700065</v>
      </c>
      <c r="H1954" t="str">
        <f>"אלתא מערכות בע""מ"</f>
        <v>אלתא מערכות בע"מ</v>
      </c>
      <c r="I1954" t="str">
        <f>"רוני דידי"</f>
        <v>רוני דידי</v>
      </c>
      <c r="J1954" t="str">
        <f>"PD0300358"</f>
        <v>PD0300358</v>
      </c>
      <c r="K1954" s="1" t="str">
        <f>"כבל מסוכך באורך 3 מטר 40 פינים BMXFCW301S"</f>
        <v>כבל מסוכך באורך 3 מטר 40 פינים BMXFCW301S</v>
      </c>
      <c r="L1954">
        <v>2</v>
      </c>
      <c r="M1954" t="str">
        <f>"PR22000574"</f>
        <v>PR22000574</v>
      </c>
      <c r="N1954" t="str">
        <f>"אספקת פריטי בקרה"</f>
        <v>אספקת פריטי בקרה</v>
      </c>
      <c r="O1954">
        <v>50</v>
      </c>
      <c r="P1954" t="str">
        <f>"$"</f>
        <v>$</v>
      </c>
      <c r="Q1954" t="str">
        <f>"112"</f>
        <v>112</v>
      </c>
      <c r="R1954" t="str">
        <f>"תיקון תקלות"</f>
        <v>תיקון תקלות</v>
      </c>
      <c r="S1954" t="str">
        <f>"007"</f>
        <v>007</v>
      </c>
      <c r="T1954" t="str">
        <f>"עמר ליגל"</f>
        <v>עמר ליגל</v>
      </c>
      <c r="U1954">
        <v>0</v>
      </c>
      <c r="V1954">
        <v>0</v>
      </c>
      <c r="W1954">
        <v>50</v>
      </c>
      <c r="X1954">
        <v>100</v>
      </c>
      <c r="Z1954" t="str">
        <f>"Y"</f>
        <v>Y</v>
      </c>
      <c r="AA1954">
        <v>0</v>
      </c>
      <c r="AC1954">
        <v>0</v>
      </c>
      <c r="AE1954">
        <v>0</v>
      </c>
      <c r="AF1954">
        <v>0</v>
      </c>
      <c r="AG1954">
        <v>162.15</v>
      </c>
      <c r="AH1954">
        <v>0</v>
      </c>
      <c r="AI1954">
        <v>324.3</v>
      </c>
      <c r="AJ1954">
        <v>100</v>
      </c>
      <c r="AK1954">
        <v>100</v>
      </c>
      <c r="AL1954" t="str">
        <f>"$"</f>
        <v>$</v>
      </c>
    </row>
    <row r="1955" spans="1:38" x14ac:dyDescent="0.3">
      <c r="A1955" t="str">
        <f>"SO22000338"</f>
        <v>SO22000338</v>
      </c>
      <c r="B1955" t="str">
        <f>"E000369077"</f>
        <v>E000369077</v>
      </c>
      <c r="C1955" t="str">
        <f>"בוצעה"</f>
        <v>בוצעה</v>
      </c>
      <c r="E1955" s="3">
        <v>44791</v>
      </c>
      <c r="F1955" s="3">
        <v>44803</v>
      </c>
      <c r="G1955" t="str">
        <f>"700065"</f>
        <v>700065</v>
      </c>
      <c r="H1955" t="str">
        <f>"אלתא מערכות בע""מ"</f>
        <v>אלתא מערכות בע"מ</v>
      </c>
      <c r="I1955" t="str">
        <f>"רוני דידי"</f>
        <v>רוני דידי</v>
      </c>
      <c r="J1955" t="str">
        <f>"PD0300480"</f>
        <v>PD0300480</v>
      </c>
      <c r="K1955" s="1" t="str">
        <f>"מודול 8 כניסות אנלוגיות טמפרטורה שניידר BMXART0814H"</f>
        <v>מודול 8 כניסות אנלוגיות טמפרטורה שניידר BMXART0814H</v>
      </c>
      <c r="L1955">
        <v>1</v>
      </c>
      <c r="M1955" t="str">
        <f>"PR22000574"</f>
        <v>PR22000574</v>
      </c>
      <c r="N1955" t="str">
        <f>"אספקת פריטי בקרה"</f>
        <v>אספקת פריטי בקרה</v>
      </c>
      <c r="O1955">
        <v>905</v>
      </c>
      <c r="P1955" t="str">
        <f>"$"</f>
        <v>$</v>
      </c>
      <c r="Q1955" t="str">
        <f>"112"</f>
        <v>112</v>
      </c>
      <c r="R1955" t="str">
        <f>"תיקון תקלות"</f>
        <v>תיקון תקלות</v>
      </c>
      <c r="S1955" t="str">
        <f>"007"</f>
        <v>007</v>
      </c>
      <c r="T1955" t="str">
        <f>"עמר ליגל"</f>
        <v>עמר ליגל</v>
      </c>
      <c r="U1955">
        <v>0</v>
      </c>
      <c r="V1955">
        <v>0</v>
      </c>
      <c r="W1955">
        <v>905</v>
      </c>
      <c r="X1955">
        <v>905</v>
      </c>
      <c r="Z1955" t="str">
        <f>"Y"</f>
        <v>Y</v>
      </c>
      <c r="AA1955">
        <v>0</v>
      </c>
      <c r="AC1955">
        <v>0</v>
      </c>
      <c r="AE1955">
        <v>0</v>
      </c>
      <c r="AF1955">
        <v>0</v>
      </c>
      <c r="AG1955" s="2">
        <v>2934.92</v>
      </c>
      <c r="AH1955">
        <v>0</v>
      </c>
      <c r="AI1955" s="2">
        <v>2934.92</v>
      </c>
      <c r="AJ1955">
        <v>905</v>
      </c>
      <c r="AK1955">
        <v>905</v>
      </c>
      <c r="AL1955" t="str">
        <f>"$"</f>
        <v>$</v>
      </c>
    </row>
    <row r="1956" spans="1:38" x14ac:dyDescent="0.3">
      <c r="A1956" t="str">
        <f>"SO22000338"</f>
        <v>SO22000338</v>
      </c>
      <c r="B1956" t="str">
        <f>"E000369077"</f>
        <v>E000369077</v>
      </c>
      <c r="C1956" t="str">
        <f>"בוצעה"</f>
        <v>בוצעה</v>
      </c>
      <c r="E1956" s="3">
        <v>44791</v>
      </c>
      <c r="F1956" s="3">
        <v>44803</v>
      </c>
      <c r="G1956" t="str">
        <f>"700065"</f>
        <v>700065</v>
      </c>
      <c r="H1956" t="str">
        <f>"אלתא מערכות בע""מ"</f>
        <v>אלתא מערכות בע"מ</v>
      </c>
      <c r="I1956" t="str">
        <f>"רוני דידי"</f>
        <v>רוני דידי</v>
      </c>
      <c r="J1956" t="str">
        <f>"PD0300376"</f>
        <v>PD0300376</v>
      </c>
      <c r="K1956" s="1" t="str">
        <f>"כרטיס זיכרון BMXRMS008MPF SD 8MB"</f>
        <v>כרטיס זיכרון BMXRMS008MPF SD 8MB</v>
      </c>
      <c r="L1956">
        <v>1</v>
      </c>
      <c r="M1956" t="str">
        <f>"PR22000574"</f>
        <v>PR22000574</v>
      </c>
      <c r="N1956" t="str">
        <f>"אספקת פריטי בקרה"</f>
        <v>אספקת פריטי בקרה</v>
      </c>
      <c r="O1956">
        <v>264</v>
      </c>
      <c r="P1956" t="str">
        <f>"$"</f>
        <v>$</v>
      </c>
      <c r="Q1956" t="str">
        <f>"112"</f>
        <v>112</v>
      </c>
      <c r="R1956" t="str">
        <f>"תיקון תקלות"</f>
        <v>תיקון תקלות</v>
      </c>
      <c r="S1956" t="str">
        <f>"007"</f>
        <v>007</v>
      </c>
      <c r="T1956" t="str">
        <f>"עמר ליגל"</f>
        <v>עמר ליגל</v>
      </c>
      <c r="U1956">
        <v>0</v>
      </c>
      <c r="V1956">
        <v>0</v>
      </c>
      <c r="W1956">
        <v>264</v>
      </c>
      <c r="X1956">
        <v>264</v>
      </c>
      <c r="Z1956" t="str">
        <f>"Y"</f>
        <v>Y</v>
      </c>
      <c r="AA1956">
        <v>0</v>
      </c>
      <c r="AC1956">
        <v>0</v>
      </c>
      <c r="AE1956">
        <v>0</v>
      </c>
      <c r="AF1956">
        <v>0</v>
      </c>
      <c r="AG1956">
        <v>856.15</v>
      </c>
      <c r="AH1956">
        <v>0</v>
      </c>
      <c r="AI1956">
        <v>856.15</v>
      </c>
      <c r="AJ1956">
        <v>264</v>
      </c>
      <c r="AK1956">
        <v>264</v>
      </c>
      <c r="AL1956" t="str">
        <f>"$"</f>
        <v>$</v>
      </c>
    </row>
    <row r="1957" spans="1:38" x14ac:dyDescent="0.3">
      <c r="A1957" t="str">
        <f>"SO22000338"</f>
        <v>SO22000338</v>
      </c>
      <c r="B1957" t="str">
        <f>"E000369077"</f>
        <v>E000369077</v>
      </c>
      <c r="C1957" t="str">
        <f>"בוצעה"</f>
        <v>בוצעה</v>
      </c>
      <c r="E1957" s="3">
        <v>44791</v>
      </c>
      <c r="F1957" s="3">
        <v>44803</v>
      </c>
      <c r="G1957" t="str">
        <f>"700065"</f>
        <v>700065</v>
      </c>
      <c r="H1957" t="str">
        <f>"אלתא מערכות בע""מ"</f>
        <v>אלתא מערכות בע"מ</v>
      </c>
      <c r="I1957" t="str">
        <f>"רוני דידי"</f>
        <v>רוני דידי</v>
      </c>
      <c r="J1957" t="str">
        <f>"PD0300377"</f>
        <v>PD0300377</v>
      </c>
      <c r="K1957" s="1" t="str">
        <f>"כרטיס זיכרון HMIZSD4G SD 4GB"</f>
        <v>כרטיס זיכרון HMIZSD4G SD 4GB</v>
      </c>
      <c r="L1957">
        <v>1</v>
      </c>
      <c r="M1957" t="str">
        <f>"PR22000574"</f>
        <v>PR22000574</v>
      </c>
      <c r="N1957" t="str">
        <f>"אספקת פריטי בקרה"</f>
        <v>אספקת פריטי בקרה</v>
      </c>
      <c r="O1957">
        <v>93</v>
      </c>
      <c r="P1957" t="str">
        <f>"$"</f>
        <v>$</v>
      </c>
      <c r="Q1957" t="str">
        <f>"112"</f>
        <v>112</v>
      </c>
      <c r="R1957" t="str">
        <f>"תיקון תקלות"</f>
        <v>תיקון תקלות</v>
      </c>
      <c r="S1957" t="str">
        <f>"007"</f>
        <v>007</v>
      </c>
      <c r="T1957" t="str">
        <f>"עמר ליגל"</f>
        <v>עמר ליגל</v>
      </c>
      <c r="U1957">
        <v>0</v>
      </c>
      <c r="V1957">
        <v>0</v>
      </c>
      <c r="W1957">
        <v>93</v>
      </c>
      <c r="X1957">
        <v>93</v>
      </c>
      <c r="Z1957" t="str">
        <f>"Y"</f>
        <v>Y</v>
      </c>
      <c r="AA1957">
        <v>0</v>
      </c>
      <c r="AC1957">
        <v>0</v>
      </c>
      <c r="AE1957">
        <v>0</v>
      </c>
      <c r="AF1957">
        <v>0</v>
      </c>
      <c r="AG1957">
        <v>301.60000000000002</v>
      </c>
      <c r="AH1957">
        <v>0</v>
      </c>
      <c r="AI1957">
        <v>301.60000000000002</v>
      </c>
      <c r="AJ1957">
        <v>93</v>
      </c>
      <c r="AK1957">
        <v>93</v>
      </c>
      <c r="AL1957" t="str">
        <f>"$"</f>
        <v>$</v>
      </c>
    </row>
    <row r="1958" spans="1:38" x14ac:dyDescent="0.3">
      <c r="A1958" t="str">
        <f>"SO22000338"</f>
        <v>SO22000338</v>
      </c>
      <c r="B1958" t="str">
        <f>"E000369077"</f>
        <v>E000369077</v>
      </c>
      <c r="C1958" t="str">
        <f>"בוצעה"</f>
        <v>בוצעה</v>
      </c>
      <c r="E1958" s="3">
        <v>44791</v>
      </c>
      <c r="F1958" s="3">
        <v>44803</v>
      </c>
      <c r="G1958" t="str">
        <f>"700065"</f>
        <v>700065</v>
      </c>
      <c r="H1958" t="str">
        <f>"אלתא מערכות בע""מ"</f>
        <v>אלתא מערכות בע"מ</v>
      </c>
      <c r="I1958" t="str">
        <f>"רוני דידי"</f>
        <v>רוני דידי</v>
      </c>
      <c r="J1958" t="str">
        <f>"PD0300359"</f>
        <v>PD0300359</v>
      </c>
      <c r="K1958" s="1" t="str">
        <f>"מהדק נשלף 20 פינים BMXFTB2010"</f>
        <v>מהדק נשלף 20 פינים BMXFTB2010</v>
      </c>
      <c r="L1958">
        <v>3</v>
      </c>
      <c r="M1958" t="str">
        <f>"PR22000574"</f>
        <v>PR22000574</v>
      </c>
      <c r="N1958" t="str">
        <f>"אספקת פריטי בקרה"</f>
        <v>אספקת פריטי בקרה</v>
      </c>
      <c r="O1958">
        <v>30</v>
      </c>
      <c r="P1958" t="str">
        <f>"$"</f>
        <v>$</v>
      </c>
      <c r="Q1958" t="str">
        <f>"112"</f>
        <v>112</v>
      </c>
      <c r="R1958" t="str">
        <f>"תיקון תקלות"</f>
        <v>תיקון תקלות</v>
      </c>
      <c r="S1958" t="str">
        <f>"007"</f>
        <v>007</v>
      </c>
      <c r="T1958" t="str">
        <f>"עמר ליגל"</f>
        <v>עמר ליגל</v>
      </c>
      <c r="U1958">
        <v>0</v>
      </c>
      <c r="V1958">
        <v>0</v>
      </c>
      <c r="W1958">
        <v>30</v>
      </c>
      <c r="X1958">
        <v>90</v>
      </c>
      <c r="Z1958" t="str">
        <f>"Y"</f>
        <v>Y</v>
      </c>
      <c r="AA1958">
        <v>0</v>
      </c>
      <c r="AC1958">
        <v>0</v>
      </c>
      <c r="AE1958">
        <v>0</v>
      </c>
      <c r="AF1958">
        <v>0</v>
      </c>
      <c r="AG1958">
        <v>97.29</v>
      </c>
      <c r="AH1958">
        <v>0</v>
      </c>
      <c r="AI1958">
        <v>291.87</v>
      </c>
      <c r="AJ1958">
        <v>90</v>
      </c>
      <c r="AK1958">
        <v>90</v>
      </c>
      <c r="AL1958" t="str">
        <f>"$"</f>
        <v>$</v>
      </c>
    </row>
    <row r="1959" spans="1:38" x14ac:dyDescent="0.3">
      <c r="A1959" t="str">
        <f>"SO22000338"</f>
        <v>SO22000338</v>
      </c>
      <c r="B1959" t="str">
        <f>"E000369077"</f>
        <v>E000369077</v>
      </c>
      <c r="C1959" t="str">
        <f>"בוצעה"</f>
        <v>בוצעה</v>
      </c>
      <c r="E1959" s="3">
        <v>44791</v>
      </c>
      <c r="F1959" s="3">
        <v>44803</v>
      </c>
      <c r="G1959" t="str">
        <f>"700065"</f>
        <v>700065</v>
      </c>
      <c r="H1959" t="str">
        <f>"אלתא מערכות בע""מ"</f>
        <v>אלתא מערכות בע"מ</v>
      </c>
      <c r="I1959" t="str">
        <f>"רוני דידי"</f>
        <v>רוני דידי</v>
      </c>
      <c r="J1959" t="str">
        <f>"PD0300482"</f>
        <v>PD0300482</v>
      </c>
      <c r="K1959" s="1" t="str">
        <f>"כבל למודול כניסות דיגיטליות שניידר BMXFCW303"</f>
        <v>כבל למודול כניסות דיגיטליות שניידר BMXFCW303</v>
      </c>
      <c r="L1959">
        <v>2</v>
      </c>
      <c r="M1959" t="str">
        <f>"PR22000574"</f>
        <v>PR22000574</v>
      </c>
      <c r="N1959" t="str">
        <f>"אספקת פריטי בקרה"</f>
        <v>אספקת פריטי בקרה</v>
      </c>
      <c r="O1959">
        <v>60</v>
      </c>
      <c r="P1959" t="str">
        <f>"$"</f>
        <v>$</v>
      </c>
      <c r="Q1959" t="str">
        <f>"112"</f>
        <v>112</v>
      </c>
      <c r="R1959" t="str">
        <f>"תיקון תקלות"</f>
        <v>תיקון תקלות</v>
      </c>
      <c r="S1959" t="str">
        <f>"007"</f>
        <v>007</v>
      </c>
      <c r="T1959" t="str">
        <f>"עמר ליגל"</f>
        <v>עמר ליגל</v>
      </c>
      <c r="U1959">
        <v>0</v>
      </c>
      <c r="V1959">
        <v>0</v>
      </c>
      <c r="W1959">
        <v>60</v>
      </c>
      <c r="X1959">
        <v>120</v>
      </c>
      <c r="Z1959" t="str">
        <f>"Y"</f>
        <v>Y</v>
      </c>
      <c r="AA1959">
        <v>0</v>
      </c>
      <c r="AC1959">
        <v>0</v>
      </c>
      <c r="AE1959">
        <v>0</v>
      </c>
      <c r="AF1959">
        <v>0</v>
      </c>
      <c r="AG1959">
        <v>194.58</v>
      </c>
      <c r="AH1959">
        <v>0</v>
      </c>
      <c r="AI1959">
        <v>389.16</v>
      </c>
      <c r="AJ1959">
        <v>120</v>
      </c>
      <c r="AK1959">
        <v>120</v>
      </c>
      <c r="AL1959" t="str">
        <f>"$"</f>
        <v>$</v>
      </c>
    </row>
    <row r="1960" spans="1:38" x14ac:dyDescent="0.3">
      <c r="A1960" t="str">
        <f>"SO22000338"</f>
        <v>SO22000338</v>
      </c>
      <c r="B1960" t="str">
        <f>"E000369077"</f>
        <v>E000369077</v>
      </c>
      <c r="C1960" t="str">
        <f>"בוצעה"</f>
        <v>בוצעה</v>
      </c>
      <c r="E1960" s="3">
        <v>44791</v>
      </c>
      <c r="F1960" s="3">
        <v>45107</v>
      </c>
      <c r="G1960" t="str">
        <f>"700065"</f>
        <v>700065</v>
      </c>
      <c r="H1960" t="str">
        <f>"אלתא מערכות בע""מ"</f>
        <v>אלתא מערכות בע"מ</v>
      </c>
      <c r="I1960" t="str">
        <f>"רוני דידי"</f>
        <v>רוני דידי</v>
      </c>
      <c r="J1960" t="str">
        <f>"PD0300481"</f>
        <v>PD0300481</v>
      </c>
      <c r="K1960" s="1" t="str">
        <f>"מסך 12 אינץ HMI שניידר HMIGTO6310"</f>
        <v>מסך 12 אינץ HMI שניידר HMIGTO6310</v>
      </c>
      <c r="L1960">
        <v>1</v>
      </c>
      <c r="M1960" t="str">
        <f>"PR22000574"</f>
        <v>PR22000574</v>
      </c>
      <c r="N1960" t="str">
        <f>"אספקת פריטי בקרה"</f>
        <v>אספקת פריטי בקרה</v>
      </c>
      <c r="O1960" s="2">
        <v>1985</v>
      </c>
      <c r="P1960" t="str">
        <f>"$"</f>
        <v>$</v>
      </c>
      <c r="Q1960" t="str">
        <f>"112"</f>
        <v>112</v>
      </c>
      <c r="R1960" t="str">
        <f>"תיקון תקלות"</f>
        <v>תיקון תקלות</v>
      </c>
      <c r="S1960" t="str">
        <f>"007"</f>
        <v>007</v>
      </c>
      <c r="T1960" t="str">
        <f>"עמר ליגל"</f>
        <v>עמר ליגל</v>
      </c>
      <c r="U1960">
        <v>0</v>
      </c>
      <c r="V1960">
        <v>0</v>
      </c>
      <c r="W1960" s="2">
        <v>1985</v>
      </c>
      <c r="X1960" s="2">
        <v>1985</v>
      </c>
      <c r="Z1960" t="str">
        <f>"Y"</f>
        <v>Y</v>
      </c>
      <c r="AA1960">
        <v>0</v>
      </c>
      <c r="AC1960">
        <v>0</v>
      </c>
      <c r="AE1960">
        <v>0</v>
      </c>
      <c r="AF1960">
        <v>0</v>
      </c>
      <c r="AG1960" s="2">
        <v>6437.36</v>
      </c>
      <c r="AH1960">
        <v>0</v>
      </c>
      <c r="AI1960" s="2">
        <v>6437.36</v>
      </c>
      <c r="AJ1960" s="2">
        <v>1985</v>
      </c>
      <c r="AK1960" s="2">
        <v>1985</v>
      </c>
      <c r="AL1960" t="str">
        <f>"$"</f>
        <v>$</v>
      </c>
    </row>
    <row r="1961" spans="1:38" x14ac:dyDescent="0.3">
      <c r="A1961" t="str">
        <f>"SO22000342"</f>
        <v>SO22000342</v>
      </c>
      <c r="B1961" t="str">
        <f>"E000372956"</f>
        <v>E000372956</v>
      </c>
      <c r="C1961" t="str">
        <f>"בוצעה"</f>
        <v>בוצעה</v>
      </c>
      <c r="E1961" s="3">
        <v>44798</v>
      </c>
      <c r="F1961" s="3">
        <v>44834</v>
      </c>
      <c r="G1961" t="str">
        <f>"700065"</f>
        <v>700065</v>
      </c>
      <c r="H1961" t="str">
        <f>"אלתא מערכות בע""מ"</f>
        <v>אלתא מערכות בע"מ</v>
      </c>
      <c r="I1961" t="str">
        <f>"רוני דידי"</f>
        <v>רוני דידי</v>
      </c>
      <c r="J1961" t="str">
        <f>"PS0200161"</f>
        <v>PS0200161</v>
      </c>
      <c r="K1961" s="1" t="str">
        <f>"ספק כח ווידמולר 1478150000 pro max 960W 24V 40A"</f>
        <v>ספק כח ווידמולר 1478150000 pro max 960W 24V 40A</v>
      </c>
      <c r="L1961">
        <v>1</v>
      </c>
      <c r="M1961" t="str">
        <f>"PR22000245"</f>
        <v>PR22000245</v>
      </c>
      <c r="N1961" t="str">
        <f>"E000360545"</f>
        <v>E000360545</v>
      </c>
      <c r="O1961">
        <v>0</v>
      </c>
      <c r="P1961" t="str">
        <f>"$"</f>
        <v>$</v>
      </c>
      <c r="Q1961" t="str">
        <f>"118"</f>
        <v>118</v>
      </c>
      <c r="R1961" t="str">
        <f>"מערכות"</f>
        <v>מערכות</v>
      </c>
      <c r="S1961" t="str">
        <f>"007"</f>
        <v>007</v>
      </c>
      <c r="T1961" t="str">
        <f>"עמר ליגל"</f>
        <v>עמר ליגל</v>
      </c>
      <c r="U1961">
        <v>0</v>
      </c>
      <c r="V1961">
        <v>0</v>
      </c>
      <c r="W1961">
        <v>0</v>
      </c>
      <c r="X1961">
        <v>0</v>
      </c>
      <c r="Z1961" t="str">
        <f>"Y"</f>
        <v>Y</v>
      </c>
      <c r="AA1961">
        <v>0</v>
      </c>
      <c r="AC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 t="str">
        <f>"$"</f>
        <v>$</v>
      </c>
    </row>
    <row r="1962" spans="1:38" x14ac:dyDescent="0.3">
      <c r="A1962" t="str">
        <f>"SO22000343"</f>
        <v>SO22000343</v>
      </c>
      <c r="B1962" t="str">
        <f>"E000368927"</f>
        <v>E000368927</v>
      </c>
      <c r="C1962" t="str">
        <f>"בוצעה"</f>
        <v>בוצעה</v>
      </c>
      <c r="E1962" s="3">
        <v>44798</v>
      </c>
      <c r="F1962" s="3">
        <v>44936</v>
      </c>
      <c r="G1962" t="str">
        <f>"700065"</f>
        <v>700065</v>
      </c>
      <c r="H1962" t="str">
        <f>"אלתא מערכות בע""מ"</f>
        <v>אלתא מערכות בע"מ</v>
      </c>
      <c r="I1962" t="str">
        <f>"רוני דידי"</f>
        <v>רוני דידי</v>
      </c>
      <c r="J1962" t="str">
        <f>"PD0201629"</f>
        <v>PD0201629</v>
      </c>
      <c r="K1962" s="1" t="str">
        <f>"מפרדים למפסק 6  NSX100-250יח LV429329"</f>
        <v>מפרדים למפסק 6  NSX100-250יח LV429329</v>
      </c>
      <c r="L1962">
        <v>24</v>
      </c>
      <c r="M1962" t="str">
        <f>"PR22000588"</f>
        <v>PR22000588</v>
      </c>
      <c r="N1962" t="str">
        <f>"אספקת חלקים ללקוח E000368927"</f>
        <v>אספקת חלקים ללקוח E000368927</v>
      </c>
      <c r="O1962">
        <v>19.5</v>
      </c>
      <c r="P1962" t="str">
        <f>"$"</f>
        <v>$</v>
      </c>
      <c r="Q1962" t="str">
        <f>"118"</f>
        <v>118</v>
      </c>
      <c r="R1962" t="str">
        <f>"מערכות"</f>
        <v>מערכות</v>
      </c>
      <c r="S1962" t="str">
        <f>"007"</f>
        <v>007</v>
      </c>
      <c r="T1962" t="str">
        <f>"עמר ליגל"</f>
        <v>עמר ליגל</v>
      </c>
      <c r="U1962">
        <v>0</v>
      </c>
      <c r="V1962">
        <v>0</v>
      </c>
      <c r="W1962">
        <v>19.5</v>
      </c>
      <c r="X1962">
        <v>468</v>
      </c>
      <c r="Z1962" t="str">
        <f>"Y"</f>
        <v>Y</v>
      </c>
      <c r="AA1962">
        <v>0</v>
      </c>
      <c r="AC1962">
        <v>0</v>
      </c>
      <c r="AE1962">
        <v>0</v>
      </c>
      <c r="AF1962">
        <v>0</v>
      </c>
      <c r="AG1962">
        <v>64.099999999999994</v>
      </c>
      <c r="AH1962">
        <v>0</v>
      </c>
      <c r="AI1962" s="2">
        <v>1538.32</v>
      </c>
      <c r="AJ1962">
        <v>468</v>
      </c>
      <c r="AK1962">
        <v>468</v>
      </c>
      <c r="AL1962" t="str">
        <f>"$"</f>
        <v>$</v>
      </c>
    </row>
    <row r="1963" spans="1:38" x14ac:dyDescent="0.3">
      <c r="A1963" t="str">
        <f>"SO22000343"</f>
        <v>SO22000343</v>
      </c>
      <c r="B1963" t="str">
        <f>"E000368927"</f>
        <v>E000368927</v>
      </c>
      <c r="C1963" t="str">
        <f>"בוצעה"</f>
        <v>בוצעה</v>
      </c>
      <c r="E1963" s="3">
        <v>44798</v>
      </c>
      <c r="F1963" s="3">
        <v>44936</v>
      </c>
      <c r="G1963" t="str">
        <f>"700065"</f>
        <v>700065</v>
      </c>
      <c r="H1963" t="str">
        <f>"אלתא מערכות בע""מ"</f>
        <v>אלתא מערכות בע"מ</v>
      </c>
      <c r="I1963" t="str">
        <f>"רוני דידי"</f>
        <v>רוני דידי</v>
      </c>
      <c r="J1963" t="str">
        <f>"PD0201629"</f>
        <v>PD0201629</v>
      </c>
      <c r="K1963" s="1" t="str">
        <f>"מפרדים למפסק 6  NSX100-250יח LV429329"</f>
        <v>מפרדים למפסק 6  NSX100-250יח LV429329</v>
      </c>
      <c r="L1963">
        <v>17</v>
      </c>
      <c r="M1963" t="str">
        <f>"PR22000588"</f>
        <v>PR22000588</v>
      </c>
      <c r="N1963" t="str">
        <f>"אספקת חלקים ללקוח E000368927"</f>
        <v>אספקת חלקים ללקוח E000368927</v>
      </c>
      <c r="O1963">
        <v>19.5</v>
      </c>
      <c r="P1963" t="str">
        <f>"$"</f>
        <v>$</v>
      </c>
      <c r="Q1963" t="str">
        <f>"118"</f>
        <v>118</v>
      </c>
      <c r="R1963" t="str">
        <f>"מערכות"</f>
        <v>מערכות</v>
      </c>
      <c r="S1963" t="str">
        <f>"007"</f>
        <v>007</v>
      </c>
      <c r="T1963" t="str">
        <f>"עמר ליגל"</f>
        <v>עמר ליגל</v>
      </c>
      <c r="U1963">
        <v>0</v>
      </c>
      <c r="V1963">
        <v>0</v>
      </c>
      <c r="W1963">
        <v>19.5</v>
      </c>
      <c r="X1963">
        <v>331.5</v>
      </c>
      <c r="Z1963" t="str">
        <f>"Y"</f>
        <v>Y</v>
      </c>
      <c r="AA1963">
        <v>0</v>
      </c>
      <c r="AC1963">
        <v>0</v>
      </c>
      <c r="AE1963">
        <v>0</v>
      </c>
      <c r="AF1963">
        <v>0</v>
      </c>
      <c r="AG1963">
        <v>64.099999999999994</v>
      </c>
      <c r="AH1963">
        <v>0</v>
      </c>
      <c r="AI1963" s="2">
        <v>1089.6400000000001</v>
      </c>
      <c r="AJ1963">
        <v>331.5</v>
      </c>
      <c r="AK1963">
        <v>331.5</v>
      </c>
      <c r="AL1963" t="str">
        <f>"$"</f>
        <v>$</v>
      </c>
    </row>
    <row r="1964" spans="1:38" x14ac:dyDescent="0.3">
      <c r="A1964" t="str">
        <f>"SO22000343"</f>
        <v>SO22000343</v>
      </c>
      <c r="B1964" t="str">
        <f>"E000368927"</f>
        <v>E000368927</v>
      </c>
      <c r="C1964" t="str">
        <f>"בוצעה"</f>
        <v>בוצעה</v>
      </c>
      <c r="E1964" s="3">
        <v>44798</v>
      </c>
      <c r="F1964" s="3">
        <v>44788</v>
      </c>
      <c r="G1964" t="str">
        <f>"700065"</f>
        <v>700065</v>
      </c>
      <c r="H1964" t="str">
        <f>"אלתא מערכות בע""מ"</f>
        <v>אלתא מערכות בע"מ</v>
      </c>
      <c r="I1964" t="str">
        <f>"רוני דידי"</f>
        <v>רוני דידי</v>
      </c>
      <c r="J1964" t="str">
        <f>"PD0200874"</f>
        <v>PD0200874</v>
      </c>
      <c r="K1964" s="1" t="str">
        <f>"כיסוי מגעים קצר 3P ל-NSX100-250 מק""ט:LV429515"</f>
        <v>כיסוי מגעים קצר 3P ל-NSX100-250 מק"ט:LV429515</v>
      </c>
      <c r="L1964">
        <v>24</v>
      </c>
      <c r="M1964" t="str">
        <f>"PR22000588"</f>
        <v>PR22000588</v>
      </c>
      <c r="N1964" t="str">
        <f>"אספקת חלקים ללקוח E000368927"</f>
        <v>אספקת חלקים ללקוח E000368927</v>
      </c>
      <c r="O1964">
        <v>22.6</v>
      </c>
      <c r="P1964" t="str">
        <f>"$"</f>
        <v>$</v>
      </c>
      <c r="Q1964" t="str">
        <f>"118"</f>
        <v>118</v>
      </c>
      <c r="R1964" t="str">
        <f>"מערכות"</f>
        <v>מערכות</v>
      </c>
      <c r="S1964" t="str">
        <f>"007"</f>
        <v>007</v>
      </c>
      <c r="T1964" t="str">
        <f>"עמר ליגל"</f>
        <v>עמר ליגל</v>
      </c>
      <c r="U1964">
        <v>0</v>
      </c>
      <c r="V1964">
        <v>0</v>
      </c>
      <c r="W1964">
        <v>22.6</v>
      </c>
      <c r="X1964">
        <v>542.4</v>
      </c>
      <c r="Z1964" t="str">
        <f>"Y"</f>
        <v>Y</v>
      </c>
      <c r="AA1964">
        <v>0</v>
      </c>
      <c r="AC1964">
        <v>0</v>
      </c>
      <c r="AE1964">
        <v>0</v>
      </c>
      <c r="AF1964">
        <v>0</v>
      </c>
      <c r="AG1964">
        <v>74.290000000000006</v>
      </c>
      <c r="AH1964">
        <v>0</v>
      </c>
      <c r="AI1964" s="2">
        <v>1782.87</v>
      </c>
      <c r="AJ1964">
        <v>542.4</v>
      </c>
      <c r="AK1964">
        <v>542.4</v>
      </c>
      <c r="AL1964" t="str">
        <f>"$"</f>
        <v>$</v>
      </c>
    </row>
    <row r="1965" spans="1:38" x14ac:dyDescent="0.3">
      <c r="A1965" t="str">
        <f>"SO22000343"</f>
        <v>SO22000343</v>
      </c>
      <c r="B1965" t="str">
        <f>"E000368927"</f>
        <v>E000368927</v>
      </c>
      <c r="C1965" t="str">
        <f>"בוצעה"</f>
        <v>בוצעה</v>
      </c>
      <c r="E1965" s="3">
        <v>44798</v>
      </c>
      <c r="F1965" s="3">
        <v>44788</v>
      </c>
      <c r="G1965" t="str">
        <f>"700065"</f>
        <v>700065</v>
      </c>
      <c r="H1965" t="str">
        <f>"אלתא מערכות בע""מ"</f>
        <v>אלתא מערכות בע"מ</v>
      </c>
      <c r="I1965" t="str">
        <f>"רוני דידי"</f>
        <v>רוני דידי</v>
      </c>
      <c r="J1965" t="str">
        <f>"PD0200874"</f>
        <v>PD0200874</v>
      </c>
      <c r="K1965" s="1" t="str">
        <f>"כיסוי מגעים קצר 3P ל-NSX100-250 מק""ט:LV429515"</f>
        <v>כיסוי מגעים קצר 3P ל-NSX100-250 מק"ט:LV429515</v>
      </c>
      <c r="L1965">
        <v>17</v>
      </c>
      <c r="M1965" t="str">
        <f>"PR22000588"</f>
        <v>PR22000588</v>
      </c>
      <c r="N1965" t="str">
        <f>"אספקת חלקים ללקוח E000368927"</f>
        <v>אספקת חלקים ללקוח E000368927</v>
      </c>
      <c r="O1965">
        <v>22.6</v>
      </c>
      <c r="P1965" t="str">
        <f>"$"</f>
        <v>$</v>
      </c>
      <c r="Q1965" t="str">
        <f>"118"</f>
        <v>118</v>
      </c>
      <c r="R1965" t="str">
        <f>"מערכות"</f>
        <v>מערכות</v>
      </c>
      <c r="S1965" t="str">
        <f>"007"</f>
        <v>007</v>
      </c>
      <c r="T1965" t="str">
        <f>"עמר ליגל"</f>
        <v>עמר ליגל</v>
      </c>
      <c r="U1965">
        <v>0</v>
      </c>
      <c r="V1965">
        <v>0</v>
      </c>
      <c r="W1965">
        <v>22.6</v>
      </c>
      <c r="X1965">
        <v>384.2</v>
      </c>
      <c r="Z1965" t="str">
        <f>"Y"</f>
        <v>Y</v>
      </c>
      <c r="AA1965">
        <v>0</v>
      </c>
      <c r="AC1965">
        <v>0</v>
      </c>
      <c r="AE1965">
        <v>0</v>
      </c>
      <c r="AF1965">
        <v>0</v>
      </c>
      <c r="AG1965">
        <v>74.290000000000006</v>
      </c>
      <c r="AH1965">
        <v>0</v>
      </c>
      <c r="AI1965" s="2">
        <v>1262.8699999999999</v>
      </c>
      <c r="AJ1965">
        <v>384.2</v>
      </c>
      <c r="AK1965">
        <v>384.2</v>
      </c>
      <c r="AL1965" t="str">
        <f>"$"</f>
        <v>$</v>
      </c>
    </row>
    <row r="1966" spans="1:38" x14ac:dyDescent="0.3">
      <c r="A1966" t="str">
        <f>"SO22000343"</f>
        <v>SO22000343</v>
      </c>
      <c r="B1966" t="str">
        <f>"E000368927"</f>
        <v>E000368927</v>
      </c>
      <c r="C1966" t="str">
        <f>"בוצעה"</f>
        <v>בוצעה</v>
      </c>
      <c r="E1966" s="3">
        <v>44798</v>
      </c>
      <c r="F1966" s="3">
        <v>44788</v>
      </c>
      <c r="G1966" t="str">
        <f>"700065"</f>
        <v>700065</v>
      </c>
      <c r="H1966" t="str">
        <f>"אלתא מערכות בע""מ"</f>
        <v>אלתא מערכות בע"מ</v>
      </c>
      <c r="I1966" t="str">
        <f>"רוני דידי"</f>
        <v>רוני דידי</v>
      </c>
      <c r="J1966" t="str">
        <f>"PD0201550"</f>
        <v>PD0201550</v>
      </c>
      <c r="K1966" s="1" t="str">
        <f>"כיסוי מגעים ארוך 3P ל-NSX100-250 מק""ט:LV429517"</f>
        <v>כיסוי מגעים ארוך 3P ל-NSX100-250 מק"ט:LV429517</v>
      </c>
      <c r="L1966">
        <v>17</v>
      </c>
      <c r="M1966" t="str">
        <f>"PR22000588"</f>
        <v>PR22000588</v>
      </c>
      <c r="N1966" t="str">
        <f>"אספקת חלקים ללקוח E000368927"</f>
        <v>אספקת חלקים ללקוח E000368927</v>
      </c>
      <c r="O1966">
        <v>26.4</v>
      </c>
      <c r="P1966" t="str">
        <f>"$"</f>
        <v>$</v>
      </c>
      <c r="Q1966" t="str">
        <f>"118"</f>
        <v>118</v>
      </c>
      <c r="R1966" t="str">
        <f>"מערכות"</f>
        <v>מערכות</v>
      </c>
      <c r="S1966" t="str">
        <f>"007"</f>
        <v>007</v>
      </c>
      <c r="T1966" t="str">
        <f>"עמר ליגל"</f>
        <v>עמר ליגל</v>
      </c>
      <c r="U1966">
        <v>0</v>
      </c>
      <c r="V1966">
        <v>0</v>
      </c>
      <c r="W1966">
        <v>26.4</v>
      </c>
      <c r="X1966">
        <v>448.8</v>
      </c>
      <c r="Z1966" t="str">
        <f>"Y"</f>
        <v>Y</v>
      </c>
      <c r="AA1966">
        <v>0</v>
      </c>
      <c r="AC1966">
        <v>0</v>
      </c>
      <c r="AE1966">
        <v>0</v>
      </c>
      <c r="AF1966">
        <v>0</v>
      </c>
      <c r="AG1966">
        <v>86.78</v>
      </c>
      <c r="AH1966">
        <v>0</v>
      </c>
      <c r="AI1966" s="2">
        <v>1475.21</v>
      </c>
      <c r="AJ1966">
        <v>448.8</v>
      </c>
      <c r="AK1966">
        <v>448.8</v>
      </c>
      <c r="AL1966" t="str">
        <f>"$"</f>
        <v>$</v>
      </c>
    </row>
    <row r="1967" spans="1:38" x14ac:dyDescent="0.3">
      <c r="A1967" t="str">
        <f>"SO22000343"</f>
        <v>SO22000343</v>
      </c>
      <c r="B1967" t="str">
        <f>"E000368927"</f>
        <v>E000368927</v>
      </c>
      <c r="C1967" t="str">
        <f>"בוצעה"</f>
        <v>בוצעה</v>
      </c>
      <c r="E1967" s="3">
        <v>44798</v>
      </c>
      <c r="F1967" s="3">
        <v>44788</v>
      </c>
      <c r="G1967" t="str">
        <f>"700065"</f>
        <v>700065</v>
      </c>
      <c r="H1967" t="str">
        <f>"אלתא מערכות בע""מ"</f>
        <v>אלתא מערכות בע"מ</v>
      </c>
      <c r="I1967" t="str">
        <f>"רוני דידי"</f>
        <v>רוני דידי</v>
      </c>
      <c r="J1967" t="str">
        <f>"PD0201550"</f>
        <v>PD0201550</v>
      </c>
      <c r="K1967" s="1" t="str">
        <f>"כיסוי מגעים ארוך 3P ל-NSX100-250 מק""ט:LV429517"</f>
        <v>כיסוי מגעים ארוך 3P ל-NSX100-250 מק"ט:LV429517</v>
      </c>
      <c r="L1967">
        <v>24</v>
      </c>
      <c r="M1967" t="str">
        <f>"PR22000588"</f>
        <v>PR22000588</v>
      </c>
      <c r="N1967" t="str">
        <f>"אספקת חלקים ללקוח E000368927"</f>
        <v>אספקת חלקים ללקוח E000368927</v>
      </c>
      <c r="O1967">
        <v>26.4</v>
      </c>
      <c r="P1967" t="str">
        <f>"$"</f>
        <v>$</v>
      </c>
      <c r="Q1967" t="str">
        <f>"118"</f>
        <v>118</v>
      </c>
      <c r="R1967" t="str">
        <f>"מערכות"</f>
        <v>מערכות</v>
      </c>
      <c r="S1967" t="str">
        <f>"007"</f>
        <v>007</v>
      </c>
      <c r="T1967" t="str">
        <f>"עמר ליגל"</f>
        <v>עמר ליגל</v>
      </c>
      <c r="U1967">
        <v>0</v>
      </c>
      <c r="V1967">
        <v>0</v>
      </c>
      <c r="W1967">
        <v>26.4</v>
      </c>
      <c r="X1967">
        <v>633.6</v>
      </c>
      <c r="Z1967" t="str">
        <f>"Y"</f>
        <v>Y</v>
      </c>
      <c r="AA1967">
        <v>0</v>
      </c>
      <c r="AC1967">
        <v>0</v>
      </c>
      <c r="AE1967">
        <v>0</v>
      </c>
      <c r="AF1967">
        <v>0</v>
      </c>
      <c r="AG1967">
        <v>86.78</v>
      </c>
      <c r="AH1967">
        <v>0</v>
      </c>
      <c r="AI1967" s="2">
        <v>2082.64</v>
      </c>
      <c r="AJ1967">
        <v>633.6</v>
      </c>
      <c r="AK1967">
        <v>633.6</v>
      </c>
      <c r="AL1967" t="str">
        <f>"$"</f>
        <v>$</v>
      </c>
    </row>
    <row r="1968" spans="1:38" x14ac:dyDescent="0.3">
      <c r="A1968" t="str">
        <f>"SO22000345"</f>
        <v>SO22000345</v>
      </c>
      <c r="B1968" t="str">
        <f>"E000370750"</f>
        <v>E000370750</v>
      </c>
      <c r="C1968" t="str">
        <f>"בסיום הרכבה"</f>
        <v>בסיום הרכבה</v>
      </c>
      <c r="E1968" s="3">
        <v>44801</v>
      </c>
      <c r="F1968" s="3">
        <v>44866</v>
      </c>
      <c r="G1968" t="str">
        <f>"700065"</f>
        <v>700065</v>
      </c>
      <c r="H1968" t="str">
        <f>"אלתא מערכות בע""מ"</f>
        <v>אלתא מערכות בע"מ</v>
      </c>
      <c r="I1968" t="str">
        <f>"רוני דידי"</f>
        <v>רוני דידי</v>
      </c>
      <c r="J1968" t="str">
        <f>"OP-AR01234"</f>
        <v>OP-AR01234</v>
      </c>
      <c r="K1968" s="1" t="str">
        <f>"PDU 4 CHANNELS"</f>
        <v>PDU 4 CHANNELS</v>
      </c>
      <c r="L1968">
        <v>2</v>
      </c>
      <c r="M1968" t="str">
        <f>"PR22000590"</f>
        <v>PR22000590</v>
      </c>
      <c r="N1968" t="str">
        <f>"CHANNELS PDU FOR 115V/400HZ/3PH"</f>
        <v>CHANNELS PDU FOR 115V/400HZ/3PH</v>
      </c>
      <c r="O1968" s="2">
        <v>5950</v>
      </c>
      <c r="P1968" t="str">
        <f>"$"</f>
        <v>$</v>
      </c>
      <c r="Q1968" t="str">
        <f>"118"</f>
        <v>118</v>
      </c>
      <c r="R1968" t="str">
        <f>"מערכות"</f>
        <v>מערכות</v>
      </c>
      <c r="S1968" t="str">
        <f>"007"</f>
        <v>007</v>
      </c>
      <c r="T1968" t="str">
        <f>"עמר ליגל"</f>
        <v>עמר ליגל</v>
      </c>
      <c r="U1968">
        <v>0</v>
      </c>
      <c r="V1968">
        <v>0</v>
      </c>
      <c r="W1968" s="2">
        <v>5950</v>
      </c>
      <c r="X1968" s="2">
        <v>11900</v>
      </c>
      <c r="Z1968" t="str">
        <f>"Y"</f>
        <v>Y</v>
      </c>
      <c r="AA1968">
        <v>0</v>
      </c>
      <c r="AC1968">
        <v>0</v>
      </c>
      <c r="AE1968">
        <v>0</v>
      </c>
      <c r="AF1968">
        <v>0</v>
      </c>
      <c r="AG1968" s="2">
        <v>19391.05</v>
      </c>
      <c r="AH1968">
        <v>0</v>
      </c>
      <c r="AI1968" s="2">
        <v>38782.1</v>
      </c>
      <c r="AJ1968" s="2">
        <v>11900</v>
      </c>
      <c r="AK1968" s="2">
        <v>11900</v>
      </c>
      <c r="AL1968" t="str">
        <f>"$"</f>
        <v>$</v>
      </c>
    </row>
    <row r="1969" spans="1:38" x14ac:dyDescent="0.3">
      <c r="A1969" t="str">
        <f>"SO22000345"</f>
        <v>SO22000345</v>
      </c>
      <c r="B1969" t="str">
        <f>"E000370750"</f>
        <v>E000370750</v>
      </c>
      <c r="C1969" t="str">
        <f>"בסיום הרכבה"</f>
        <v>בסיום הרכבה</v>
      </c>
      <c r="E1969" s="3">
        <v>44801</v>
      </c>
      <c r="F1969" s="3">
        <v>44866</v>
      </c>
      <c r="G1969" t="str">
        <f>"700065"</f>
        <v>700065</v>
      </c>
      <c r="H1969" t="str">
        <f>"אלתא מערכות בע""מ"</f>
        <v>אלתא מערכות בע"מ</v>
      </c>
      <c r="I1969" t="str">
        <f>"רוני דידי"</f>
        <v>רוני דידי</v>
      </c>
      <c r="J1969" t="str">
        <f>"OP-AR01232"</f>
        <v>OP-AR01232</v>
      </c>
      <c r="K1969" s="1" t="str">
        <f>"AC SUPPLY CONTROL BOX"</f>
        <v>AC SUPPLY CONTROL BOX</v>
      </c>
      <c r="L1969">
        <v>2</v>
      </c>
      <c r="M1969" t="str">
        <f>"PR22000589"</f>
        <v>PR22000589</v>
      </c>
      <c r="N1969" t="str">
        <f>"PPLY CONTROL BOX 230V/115V/28VDC"</f>
        <v>PPLY CONTROL BOX 230V/115V/28VDC</v>
      </c>
      <c r="O1969" s="2">
        <v>8550</v>
      </c>
      <c r="P1969" t="str">
        <f>"$"</f>
        <v>$</v>
      </c>
      <c r="Q1969" t="str">
        <f>"118"</f>
        <v>118</v>
      </c>
      <c r="R1969" t="str">
        <f>"מערכות"</f>
        <v>מערכות</v>
      </c>
      <c r="S1969" t="str">
        <f>"007"</f>
        <v>007</v>
      </c>
      <c r="T1969" t="str">
        <f>"עמר ליגל"</f>
        <v>עמר ליגל</v>
      </c>
      <c r="U1969">
        <v>0</v>
      </c>
      <c r="V1969">
        <v>0</v>
      </c>
      <c r="W1969" s="2">
        <v>8550</v>
      </c>
      <c r="X1969" s="2">
        <v>17100</v>
      </c>
      <c r="Z1969" t="str">
        <f>"Y"</f>
        <v>Y</v>
      </c>
      <c r="AA1969">
        <v>0</v>
      </c>
      <c r="AC1969">
        <v>0</v>
      </c>
      <c r="AE1969">
        <v>0</v>
      </c>
      <c r="AF1969">
        <v>0</v>
      </c>
      <c r="AG1969" s="2">
        <v>27864.45</v>
      </c>
      <c r="AH1969">
        <v>0</v>
      </c>
      <c r="AI1969" s="2">
        <v>55728.9</v>
      </c>
      <c r="AJ1969" s="2">
        <v>17100</v>
      </c>
      <c r="AK1969" s="2">
        <v>17100</v>
      </c>
      <c r="AL1969" t="str">
        <f>"$"</f>
        <v>$</v>
      </c>
    </row>
    <row r="1970" spans="1:38" x14ac:dyDescent="0.3">
      <c r="A1970" t="str">
        <f>"SO22000346"</f>
        <v>SO22000346</v>
      </c>
      <c r="B1970" t="str">
        <f>"E000372162"</f>
        <v>E000372162</v>
      </c>
      <c r="C1970" t="str">
        <f>"הרכבה חלקית"</f>
        <v>הרכבה חלקית</v>
      </c>
      <c r="E1970" s="3">
        <v>44802</v>
      </c>
      <c r="F1970" s="3">
        <v>44942</v>
      </c>
      <c r="G1970" t="str">
        <f>"700065"</f>
        <v>700065</v>
      </c>
      <c r="H1970" t="str">
        <f>"אלתא מערכות בע""מ"</f>
        <v>אלתא מערכות בע"מ</v>
      </c>
      <c r="I1970" t="str">
        <f>"רחמים זרוק"</f>
        <v>רחמים זרוק</v>
      </c>
      <c r="J1970" t="str">
        <f>"OP-AR03277"</f>
        <v>OP-AR03277</v>
      </c>
      <c r="K1970" s="1" t="str">
        <f>"1035C301-001    HARNESS 3W001 - POWER IN 220VAC/60HZ 3 P"</f>
        <v>1035C301-001    HARNESS 3W001 - POWER IN 220VAC/60HZ 3 P</v>
      </c>
      <c r="L1970">
        <v>2</v>
      </c>
      <c r="M1970" t="str">
        <f>"PR22000592"</f>
        <v>PR22000592</v>
      </c>
      <c r="N1970" t="str">
        <f>"E000372162"</f>
        <v>E000372162</v>
      </c>
      <c r="O1970">
        <v>199.08</v>
      </c>
      <c r="P1970" t="str">
        <f>"$"</f>
        <v>$</v>
      </c>
      <c r="Q1970" t="str">
        <f>"117"</f>
        <v>117</v>
      </c>
      <c r="R1970" t="str">
        <f>"רתמות"</f>
        <v>רתמות</v>
      </c>
      <c r="S1970" t="str">
        <f>"040"</f>
        <v>040</v>
      </c>
      <c r="T1970" t="str">
        <f>"עמר ליגל"</f>
        <v>עמר ליגל</v>
      </c>
      <c r="U1970">
        <v>0</v>
      </c>
      <c r="V1970">
        <v>0</v>
      </c>
      <c r="W1970">
        <v>199.08</v>
      </c>
      <c r="X1970">
        <v>398.16</v>
      </c>
      <c r="Z1970" t="str">
        <f>"Y"</f>
        <v>Y</v>
      </c>
      <c r="AA1970">
        <v>0</v>
      </c>
      <c r="AC1970">
        <v>0</v>
      </c>
      <c r="AE1970">
        <v>0</v>
      </c>
      <c r="AF1970">
        <v>0</v>
      </c>
      <c r="AG1970">
        <v>660.75</v>
      </c>
      <c r="AH1970">
        <v>0</v>
      </c>
      <c r="AI1970" s="2">
        <v>1321.49</v>
      </c>
      <c r="AJ1970">
        <v>398.16</v>
      </c>
      <c r="AK1970">
        <v>398.16</v>
      </c>
      <c r="AL1970" t="str">
        <f>"$"</f>
        <v>$</v>
      </c>
    </row>
    <row r="1971" spans="1:38" x14ac:dyDescent="0.3">
      <c r="A1971" t="str">
        <f>"SO22000346"</f>
        <v>SO22000346</v>
      </c>
      <c r="B1971" t="str">
        <f>"E000372162"</f>
        <v>E000372162</v>
      </c>
      <c r="C1971" t="str">
        <f>"הרכבה חלקית"</f>
        <v>הרכבה חלקית</v>
      </c>
      <c r="E1971" s="3">
        <v>44802</v>
      </c>
      <c r="F1971" s="3">
        <v>44942</v>
      </c>
      <c r="G1971" t="str">
        <f>"700065"</f>
        <v>700065</v>
      </c>
      <c r="H1971" t="str">
        <f>"אלתא מערכות בע""מ"</f>
        <v>אלתא מערכות בע"מ</v>
      </c>
      <c r="I1971" t="str">
        <f>"רחמים זרוק"</f>
        <v>רחמים זרוק</v>
      </c>
      <c r="J1971" t="str">
        <f>"OP-AR03278"</f>
        <v>OP-AR03278</v>
      </c>
      <c r="K1971" s="1" t="str">
        <f>"1035C302-001    HARNESS 3W002 - 220VAC/60HZ 3 PH FROM F"</f>
        <v>1035C302-001    HARNESS 3W002 - 220VAC/60HZ 3 PH FROM F</v>
      </c>
      <c r="L1971">
        <v>2</v>
      </c>
      <c r="M1971" t="str">
        <f>"PR22000592"</f>
        <v>PR22000592</v>
      </c>
      <c r="N1971" t="str">
        <f>"E000372162"</f>
        <v>E000372162</v>
      </c>
      <c r="O1971">
        <v>293.87</v>
      </c>
      <c r="P1971" t="str">
        <f>"$"</f>
        <v>$</v>
      </c>
      <c r="Q1971" t="str">
        <f>"117"</f>
        <v>117</v>
      </c>
      <c r="R1971" t="str">
        <f>"רתמות"</f>
        <v>רתמות</v>
      </c>
      <c r="S1971" t="str">
        <f>"040"</f>
        <v>040</v>
      </c>
      <c r="T1971" t="str">
        <f>"עמר ליגל"</f>
        <v>עמר ליגל</v>
      </c>
      <c r="U1971">
        <v>0</v>
      </c>
      <c r="V1971">
        <v>0</v>
      </c>
      <c r="W1971">
        <v>293.87</v>
      </c>
      <c r="X1971">
        <v>587.74</v>
      </c>
      <c r="Z1971" t="str">
        <f>"Y"</f>
        <v>Y</v>
      </c>
      <c r="AA1971">
        <v>0</v>
      </c>
      <c r="AC1971">
        <v>0</v>
      </c>
      <c r="AE1971">
        <v>0</v>
      </c>
      <c r="AF1971">
        <v>0</v>
      </c>
      <c r="AG1971">
        <v>975.35</v>
      </c>
      <c r="AH1971">
        <v>0</v>
      </c>
      <c r="AI1971" s="2">
        <v>1950.71</v>
      </c>
      <c r="AJ1971">
        <v>587.74</v>
      </c>
      <c r="AK1971">
        <v>587.74</v>
      </c>
      <c r="AL1971" t="str">
        <f>"$"</f>
        <v>$</v>
      </c>
    </row>
    <row r="1972" spans="1:38" x14ac:dyDescent="0.3">
      <c r="A1972" t="str">
        <f>"SO22000346"</f>
        <v>SO22000346</v>
      </c>
      <c r="B1972" t="str">
        <f>"E000372162"</f>
        <v>E000372162</v>
      </c>
      <c r="C1972" t="str">
        <f>"הרכבה חלקית"</f>
        <v>הרכבה חלקית</v>
      </c>
      <c r="E1972" s="3">
        <v>44802</v>
      </c>
      <c r="F1972" s="3">
        <v>44942</v>
      </c>
      <c r="G1972" t="str">
        <f>"700065"</f>
        <v>700065</v>
      </c>
      <c r="H1972" t="str">
        <f>"אלתא מערכות בע""מ"</f>
        <v>אלתא מערכות בע"מ</v>
      </c>
      <c r="I1972" t="str">
        <f>"רחמים זרוק"</f>
        <v>רחמים זרוק</v>
      </c>
      <c r="J1972" t="str">
        <f>"OP-AR03279"</f>
        <v>OP-AR03279</v>
      </c>
      <c r="K1972" s="1" t="str">
        <f>"1035C303-001    HARNESS 3W003 - 220VAC/60HZ FROM PDU TO"</f>
        <v>1035C303-001    HARNESS 3W003 - 220VAC/60HZ FROM PDU TO</v>
      </c>
      <c r="L1972">
        <v>2</v>
      </c>
      <c r="M1972" t="str">
        <f>"PR22000592"</f>
        <v>PR22000592</v>
      </c>
      <c r="N1972" t="str">
        <f>"E000372162"</f>
        <v>E000372162</v>
      </c>
      <c r="O1972">
        <v>358.34</v>
      </c>
      <c r="P1972" t="str">
        <f>"$"</f>
        <v>$</v>
      </c>
      <c r="Q1972" t="str">
        <f>"117"</f>
        <v>117</v>
      </c>
      <c r="R1972" t="str">
        <f>"רתמות"</f>
        <v>רתמות</v>
      </c>
      <c r="S1972" t="str">
        <f>"040"</f>
        <v>040</v>
      </c>
      <c r="T1972" t="str">
        <f>"עמר ליגל"</f>
        <v>עמר ליגל</v>
      </c>
      <c r="U1972">
        <v>0</v>
      </c>
      <c r="V1972">
        <v>0</v>
      </c>
      <c r="W1972">
        <v>358.34</v>
      </c>
      <c r="X1972">
        <v>716.68</v>
      </c>
      <c r="Z1972" t="str">
        <f>"Y"</f>
        <v>Y</v>
      </c>
      <c r="AA1972">
        <v>0</v>
      </c>
      <c r="AC1972">
        <v>0</v>
      </c>
      <c r="AE1972">
        <v>0</v>
      </c>
      <c r="AF1972">
        <v>0</v>
      </c>
      <c r="AG1972" s="2">
        <v>1189.33</v>
      </c>
      <c r="AH1972">
        <v>0</v>
      </c>
      <c r="AI1972" s="2">
        <v>2378.66</v>
      </c>
      <c r="AJ1972">
        <v>716.68</v>
      </c>
      <c r="AK1972">
        <v>716.68</v>
      </c>
      <c r="AL1972" t="str">
        <f>"$"</f>
        <v>$</v>
      </c>
    </row>
    <row r="1973" spans="1:38" x14ac:dyDescent="0.3">
      <c r="A1973" t="str">
        <f>"SO22000346"</f>
        <v>SO22000346</v>
      </c>
      <c r="B1973" t="str">
        <f>"E000372162"</f>
        <v>E000372162</v>
      </c>
      <c r="C1973" t="str">
        <f>"הרכבה חלקית"</f>
        <v>הרכבה חלקית</v>
      </c>
      <c r="E1973" s="3">
        <v>44802</v>
      </c>
      <c r="F1973" s="3">
        <v>44942</v>
      </c>
      <c r="G1973" t="str">
        <f>"700065"</f>
        <v>700065</v>
      </c>
      <c r="H1973" t="str">
        <f>"אלתא מערכות בע""מ"</f>
        <v>אלתא מערכות בע"מ</v>
      </c>
      <c r="I1973" t="str">
        <f>"רחמים זרוק"</f>
        <v>רחמים זרוק</v>
      </c>
      <c r="J1973" t="str">
        <f>"OP-AR03280"</f>
        <v>OP-AR03280</v>
      </c>
      <c r="K1973" s="1" t="str">
        <f>"1035C304-001    HARNESS 3W004 - 220VAC/60HZ FROM PDU TO"</f>
        <v>1035C304-001    HARNESS 3W004 - 220VAC/60HZ FROM PDU TO</v>
      </c>
      <c r="L1973">
        <v>2</v>
      </c>
      <c r="M1973" t="str">
        <f>"PR22000592"</f>
        <v>PR22000592</v>
      </c>
      <c r="N1973" t="str">
        <f>"E000372162"</f>
        <v>E000372162</v>
      </c>
      <c r="O1973">
        <v>486.22</v>
      </c>
      <c r="P1973" t="str">
        <f>"$"</f>
        <v>$</v>
      </c>
      <c r="Q1973" t="str">
        <f>"117"</f>
        <v>117</v>
      </c>
      <c r="R1973" t="str">
        <f>"רתמות"</f>
        <v>רתמות</v>
      </c>
      <c r="S1973" t="str">
        <f>"040"</f>
        <v>040</v>
      </c>
      <c r="T1973" t="str">
        <f>"עמר ליגל"</f>
        <v>עמר ליגל</v>
      </c>
      <c r="U1973">
        <v>0</v>
      </c>
      <c r="V1973">
        <v>0</v>
      </c>
      <c r="W1973">
        <v>486.22</v>
      </c>
      <c r="X1973">
        <v>972.44</v>
      </c>
      <c r="Z1973" t="str">
        <f>"Y"</f>
        <v>Y</v>
      </c>
      <c r="AA1973">
        <v>0</v>
      </c>
      <c r="AC1973">
        <v>0</v>
      </c>
      <c r="AE1973">
        <v>0</v>
      </c>
      <c r="AF1973">
        <v>0</v>
      </c>
      <c r="AG1973" s="2">
        <v>1613.76</v>
      </c>
      <c r="AH1973">
        <v>0</v>
      </c>
      <c r="AI1973" s="2">
        <v>3227.53</v>
      </c>
      <c r="AJ1973">
        <v>972.44</v>
      </c>
      <c r="AK1973">
        <v>972.44</v>
      </c>
      <c r="AL1973" t="str">
        <f>"$"</f>
        <v>$</v>
      </c>
    </row>
    <row r="1974" spans="1:38" x14ac:dyDescent="0.3">
      <c r="A1974" t="str">
        <f>"SO22000346"</f>
        <v>SO22000346</v>
      </c>
      <c r="B1974" t="str">
        <f>"E000372162"</f>
        <v>E000372162</v>
      </c>
      <c r="C1974" t="str">
        <f>"הרכבה חלקית"</f>
        <v>הרכבה חלקית</v>
      </c>
      <c r="E1974" s="3">
        <v>44802</v>
      </c>
      <c r="F1974" s="3">
        <v>44942</v>
      </c>
      <c r="G1974" t="str">
        <f>"700065"</f>
        <v>700065</v>
      </c>
      <c r="H1974" t="str">
        <f>"אלתא מערכות בע""מ"</f>
        <v>אלתא מערכות בע"מ</v>
      </c>
      <c r="I1974" t="str">
        <f>"רחמים זרוק"</f>
        <v>רחמים זרוק</v>
      </c>
      <c r="J1974" t="str">
        <f>"OP-AR03281"</f>
        <v>OP-AR03281</v>
      </c>
      <c r="K1974" s="1" t="str">
        <f>"1035C305-001    HARNESS 3W005 -28VDC and DATA FROM PDU T"</f>
        <v>1035C305-001    HARNESS 3W005 -28VDC and DATA FROM PDU T</v>
      </c>
      <c r="L1974">
        <v>2</v>
      </c>
      <c r="M1974" t="str">
        <f>"PR22000592"</f>
        <v>PR22000592</v>
      </c>
      <c r="N1974" t="str">
        <f>"E000372162"</f>
        <v>E000372162</v>
      </c>
      <c r="O1974">
        <v>827.17</v>
      </c>
      <c r="P1974" t="str">
        <f>"$"</f>
        <v>$</v>
      </c>
      <c r="Q1974" t="str">
        <f>"117"</f>
        <v>117</v>
      </c>
      <c r="R1974" t="str">
        <f>"רתמות"</f>
        <v>רתמות</v>
      </c>
      <c r="S1974" t="str">
        <f>"040"</f>
        <v>040</v>
      </c>
      <c r="T1974" t="str">
        <f>"עמר ליגל"</f>
        <v>עמר ליגל</v>
      </c>
      <c r="U1974">
        <v>0</v>
      </c>
      <c r="V1974">
        <v>0</v>
      </c>
      <c r="W1974">
        <v>827.17</v>
      </c>
      <c r="X1974" s="2">
        <v>1654.34</v>
      </c>
      <c r="Z1974" t="str">
        <f>"Y"</f>
        <v>Y</v>
      </c>
      <c r="AA1974">
        <v>0</v>
      </c>
      <c r="AC1974">
        <v>0</v>
      </c>
      <c r="AE1974">
        <v>0</v>
      </c>
      <c r="AF1974">
        <v>0</v>
      </c>
      <c r="AG1974" s="2">
        <v>2745.38</v>
      </c>
      <c r="AH1974">
        <v>0</v>
      </c>
      <c r="AI1974" s="2">
        <v>5490.75</v>
      </c>
      <c r="AJ1974" s="2">
        <v>1654.34</v>
      </c>
      <c r="AK1974" s="2">
        <v>1654.34</v>
      </c>
      <c r="AL1974" t="str">
        <f>"$"</f>
        <v>$</v>
      </c>
    </row>
    <row r="1975" spans="1:38" x14ac:dyDescent="0.3">
      <c r="A1975" t="str">
        <f>"SO22000346"</f>
        <v>SO22000346</v>
      </c>
      <c r="B1975" t="str">
        <f>"E000372162"</f>
        <v>E000372162</v>
      </c>
      <c r="C1975" t="str">
        <f>"הרכבה חלקית"</f>
        <v>הרכבה חלקית</v>
      </c>
      <c r="E1975" s="3">
        <v>44802</v>
      </c>
      <c r="F1975" s="3">
        <v>44942</v>
      </c>
      <c r="G1975" t="str">
        <f>"700065"</f>
        <v>700065</v>
      </c>
      <c r="H1975" t="str">
        <f>"אלתא מערכות בע""מ"</f>
        <v>אלתא מערכות בע"מ</v>
      </c>
      <c r="I1975" t="str">
        <f>"רחמים זרוק"</f>
        <v>רחמים זרוק</v>
      </c>
      <c r="J1975" t="str">
        <f>"OP-AR03282"</f>
        <v>OP-AR03282</v>
      </c>
      <c r="K1975" s="1" t="str">
        <f>"1035C306-001    HARNESS 3W006 - POWER OUT 28VDC FROM PDU"</f>
        <v>1035C306-001    HARNESS 3W006 - POWER OUT 28VDC FROM PDU</v>
      </c>
      <c r="L1975">
        <v>2</v>
      </c>
      <c r="M1975" t="str">
        <f>"PR22000592"</f>
        <v>PR22000592</v>
      </c>
      <c r="N1975" t="str">
        <f>"E000372162"</f>
        <v>E000372162</v>
      </c>
      <c r="O1975">
        <v>373.46</v>
      </c>
      <c r="P1975" t="str">
        <f>"$"</f>
        <v>$</v>
      </c>
      <c r="Q1975" t="str">
        <f>"117"</f>
        <v>117</v>
      </c>
      <c r="R1975" t="str">
        <f>"רתמות"</f>
        <v>רתמות</v>
      </c>
      <c r="S1975" t="str">
        <f>"040"</f>
        <v>040</v>
      </c>
      <c r="T1975" t="str">
        <f>"עמר ליגל"</f>
        <v>עמר ליגל</v>
      </c>
      <c r="U1975">
        <v>0</v>
      </c>
      <c r="V1975">
        <v>0</v>
      </c>
      <c r="W1975">
        <v>373.46</v>
      </c>
      <c r="X1975">
        <v>746.92</v>
      </c>
      <c r="Z1975" t="str">
        <f>"Y"</f>
        <v>Y</v>
      </c>
      <c r="AA1975">
        <v>0</v>
      </c>
      <c r="AC1975">
        <v>0</v>
      </c>
      <c r="AE1975">
        <v>0</v>
      </c>
      <c r="AF1975">
        <v>0</v>
      </c>
      <c r="AG1975" s="2">
        <v>1239.51</v>
      </c>
      <c r="AH1975">
        <v>0</v>
      </c>
      <c r="AI1975" s="2">
        <v>2479.0300000000002</v>
      </c>
      <c r="AJ1975">
        <v>746.92</v>
      </c>
      <c r="AK1975">
        <v>746.92</v>
      </c>
      <c r="AL1975" t="str">
        <f>"$"</f>
        <v>$</v>
      </c>
    </row>
    <row r="1976" spans="1:38" x14ac:dyDescent="0.3">
      <c r="A1976" t="str">
        <f>"SO22000346"</f>
        <v>SO22000346</v>
      </c>
      <c r="B1976" t="str">
        <f>"E000372162"</f>
        <v>E000372162</v>
      </c>
      <c r="C1976" t="str">
        <f>"הרכבה חלקית"</f>
        <v>הרכבה חלקית</v>
      </c>
      <c r="E1976" s="3">
        <v>44802</v>
      </c>
      <c r="F1976" s="3">
        <v>44942</v>
      </c>
      <c r="G1976" t="str">
        <f>"700065"</f>
        <v>700065</v>
      </c>
      <c r="H1976" t="str">
        <f>"אלתא מערכות בע""מ"</f>
        <v>אלתא מערכות בע"מ</v>
      </c>
      <c r="I1976" t="str">
        <f>"רחמים זרוק"</f>
        <v>רחמים זרוק</v>
      </c>
      <c r="J1976" t="str">
        <f>"OP-AR03283"</f>
        <v>OP-AR03283</v>
      </c>
      <c r="K1976" s="1" t="str">
        <f>"1035C307-001    HARNESS 3W007 - POWER OUT 28VDC FROM PDU"</f>
        <v>1035C307-001    HARNESS 3W007 - POWER OUT 28VDC FROM PDU</v>
      </c>
      <c r="L1976">
        <v>2</v>
      </c>
      <c r="M1976" t="str">
        <f>"PR22000592"</f>
        <v>PR22000592</v>
      </c>
      <c r="N1976" t="str">
        <f>"E000372162"</f>
        <v>E000372162</v>
      </c>
      <c r="O1976">
        <v>370.82</v>
      </c>
      <c r="P1976" t="str">
        <f>"$"</f>
        <v>$</v>
      </c>
      <c r="Q1976" t="str">
        <f>"117"</f>
        <v>117</v>
      </c>
      <c r="R1976" t="str">
        <f>"רתמות"</f>
        <v>רתמות</v>
      </c>
      <c r="S1976" t="str">
        <f>"040"</f>
        <v>040</v>
      </c>
      <c r="T1976" t="str">
        <f>"עמר ליגל"</f>
        <v>עמר ליגל</v>
      </c>
      <c r="U1976">
        <v>0</v>
      </c>
      <c r="V1976">
        <v>0</v>
      </c>
      <c r="W1976">
        <v>370.82</v>
      </c>
      <c r="X1976">
        <v>741.64</v>
      </c>
      <c r="Z1976" t="str">
        <f>"Y"</f>
        <v>Y</v>
      </c>
      <c r="AA1976">
        <v>0</v>
      </c>
      <c r="AC1976">
        <v>0</v>
      </c>
      <c r="AE1976">
        <v>0</v>
      </c>
      <c r="AF1976">
        <v>0</v>
      </c>
      <c r="AG1976" s="2">
        <v>1230.75</v>
      </c>
      <c r="AH1976">
        <v>0</v>
      </c>
      <c r="AI1976" s="2">
        <v>2461.5</v>
      </c>
      <c r="AJ1976">
        <v>741.64</v>
      </c>
      <c r="AK1976">
        <v>741.64</v>
      </c>
      <c r="AL1976" t="str">
        <f>"$"</f>
        <v>$</v>
      </c>
    </row>
    <row r="1977" spans="1:38" x14ac:dyDescent="0.3">
      <c r="A1977" t="str">
        <f>"SO22000346"</f>
        <v>SO22000346</v>
      </c>
      <c r="B1977" t="str">
        <f>"E000372162"</f>
        <v>E000372162</v>
      </c>
      <c r="C1977" t="str">
        <f>"הרכבה חלקית"</f>
        <v>הרכבה חלקית</v>
      </c>
      <c r="E1977" s="3">
        <v>44802</v>
      </c>
      <c r="F1977" s="3">
        <v>44942</v>
      </c>
      <c r="G1977" t="str">
        <f>"700065"</f>
        <v>700065</v>
      </c>
      <c r="H1977" t="str">
        <f>"אלתא מערכות בע""מ"</f>
        <v>אלתא מערכות בע"מ</v>
      </c>
      <c r="I1977" t="str">
        <f>"רחמים זרוק"</f>
        <v>רחמים זרוק</v>
      </c>
      <c r="J1977" t="str">
        <f>"OP-AR03284"</f>
        <v>OP-AR03284</v>
      </c>
      <c r="K1977" s="1" t="str">
        <f>"1035C308-001    HARNESS 3W008 - POWER OUT 220VAC/60HZ an"</f>
        <v>1035C308-001    HARNESS 3W008 - POWER OUT 220VAC/60HZ an</v>
      </c>
      <c r="L1977">
        <v>2</v>
      </c>
      <c r="M1977" t="str">
        <f>"PR22000592"</f>
        <v>PR22000592</v>
      </c>
      <c r="N1977" t="str">
        <f>"E000372162"</f>
        <v>E000372162</v>
      </c>
      <c r="O1977">
        <v>507.95</v>
      </c>
      <c r="P1977" t="str">
        <f>"$"</f>
        <v>$</v>
      </c>
      <c r="Q1977" t="str">
        <f>"117"</f>
        <v>117</v>
      </c>
      <c r="R1977" t="str">
        <f>"רתמות"</f>
        <v>רתמות</v>
      </c>
      <c r="S1977" t="str">
        <f>"040"</f>
        <v>040</v>
      </c>
      <c r="T1977" t="str">
        <f>"עמר ליגל"</f>
        <v>עמר ליגל</v>
      </c>
      <c r="U1977">
        <v>0</v>
      </c>
      <c r="V1977">
        <v>0</v>
      </c>
      <c r="W1977">
        <v>507.95</v>
      </c>
      <c r="X1977" s="2">
        <v>1015.9</v>
      </c>
      <c r="Z1977" t="str">
        <f>"Y"</f>
        <v>Y</v>
      </c>
      <c r="AA1977">
        <v>0</v>
      </c>
      <c r="AC1977">
        <v>0</v>
      </c>
      <c r="AE1977">
        <v>0</v>
      </c>
      <c r="AF1977">
        <v>0</v>
      </c>
      <c r="AG1977" s="2">
        <v>1685.89</v>
      </c>
      <c r="AH1977">
        <v>0</v>
      </c>
      <c r="AI1977" s="2">
        <v>3371.77</v>
      </c>
      <c r="AJ1977" s="2">
        <v>1015.9</v>
      </c>
      <c r="AK1977" s="2">
        <v>1015.9</v>
      </c>
      <c r="AL1977" t="str">
        <f>"$"</f>
        <v>$</v>
      </c>
    </row>
    <row r="1978" spans="1:38" x14ac:dyDescent="0.3">
      <c r="A1978" t="str">
        <f>"SO22000346"</f>
        <v>SO22000346</v>
      </c>
      <c r="B1978" t="str">
        <f>"E000372162"</f>
        <v>E000372162</v>
      </c>
      <c r="C1978" t="str">
        <f>"הרכבה חלקית"</f>
        <v>הרכבה חלקית</v>
      </c>
      <c r="E1978" s="3">
        <v>44802</v>
      </c>
      <c r="F1978" s="3">
        <v>44942</v>
      </c>
      <c r="G1978" t="str">
        <f>"700065"</f>
        <v>700065</v>
      </c>
      <c r="H1978" t="str">
        <f>"אלתא מערכות בע""מ"</f>
        <v>אלתא מערכות בע"מ</v>
      </c>
      <c r="I1978" t="str">
        <f>"רחמים זרוק"</f>
        <v>רחמים זרוק</v>
      </c>
      <c r="J1978" t="str">
        <f>"OP-AR03285"</f>
        <v>OP-AR03285</v>
      </c>
      <c r="K1978" s="1" t="str">
        <f>"1035C309-001    HARNESS 3W009 - 28VDC FROM PDU TO OTXU"</f>
        <v>1035C309-001    HARNESS 3W009 - 28VDC FROM PDU TO OTXU</v>
      </c>
      <c r="L1978">
        <v>2</v>
      </c>
      <c r="M1978" t="str">
        <f>"PR22000592"</f>
        <v>PR22000592</v>
      </c>
      <c r="N1978" t="str">
        <f>"E000372162"</f>
        <v>E000372162</v>
      </c>
      <c r="O1978">
        <v>282.77999999999997</v>
      </c>
      <c r="P1978" t="str">
        <f>"$"</f>
        <v>$</v>
      </c>
      <c r="Q1978" t="str">
        <f>"117"</f>
        <v>117</v>
      </c>
      <c r="R1978" t="str">
        <f>"רתמות"</f>
        <v>רתמות</v>
      </c>
      <c r="S1978" t="str">
        <f>"040"</f>
        <v>040</v>
      </c>
      <c r="T1978" t="str">
        <f>"עמר ליגל"</f>
        <v>עמר ליגל</v>
      </c>
      <c r="U1978">
        <v>0</v>
      </c>
      <c r="V1978">
        <v>0</v>
      </c>
      <c r="W1978">
        <v>282.77999999999997</v>
      </c>
      <c r="X1978">
        <v>565.55999999999995</v>
      </c>
      <c r="Z1978" t="str">
        <f>"Y"</f>
        <v>Y</v>
      </c>
      <c r="AA1978">
        <v>0</v>
      </c>
      <c r="AC1978">
        <v>0</v>
      </c>
      <c r="AE1978">
        <v>0</v>
      </c>
      <c r="AF1978">
        <v>0</v>
      </c>
      <c r="AG1978">
        <v>938.55</v>
      </c>
      <c r="AH1978">
        <v>0</v>
      </c>
      <c r="AI1978" s="2">
        <v>1877.09</v>
      </c>
      <c r="AJ1978">
        <v>565.55999999999995</v>
      </c>
      <c r="AK1978">
        <v>565.55999999999995</v>
      </c>
      <c r="AL1978" t="str">
        <f>"$"</f>
        <v>$</v>
      </c>
    </row>
    <row r="1979" spans="1:38" x14ac:dyDescent="0.3">
      <c r="A1979" t="str">
        <f>"SO22000346"</f>
        <v>SO22000346</v>
      </c>
      <c r="B1979" t="str">
        <f>"E000372162"</f>
        <v>E000372162</v>
      </c>
      <c r="C1979" t="str">
        <f>"הרכבה חלקית"</f>
        <v>הרכבה חלקית</v>
      </c>
      <c r="E1979" s="3">
        <v>44802</v>
      </c>
      <c r="F1979" s="3">
        <v>44942</v>
      </c>
      <c r="G1979" t="str">
        <f>"700065"</f>
        <v>700065</v>
      </c>
      <c r="H1979" t="str">
        <f>"אלתא מערכות בע""מ"</f>
        <v>אלתא מערכות בע"מ</v>
      </c>
      <c r="I1979" t="str">
        <f>"רחמים זרוק"</f>
        <v>רחמים זרוק</v>
      </c>
      <c r="J1979" t="str">
        <f>"OP-AR03286"</f>
        <v>OP-AR03286</v>
      </c>
      <c r="K1979" s="1" t="str">
        <f>"1035C310-001    HARNESS 3W010 - POWER IN 440VAC/60HZ TO"</f>
        <v>1035C310-001    HARNESS 3W010 - POWER IN 440VAC/60HZ TO</v>
      </c>
      <c r="L1979">
        <v>2</v>
      </c>
      <c r="M1979" t="str">
        <f>"PR22000592"</f>
        <v>PR22000592</v>
      </c>
      <c r="N1979" t="str">
        <f>"E000372162"</f>
        <v>E000372162</v>
      </c>
      <c r="O1979">
        <v>648.48</v>
      </c>
      <c r="P1979" t="str">
        <f>"$"</f>
        <v>$</v>
      </c>
      <c r="Q1979" t="str">
        <f>"117"</f>
        <v>117</v>
      </c>
      <c r="R1979" t="str">
        <f>"רתמות"</f>
        <v>רתמות</v>
      </c>
      <c r="S1979" t="str">
        <f>"040"</f>
        <v>040</v>
      </c>
      <c r="T1979" t="str">
        <f>"עמר ליגל"</f>
        <v>עמר ליגל</v>
      </c>
      <c r="U1979">
        <v>0</v>
      </c>
      <c r="V1979">
        <v>0</v>
      </c>
      <c r="W1979">
        <v>648.48</v>
      </c>
      <c r="X1979" s="2">
        <v>1296.96</v>
      </c>
      <c r="Z1979" t="str">
        <f>"Y"</f>
        <v>Y</v>
      </c>
      <c r="AA1979">
        <v>0</v>
      </c>
      <c r="AC1979">
        <v>0</v>
      </c>
      <c r="AE1979">
        <v>0</v>
      </c>
      <c r="AF1979">
        <v>0</v>
      </c>
      <c r="AG1979" s="2">
        <v>2152.31</v>
      </c>
      <c r="AH1979">
        <v>0</v>
      </c>
      <c r="AI1979" s="2">
        <v>4304.6099999999997</v>
      </c>
      <c r="AJ1979" s="2">
        <v>1296.96</v>
      </c>
      <c r="AK1979" s="2">
        <v>1296.96</v>
      </c>
      <c r="AL1979" t="str">
        <f>"$"</f>
        <v>$</v>
      </c>
    </row>
    <row r="1980" spans="1:38" x14ac:dyDescent="0.3">
      <c r="A1980" t="str">
        <f>"SO22000346"</f>
        <v>SO22000346</v>
      </c>
      <c r="B1980" t="str">
        <f>"E000372162"</f>
        <v>E000372162</v>
      </c>
      <c r="C1980" t="str">
        <f>"הרכבה חלקית"</f>
        <v>הרכבה חלקית</v>
      </c>
      <c r="E1980" s="3">
        <v>44802</v>
      </c>
      <c r="F1980" s="3">
        <v>44942</v>
      </c>
      <c r="G1980" t="str">
        <f>"700065"</f>
        <v>700065</v>
      </c>
      <c r="H1980" t="str">
        <f>"אלתא מערכות בע""מ"</f>
        <v>אלתא מערכות בע"מ</v>
      </c>
      <c r="I1980" t="str">
        <f>"רחמים זרוק"</f>
        <v>רחמים זרוק</v>
      </c>
      <c r="J1980" t="str">
        <f>"OP-AR03287"</f>
        <v>OP-AR03287</v>
      </c>
      <c r="K1980" s="1" t="str">
        <f>"1035C311-001    HARNESS 3W011 - POWER IN 440VAC/60HZ TO"</f>
        <v>1035C311-001    HARNESS 3W011 - POWER IN 440VAC/60HZ TO</v>
      </c>
      <c r="L1980">
        <v>2</v>
      </c>
      <c r="M1980" t="str">
        <f>"PR22000592"</f>
        <v>PR22000592</v>
      </c>
      <c r="N1980" t="str">
        <f>"E000372162"</f>
        <v>E000372162</v>
      </c>
      <c r="O1980">
        <v>451.08</v>
      </c>
      <c r="P1980" t="str">
        <f>"$"</f>
        <v>$</v>
      </c>
      <c r="Q1980" t="str">
        <f>"117"</f>
        <v>117</v>
      </c>
      <c r="R1980" t="str">
        <f>"רתמות"</f>
        <v>רתמות</v>
      </c>
      <c r="S1980" t="str">
        <f>"040"</f>
        <v>040</v>
      </c>
      <c r="T1980" t="str">
        <f>"עמר ליגל"</f>
        <v>עמר ליגל</v>
      </c>
      <c r="U1980">
        <v>0</v>
      </c>
      <c r="V1980">
        <v>0</v>
      </c>
      <c r="W1980">
        <v>451.08</v>
      </c>
      <c r="X1980">
        <v>902.16</v>
      </c>
      <c r="Z1980" t="str">
        <f>"Y"</f>
        <v>Y</v>
      </c>
      <c r="AA1980">
        <v>0</v>
      </c>
      <c r="AC1980">
        <v>0</v>
      </c>
      <c r="AE1980">
        <v>0</v>
      </c>
      <c r="AF1980">
        <v>0</v>
      </c>
      <c r="AG1980" s="2">
        <v>1497.13</v>
      </c>
      <c r="AH1980">
        <v>0</v>
      </c>
      <c r="AI1980" s="2">
        <v>2994.27</v>
      </c>
      <c r="AJ1980">
        <v>902.16</v>
      </c>
      <c r="AK1980">
        <v>902.16</v>
      </c>
      <c r="AL1980" t="str">
        <f>"$"</f>
        <v>$</v>
      </c>
    </row>
    <row r="1981" spans="1:38" x14ac:dyDescent="0.3">
      <c r="A1981" t="str">
        <f>"SO22000346"</f>
        <v>SO22000346</v>
      </c>
      <c r="B1981" t="str">
        <f>"E000372162"</f>
        <v>E000372162</v>
      </c>
      <c r="C1981" t="str">
        <f>"הרכבה חלקית"</f>
        <v>הרכבה חלקית</v>
      </c>
      <c r="E1981" s="3">
        <v>44802</v>
      </c>
      <c r="F1981" s="3">
        <v>44942</v>
      </c>
      <c r="G1981" t="str">
        <f>"700065"</f>
        <v>700065</v>
      </c>
      <c r="H1981" t="str">
        <f>"אלתא מערכות בע""מ"</f>
        <v>אלתא מערכות בע"מ</v>
      </c>
      <c r="I1981" t="str">
        <f>"רחמים זרוק"</f>
        <v>רחמים זרוק</v>
      </c>
      <c r="J1981" t="str">
        <f>"OP-AR03288"</f>
        <v>OP-AR03288</v>
      </c>
      <c r="K1981" s="1" t="str">
        <f>"1035C312-001    HARNESS 3W012 - 440VAC/60HZ FROM PSU TO"</f>
        <v>1035C312-001    HARNESS 3W012 - 440VAC/60HZ FROM PSU TO</v>
      </c>
      <c r="L1981">
        <v>2</v>
      </c>
      <c r="M1981" t="str">
        <f>"PR22000592"</f>
        <v>PR22000592</v>
      </c>
      <c r="N1981" t="str">
        <f>"E000372162"</f>
        <v>E000372162</v>
      </c>
      <c r="O1981">
        <v>425.95</v>
      </c>
      <c r="P1981" t="str">
        <f>"$"</f>
        <v>$</v>
      </c>
      <c r="Q1981" t="str">
        <f>"117"</f>
        <v>117</v>
      </c>
      <c r="R1981" t="str">
        <f>"רתמות"</f>
        <v>רתמות</v>
      </c>
      <c r="S1981" t="str">
        <f>"040"</f>
        <v>040</v>
      </c>
      <c r="T1981" t="str">
        <f>"עמר ליגל"</f>
        <v>עמר ליגל</v>
      </c>
      <c r="U1981">
        <v>0</v>
      </c>
      <c r="V1981">
        <v>0</v>
      </c>
      <c r="W1981">
        <v>425.95</v>
      </c>
      <c r="X1981">
        <v>851.9</v>
      </c>
      <c r="Z1981" t="str">
        <f>"Y"</f>
        <v>Y</v>
      </c>
      <c r="AA1981">
        <v>0</v>
      </c>
      <c r="AC1981">
        <v>0</v>
      </c>
      <c r="AE1981">
        <v>0</v>
      </c>
      <c r="AF1981">
        <v>0</v>
      </c>
      <c r="AG1981" s="2">
        <v>1413.73</v>
      </c>
      <c r="AH1981">
        <v>0</v>
      </c>
      <c r="AI1981" s="2">
        <v>2827.46</v>
      </c>
      <c r="AJ1981">
        <v>851.9</v>
      </c>
      <c r="AK1981">
        <v>851.9</v>
      </c>
      <c r="AL1981" t="str">
        <f>"$"</f>
        <v>$</v>
      </c>
    </row>
    <row r="1982" spans="1:38" x14ac:dyDescent="0.3">
      <c r="A1982" t="str">
        <f>"SO22000346"</f>
        <v>SO22000346</v>
      </c>
      <c r="B1982" t="str">
        <f>"E000372162"</f>
        <v>E000372162</v>
      </c>
      <c r="C1982" t="str">
        <f>"הרכבה חלקית"</f>
        <v>הרכבה חלקית</v>
      </c>
      <c r="E1982" s="3">
        <v>44802</v>
      </c>
      <c r="F1982" s="3">
        <v>44942</v>
      </c>
      <c r="G1982" t="str">
        <f>"700065"</f>
        <v>700065</v>
      </c>
      <c r="H1982" t="str">
        <f>"אלתא מערכות בע""מ"</f>
        <v>אלתא מערכות בע"מ</v>
      </c>
      <c r="I1982" t="str">
        <f>"רחמים זרוק"</f>
        <v>רחמים זרוק</v>
      </c>
      <c r="J1982" t="str">
        <f>"OP-AR03289"</f>
        <v>OP-AR03289</v>
      </c>
      <c r="K1982" s="1" t="str">
        <f>"1035C313-001    HARNESS 3W013 - 320VDC FROM HVPS1 TO PSU"</f>
        <v>1035C313-001    HARNESS 3W013 - 320VDC FROM HVPS1 TO PSU</v>
      </c>
      <c r="L1982">
        <v>2</v>
      </c>
      <c r="M1982" t="str">
        <f>"PR22000592"</f>
        <v>PR22000592</v>
      </c>
      <c r="N1982" t="str">
        <f>"E000372162"</f>
        <v>E000372162</v>
      </c>
      <c r="O1982">
        <v>401</v>
      </c>
      <c r="P1982" t="str">
        <f>"$"</f>
        <v>$</v>
      </c>
      <c r="Q1982" t="str">
        <f>"117"</f>
        <v>117</v>
      </c>
      <c r="R1982" t="str">
        <f>"רתמות"</f>
        <v>רתמות</v>
      </c>
      <c r="S1982" t="str">
        <f>"040"</f>
        <v>040</v>
      </c>
      <c r="T1982" t="str">
        <f>"עמר ליגל"</f>
        <v>עמר ליגל</v>
      </c>
      <c r="U1982">
        <v>0</v>
      </c>
      <c r="V1982">
        <v>0</v>
      </c>
      <c r="W1982">
        <v>401</v>
      </c>
      <c r="X1982">
        <v>802</v>
      </c>
      <c r="Z1982" t="str">
        <f>"Y"</f>
        <v>Y</v>
      </c>
      <c r="AA1982">
        <v>0</v>
      </c>
      <c r="AC1982">
        <v>0</v>
      </c>
      <c r="AE1982">
        <v>0</v>
      </c>
      <c r="AF1982">
        <v>0</v>
      </c>
      <c r="AG1982" s="2">
        <v>1330.92</v>
      </c>
      <c r="AH1982">
        <v>0</v>
      </c>
      <c r="AI1982" s="2">
        <v>2661.84</v>
      </c>
      <c r="AJ1982">
        <v>802</v>
      </c>
      <c r="AK1982">
        <v>802</v>
      </c>
      <c r="AL1982" t="str">
        <f>"$"</f>
        <v>$</v>
      </c>
    </row>
    <row r="1983" spans="1:38" x14ac:dyDescent="0.3">
      <c r="A1983" t="str">
        <f>"SO22000346"</f>
        <v>SO22000346</v>
      </c>
      <c r="B1983" t="str">
        <f>"E000372162"</f>
        <v>E000372162</v>
      </c>
      <c r="C1983" t="str">
        <f>"הרכבה חלקית"</f>
        <v>הרכבה חלקית</v>
      </c>
      <c r="E1983" s="3">
        <v>44802</v>
      </c>
      <c r="F1983" s="3">
        <v>44942</v>
      </c>
      <c r="G1983" t="str">
        <f>"700065"</f>
        <v>700065</v>
      </c>
      <c r="H1983" t="str">
        <f>"אלתא מערכות בע""מ"</f>
        <v>אלתא מערכות בע"מ</v>
      </c>
      <c r="I1983" t="str">
        <f>"רחמים זרוק"</f>
        <v>רחמים זרוק</v>
      </c>
      <c r="J1983" t="str">
        <f>"OP-AR03290"</f>
        <v>OP-AR03290</v>
      </c>
      <c r="K1983" s="1" t="str">
        <f>"1035C314-001    HARNESS 3W014 - 440VAC/60HZ FROM PSU TO"</f>
        <v>1035C314-001    HARNESS 3W014 - 440VAC/60HZ FROM PSU TO</v>
      </c>
      <c r="L1983">
        <v>2</v>
      </c>
      <c r="M1983" t="str">
        <f>"PR22000592"</f>
        <v>PR22000592</v>
      </c>
      <c r="N1983" t="str">
        <f>"E000372162"</f>
        <v>E000372162</v>
      </c>
      <c r="O1983">
        <v>450.69</v>
      </c>
      <c r="P1983" t="str">
        <f>"$"</f>
        <v>$</v>
      </c>
      <c r="Q1983" t="str">
        <f>"117"</f>
        <v>117</v>
      </c>
      <c r="R1983" t="str">
        <f>"רתמות"</f>
        <v>רתמות</v>
      </c>
      <c r="S1983" t="str">
        <f>"040"</f>
        <v>040</v>
      </c>
      <c r="T1983" t="str">
        <f>"עמר ליגל"</f>
        <v>עמר ליגל</v>
      </c>
      <c r="U1983">
        <v>0</v>
      </c>
      <c r="V1983">
        <v>0</v>
      </c>
      <c r="W1983">
        <v>450.69</v>
      </c>
      <c r="X1983">
        <v>901.38</v>
      </c>
      <c r="Z1983" t="str">
        <f>"Y"</f>
        <v>Y</v>
      </c>
      <c r="AA1983">
        <v>0</v>
      </c>
      <c r="AC1983">
        <v>0</v>
      </c>
      <c r="AE1983">
        <v>0</v>
      </c>
      <c r="AF1983">
        <v>0</v>
      </c>
      <c r="AG1983" s="2">
        <v>1495.84</v>
      </c>
      <c r="AH1983">
        <v>0</v>
      </c>
      <c r="AI1983" s="2">
        <v>2991.68</v>
      </c>
      <c r="AJ1983">
        <v>901.38</v>
      </c>
      <c r="AK1983">
        <v>901.38</v>
      </c>
      <c r="AL1983" t="str">
        <f>"$"</f>
        <v>$</v>
      </c>
    </row>
    <row r="1984" spans="1:38" x14ac:dyDescent="0.3">
      <c r="A1984" t="str">
        <f>"SO22000346"</f>
        <v>SO22000346</v>
      </c>
      <c r="B1984" t="str">
        <f>"E000372162"</f>
        <v>E000372162</v>
      </c>
      <c r="C1984" t="str">
        <f>"הרכבה חלקית"</f>
        <v>הרכבה חלקית</v>
      </c>
      <c r="E1984" s="3">
        <v>44802</v>
      </c>
      <c r="F1984" s="3">
        <v>44942</v>
      </c>
      <c r="G1984" t="str">
        <f>"700065"</f>
        <v>700065</v>
      </c>
      <c r="H1984" t="str">
        <f>"אלתא מערכות בע""מ"</f>
        <v>אלתא מערכות בע"מ</v>
      </c>
      <c r="I1984" t="str">
        <f>"רחמים זרוק"</f>
        <v>רחמים זרוק</v>
      </c>
      <c r="J1984" t="str">
        <f>"OP-AR03291"</f>
        <v>OP-AR03291</v>
      </c>
      <c r="K1984" s="1" t="str">
        <f>"1035C315-001    HARNESS 3W015 - 320VDC FROM HVPS2 TO PSU"</f>
        <v>1035C315-001    HARNESS 3W015 - 320VDC FROM HVPS2 TO PSU</v>
      </c>
      <c r="L1984">
        <v>2</v>
      </c>
      <c r="M1984" t="str">
        <f>"PR22000592"</f>
        <v>PR22000592</v>
      </c>
      <c r="N1984" t="str">
        <f>"E000372162"</f>
        <v>E000372162</v>
      </c>
      <c r="O1984">
        <v>435.09</v>
      </c>
      <c r="P1984" t="str">
        <f>"$"</f>
        <v>$</v>
      </c>
      <c r="Q1984" t="str">
        <f>"117"</f>
        <v>117</v>
      </c>
      <c r="R1984" t="str">
        <f>"רתמות"</f>
        <v>רתמות</v>
      </c>
      <c r="S1984" t="str">
        <f>"040"</f>
        <v>040</v>
      </c>
      <c r="T1984" t="str">
        <f>"עמר ליגל"</f>
        <v>עמר ליגל</v>
      </c>
      <c r="U1984">
        <v>0</v>
      </c>
      <c r="V1984">
        <v>0</v>
      </c>
      <c r="W1984">
        <v>435.09</v>
      </c>
      <c r="X1984">
        <v>870.18</v>
      </c>
      <c r="Z1984" t="str">
        <f>"Y"</f>
        <v>Y</v>
      </c>
      <c r="AA1984">
        <v>0</v>
      </c>
      <c r="AC1984">
        <v>0</v>
      </c>
      <c r="AE1984">
        <v>0</v>
      </c>
      <c r="AF1984">
        <v>0</v>
      </c>
      <c r="AG1984" s="2">
        <v>1444.06</v>
      </c>
      <c r="AH1984">
        <v>0</v>
      </c>
      <c r="AI1984" s="2">
        <v>2888.13</v>
      </c>
      <c r="AJ1984">
        <v>870.18</v>
      </c>
      <c r="AK1984">
        <v>870.18</v>
      </c>
      <c r="AL1984" t="str">
        <f>"$"</f>
        <v>$</v>
      </c>
    </row>
    <row r="1985" spans="1:38" x14ac:dyDescent="0.3">
      <c r="A1985" t="str">
        <f>"SO22000346"</f>
        <v>SO22000346</v>
      </c>
      <c r="B1985" t="str">
        <f>"E000372162"</f>
        <v>E000372162</v>
      </c>
      <c r="C1985" t="str">
        <f>"הרכבה חלקית"</f>
        <v>הרכבה חלקית</v>
      </c>
      <c r="E1985" s="3">
        <v>44802</v>
      </c>
      <c r="F1985" s="3">
        <v>44942</v>
      </c>
      <c r="G1985" t="str">
        <f>"700065"</f>
        <v>700065</v>
      </c>
      <c r="H1985" t="str">
        <f>"אלתא מערכות בע""מ"</f>
        <v>אלתא מערכות בע"מ</v>
      </c>
      <c r="I1985" t="str">
        <f>"רחמים זרוק"</f>
        <v>רחמים זרוק</v>
      </c>
      <c r="J1985" t="str">
        <f>"OP-AR03292"</f>
        <v>OP-AR03292</v>
      </c>
      <c r="K1985" s="1" t="str">
        <f>"1035C316-001    HARNESS 3W016 - POWER OUT 320VDC FROM PS"</f>
        <v>1035C316-001    HARNESS 3W016 - POWER OUT 320VDC FROM PS</v>
      </c>
      <c r="L1985">
        <v>2</v>
      </c>
      <c r="M1985" t="str">
        <f>"PR22000592"</f>
        <v>PR22000592</v>
      </c>
      <c r="N1985" t="str">
        <f>"E000372162"</f>
        <v>E000372162</v>
      </c>
      <c r="O1985">
        <v>670.72</v>
      </c>
      <c r="P1985" t="str">
        <f>"$"</f>
        <v>$</v>
      </c>
      <c r="Q1985" t="str">
        <f>"117"</f>
        <v>117</v>
      </c>
      <c r="R1985" t="str">
        <f>"רתמות"</f>
        <v>רתמות</v>
      </c>
      <c r="S1985" t="str">
        <f>"040"</f>
        <v>040</v>
      </c>
      <c r="T1985" t="str">
        <f>"עמר ליגל"</f>
        <v>עמר ליגל</v>
      </c>
      <c r="U1985">
        <v>0</v>
      </c>
      <c r="V1985">
        <v>0</v>
      </c>
      <c r="W1985">
        <v>670.72</v>
      </c>
      <c r="X1985" s="2">
        <v>1341.44</v>
      </c>
      <c r="Z1985" t="str">
        <f>"Y"</f>
        <v>Y</v>
      </c>
      <c r="AA1985">
        <v>0</v>
      </c>
      <c r="AC1985">
        <v>0</v>
      </c>
      <c r="AE1985">
        <v>0</v>
      </c>
      <c r="AF1985">
        <v>0</v>
      </c>
      <c r="AG1985" s="2">
        <v>2226.12</v>
      </c>
      <c r="AH1985">
        <v>0</v>
      </c>
      <c r="AI1985" s="2">
        <v>4452.24</v>
      </c>
      <c r="AJ1985" s="2">
        <v>1341.44</v>
      </c>
      <c r="AK1985" s="2">
        <v>1341.44</v>
      </c>
      <c r="AL1985" t="str">
        <f>"$"</f>
        <v>$</v>
      </c>
    </row>
    <row r="1986" spans="1:38" x14ac:dyDescent="0.3">
      <c r="A1986" t="str">
        <f>"SO22000346"</f>
        <v>SO22000346</v>
      </c>
      <c r="B1986" t="str">
        <f>"E000372162"</f>
        <v>E000372162</v>
      </c>
      <c r="C1986" t="str">
        <f>"הרכבה חלקית"</f>
        <v>הרכבה חלקית</v>
      </c>
      <c r="E1986" s="3">
        <v>44802</v>
      </c>
      <c r="F1986" s="3">
        <v>44942</v>
      </c>
      <c r="G1986" t="str">
        <f>"700065"</f>
        <v>700065</v>
      </c>
      <c r="H1986" t="str">
        <f>"אלתא מערכות בע""מ"</f>
        <v>אלתא מערכות בע"מ</v>
      </c>
      <c r="I1986" t="str">
        <f>"רחמים זרוק"</f>
        <v>רחמים זרוק</v>
      </c>
      <c r="J1986" t="str">
        <f>"OP-AR03293"</f>
        <v>OP-AR03293</v>
      </c>
      <c r="K1986" s="1" t="str">
        <f>"1035C317-001    HARNESS 3W017 - 440VAC/60HZ FROM PSU TO"</f>
        <v>1035C317-001    HARNESS 3W017 - 440VAC/60HZ FROM PSU TO</v>
      </c>
      <c r="L1986">
        <v>2</v>
      </c>
      <c r="M1986" t="str">
        <f>"PR22000592"</f>
        <v>PR22000592</v>
      </c>
      <c r="N1986" t="str">
        <f>"E000372162"</f>
        <v>E000372162</v>
      </c>
      <c r="O1986">
        <v>304.66000000000003</v>
      </c>
      <c r="P1986" t="str">
        <f>"$"</f>
        <v>$</v>
      </c>
      <c r="Q1986" t="str">
        <f>"117"</f>
        <v>117</v>
      </c>
      <c r="R1986" t="str">
        <f>"רתמות"</f>
        <v>רתמות</v>
      </c>
      <c r="S1986" t="str">
        <f>"040"</f>
        <v>040</v>
      </c>
      <c r="T1986" t="str">
        <f>"עמר ליגל"</f>
        <v>עמר ליגל</v>
      </c>
      <c r="U1986">
        <v>0</v>
      </c>
      <c r="V1986">
        <v>0</v>
      </c>
      <c r="W1986">
        <v>304.66000000000003</v>
      </c>
      <c r="X1986">
        <v>609.32000000000005</v>
      </c>
      <c r="Z1986" t="str">
        <f>"Y"</f>
        <v>Y</v>
      </c>
      <c r="AA1986">
        <v>0</v>
      </c>
      <c r="AC1986">
        <v>0</v>
      </c>
      <c r="AE1986">
        <v>0</v>
      </c>
      <c r="AF1986">
        <v>0</v>
      </c>
      <c r="AG1986" s="2">
        <v>1011.17</v>
      </c>
      <c r="AH1986">
        <v>0</v>
      </c>
      <c r="AI1986" s="2">
        <v>2022.33</v>
      </c>
      <c r="AJ1986">
        <v>609.32000000000005</v>
      </c>
      <c r="AK1986">
        <v>609.32000000000005</v>
      </c>
      <c r="AL1986" t="str">
        <f>"$"</f>
        <v>$</v>
      </c>
    </row>
    <row r="1987" spans="1:38" x14ac:dyDescent="0.3">
      <c r="A1987" t="str">
        <f>"SO22000346"</f>
        <v>SO22000346</v>
      </c>
      <c r="B1987" t="str">
        <f>"E000372162"</f>
        <v>E000372162</v>
      </c>
      <c r="C1987" t="str">
        <f>"הרכבה חלקית"</f>
        <v>הרכבה חלקית</v>
      </c>
      <c r="E1987" s="3">
        <v>44802</v>
      </c>
      <c r="F1987" s="3">
        <v>44942</v>
      </c>
      <c r="G1987" t="str">
        <f>"700065"</f>
        <v>700065</v>
      </c>
      <c r="H1987" t="str">
        <f>"אלתא מערכות בע""מ"</f>
        <v>אלתא מערכות בע"מ</v>
      </c>
      <c r="I1987" t="str">
        <f>"רחמים זרוק"</f>
        <v>רחמים זרוק</v>
      </c>
      <c r="J1987" t="str">
        <f>"OP-AR03294"</f>
        <v>OP-AR03294</v>
      </c>
      <c r="K1987" s="1" t="str">
        <f>"1035C330-001    HARNESS 3W030 - STATUS, CONTROL and ETHE"</f>
        <v>1035C330-001    HARNESS 3W030 - STATUS, CONTROL and ETHE</v>
      </c>
      <c r="L1987">
        <v>2</v>
      </c>
      <c r="M1987" t="str">
        <f>"PR22000592"</f>
        <v>PR22000592</v>
      </c>
      <c r="N1987" t="str">
        <f>"E000372162"</f>
        <v>E000372162</v>
      </c>
      <c r="O1987">
        <v>883.99</v>
      </c>
      <c r="P1987" t="str">
        <f>"$"</f>
        <v>$</v>
      </c>
      <c r="Q1987" t="str">
        <f>"117"</f>
        <v>117</v>
      </c>
      <c r="R1987" t="str">
        <f>"רתמות"</f>
        <v>רתמות</v>
      </c>
      <c r="S1987" t="str">
        <f>"040"</f>
        <v>040</v>
      </c>
      <c r="T1987" t="str">
        <f>"עמר ליגל"</f>
        <v>עמר ליגל</v>
      </c>
      <c r="U1987">
        <v>0</v>
      </c>
      <c r="V1987">
        <v>0</v>
      </c>
      <c r="W1987">
        <v>883.99</v>
      </c>
      <c r="X1987" s="2">
        <v>1767.98</v>
      </c>
      <c r="Z1987" t="str">
        <f>"Y"</f>
        <v>Y</v>
      </c>
      <c r="AA1987">
        <v>0</v>
      </c>
      <c r="AC1987">
        <v>0</v>
      </c>
      <c r="AE1987">
        <v>0</v>
      </c>
      <c r="AF1987">
        <v>0</v>
      </c>
      <c r="AG1987" s="2">
        <v>2933.96</v>
      </c>
      <c r="AH1987">
        <v>0</v>
      </c>
      <c r="AI1987" s="2">
        <v>5867.93</v>
      </c>
      <c r="AJ1987" s="2">
        <v>1767.98</v>
      </c>
      <c r="AK1987" s="2">
        <v>1767.98</v>
      </c>
      <c r="AL1987" t="str">
        <f>"$"</f>
        <v>$</v>
      </c>
    </row>
    <row r="1988" spans="1:38" x14ac:dyDescent="0.3">
      <c r="A1988" t="str">
        <f>"SO22000346"</f>
        <v>SO22000346</v>
      </c>
      <c r="B1988" t="str">
        <f>"E000372162"</f>
        <v>E000372162</v>
      </c>
      <c r="C1988" t="str">
        <f>"הרכבה חלקית"</f>
        <v>הרכבה חלקית</v>
      </c>
      <c r="E1988" s="3">
        <v>44802</v>
      </c>
      <c r="F1988" s="3">
        <v>44942</v>
      </c>
      <c r="G1988" t="str">
        <f>"700065"</f>
        <v>700065</v>
      </c>
      <c r="H1988" t="str">
        <f>"אלתא מערכות בע""מ"</f>
        <v>אלתא מערכות בע"מ</v>
      </c>
      <c r="I1988" t="str">
        <f>"רחמים זרוק"</f>
        <v>רחמים זרוק</v>
      </c>
      <c r="J1988" t="str">
        <f>"OP-AR03295"</f>
        <v>OP-AR03295</v>
      </c>
      <c r="K1988" s="1" t="str">
        <f>"1035C331-001    HARNESS 3W031 - CONTROL and COMM. FROM R"</f>
        <v>1035C331-001    HARNESS 3W031 - CONTROL and COMM. FROM R</v>
      </c>
      <c r="L1988">
        <v>2</v>
      </c>
      <c r="M1988" t="str">
        <f>"PR22000592"</f>
        <v>PR22000592</v>
      </c>
      <c r="N1988" t="str">
        <f>"E000372162"</f>
        <v>E000372162</v>
      </c>
      <c r="O1988">
        <v>519.70000000000005</v>
      </c>
      <c r="P1988" t="str">
        <f>"$"</f>
        <v>$</v>
      </c>
      <c r="Q1988" t="str">
        <f>"117"</f>
        <v>117</v>
      </c>
      <c r="R1988" t="str">
        <f>"רתמות"</f>
        <v>רתמות</v>
      </c>
      <c r="S1988" t="str">
        <f>"040"</f>
        <v>040</v>
      </c>
      <c r="T1988" t="str">
        <f>"עמר ליגל"</f>
        <v>עמר ליגל</v>
      </c>
      <c r="U1988">
        <v>0</v>
      </c>
      <c r="V1988">
        <v>0</v>
      </c>
      <c r="W1988">
        <v>519.70000000000005</v>
      </c>
      <c r="X1988" s="2">
        <v>1039.4000000000001</v>
      </c>
      <c r="Z1988" t="str">
        <f>"Y"</f>
        <v>Y</v>
      </c>
      <c r="AA1988">
        <v>0</v>
      </c>
      <c r="AC1988">
        <v>0</v>
      </c>
      <c r="AE1988">
        <v>0</v>
      </c>
      <c r="AF1988">
        <v>0</v>
      </c>
      <c r="AG1988" s="2">
        <v>1724.88</v>
      </c>
      <c r="AH1988">
        <v>0</v>
      </c>
      <c r="AI1988" s="2">
        <v>3449.77</v>
      </c>
      <c r="AJ1988" s="2">
        <v>1039.4000000000001</v>
      </c>
      <c r="AK1988" s="2">
        <v>1039.4000000000001</v>
      </c>
      <c r="AL1988" t="str">
        <f>"$"</f>
        <v>$</v>
      </c>
    </row>
    <row r="1989" spans="1:38" x14ac:dyDescent="0.3">
      <c r="A1989" t="str">
        <f>"SO22000346"</f>
        <v>SO22000346</v>
      </c>
      <c r="B1989" t="str">
        <f>"E000372162"</f>
        <v>E000372162</v>
      </c>
      <c r="C1989" t="str">
        <f>"הרכבה חלקית"</f>
        <v>הרכבה חלקית</v>
      </c>
      <c r="E1989" s="3">
        <v>44802</v>
      </c>
      <c r="F1989" s="3">
        <v>44942</v>
      </c>
      <c r="G1989" t="str">
        <f>"700065"</f>
        <v>700065</v>
      </c>
      <c r="H1989" t="str">
        <f>"אלתא מערכות בע""מ"</f>
        <v>אלתא מערכות בע"מ</v>
      </c>
      <c r="I1989" t="str">
        <f>"רחמים זרוק"</f>
        <v>רחמים זרוק</v>
      </c>
      <c r="J1989" t="str">
        <f>"OP-AR03296"</f>
        <v>OP-AR03296</v>
      </c>
      <c r="K1989" s="1" t="str">
        <f>"1035C332-001    HARNESS 3W032 - INTERLOCK,LIQUID SENSE a"</f>
        <v>1035C332-001    HARNESS 3W032 - INTERLOCK,LIQUID SENSE a</v>
      </c>
      <c r="L1989">
        <v>2</v>
      </c>
      <c r="M1989" t="str">
        <f>"PR22000592"</f>
        <v>PR22000592</v>
      </c>
      <c r="N1989" t="str">
        <f>"E000372162"</f>
        <v>E000372162</v>
      </c>
      <c r="O1989">
        <v>489.64</v>
      </c>
      <c r="P1989" t="str">
        <f>"$"</f>
        <v>$</v>
      </c>
      <c r="Q1989" t="str">
        <f>"117"</f>
        <v>117</v>
      </c>
      <c r="R1989" t="str">
        <f>"רתמות"</f>
        <v>רתמות</v>
      </c>
      <c r="S1989" t="str">
        <f>"040"</f>
        <v>040</v>
      </c>
      <c r="T1989" t="str">
        <f>"עמר ליגל"</f>
        <v>עמר ליגל</v>
      </c>
      <c r="U1989">
        <v>0</v>
      </c>
      <c r="V1989">
        <v>0</v>
      </c>
      <c r="W1989">
        <v>489.64</v>
      </c>
      <c r="X1989">
        <v>979.28</v>
      </c>
      <c r="Z1989" t="str">
        <f>"Y"</f>
        <v>Y</v>
      </c>
      <c r="AA1989">
        <v>0</v>
      </c>
      <c r="AC1989">
        <v>0</v>
      </c>
      <c r="AE1989">
        <v>0</v>
      </c>
      <c r="AF1989">
        <v>0</v>
      </c>
      <c r="AG1989" s="2">
        <v>1625.12</v>
      </c>
      <c r="AH1989">
        <v>0</v>
      </c>
      <c r="AI1989" s="2">
        <v>3250.23</v>
      </c>
      <c r="AJ1989">
        <v>979.28</v>
      </c>
      <c r="AK1989">
        <v>979.28</v>
      </c>
      <c r="AL1989" t="str">
        <f>"$"</f>
        <v>$</v>
      </c>
    </row>
    <row r="1990" spans="1:38" x14ac:dyDescent="0.3">
      <c r="A1990" t="str">
        <f>"SO22000346"</f>
        <v>SO22000346</v>
      </c>
      <c r="B1990" t="str">
        <f>"E000372162"</f>
        <v>E000372162</v>
      </c>
      <c r="C1990" t="str">
        <f>"הרכבה חלקית"</f>
        <v>הרכבה חלקית</v>
      </c>
      <c r="E1990" s="3">
        <v>44802</v>
      </c>
      <c r="F1990" s="3">
        <v>45061</v>
      </c>
      <c r="G1990" t="str">
        <f>"700065"</f>
        <v>700065</v>
      </c>
      <c r="H1990" t="str">
        <f>"אלתא מערכות בע""מ"</f>
        <v>אלתא מערכות בע"מ</v>
      </c>
      <c r="I1990" t="str">
        <f>"רחמים זרוק"</f>
        <v>רחמים זרוק</v>
      </c>
      <c r="J1990" t="str">
        <f>"OP-AR03297"</f>
        <v>OP-AR03297</v>
      </c>
      <c r="K1990" s="1" t="str">
        <f>"1035C333-001    HARNESS 3W033 - DATA FROM EXTERNAL SYST"</f>
        <v>1035C333-001    HARNESS 3W033 - DATA FROM EXTERNAL SYST</v>
      </c>
      <c r="L1990">
        <v>2</v>
      </c>
      <c r="M1990" t="str">
        <f>"PR22000592"</f>
        <v>PR22000592</v>
      </c>
      <c r="N1990" t="str">
        <f>"E000372162"</f>
        <v>E000372162</v>
      </c>
      <c r="O1990" s="2">
        <v>1202.47</v>
      </c>
      <c r="P1990" t="str">
        <f>"$"</f>
        <v>$</v>
      </c>
      <c r="Q1990" t="str">
        <f>"117"</f>
        <v>117</v>
      </c>
      <c r="R1990" t="str">
        <f>"רתמות"</f>
        <v>רתמות</v>
      </c>
      <c r="S1990" t="str">
        <f>"040"</f>
        <v>040</v>
      </c>
      <c r="T1990" t="str">
        <f>"עמר ליגל"</f>
        <v>עמר ליגל</v>
      </c>
      <c r="U1990">
        <v>0</v>
      </c>
      <c r="V1990">
        <v>0</v>
      </c>
      <c r="W1990" s="2">
        <v>1202.47</v>
      </c>
      <c r="X1990" s="2">
        <v>2404.94</v>
      </c>
      <c r="AA1990">
        <v>1</v>
      </c>
      <c r="AC1990">
        <v>0</v>
      </c>
      <c r="AE1990">
        <v>0</v>
      </c>
      <c r="AF1990">
        <v>0</v>
      </c>
      <c r="AG1990" s="2">
        <v>3991</v>
      </c>
      <c r="AH1990">
        <v>0</v>
      </c>
      <c r="AI1990" s="2">
        <v>7982</v>
      </c>
      <c r="AJ1990" s="2">
        <v>2404.94</v>
      </c>
      <c r="AK1990" s="2">
        <v>2404.94</v>
      </c>
      <c r="AL1990" t="str">
        <f>"$"</f>
        <v>$</v>
      </c>
    </row>
    <row r="1991" spans="1:38" x14ac:dyDescent="0.3">
      <c r="A1991" t="str">
        <f>"SO22000346"</f>
        <v>SO22000346</v>
      </c>
      <c r="B1991" t="str">
        <f>"E000372162"</f>
        <v>E000372162</v>
      </c>
      <c r="C1991" t="str">
        <f>"הרכבה חלקית"</f>
        <v>הרכבה חלקית</v>
      </c>
      <c r="E1991" s="3">
        <v>44802</v>
      </c>
      <c r="F1991" s="3">
        <v>44942</v>
      </c>
      <c r="G1991" t="str">
        <f>"700065"</f>
        <v>700065</v>
      </c>
      <c r="H1991" t="str">
        <f>"אלתא מערכות בע""מ"</f>
        <v>אלתא מערכות בע"מ</v>
      </c>
      <c r="I1991" t="str">
        <f>"רחמים זרוק"</f>
        <v>רחמים זרוק</v>
      </c>
      <c r="J1991" t="str">
        <f>"OP-AR03298"</f>
        <v>OP-AR03298</v>
      </c>
      <c r="K1991" s="1" t="str">
        <f>"1035C334-001    HARNESS 3W034 - DISCRETE FROM ANTENNA TO"</f>
        <v>1035C334-001    HARNESS 3W034 - DISCRETE FROM ANTENNA TO</v>
      </c>
      <c r="L1991">
        <v>2</v>
      </c>
      <c r="M1991" t="str">
        <f>"PR22000592"</f>
        <v>PR22000592</v>
      </c>
      <c r="N1991" t="str">
        <f>"E000372162"</f>
        <v>E000372162</v>
      </c>
      <c r="O1991">
        <v>316.72000000000003</v>
      </c>
      <c r="P1991" t="str">
        <f>"$"</f>
        <v>$</v>
      </c>
      <c r="Q1991" t="str">
        <f>"117"</f>
        <v>117</v>
      </c>
      <c r="R1991" t="str">
        <f>"רתמות"</f>
        <v>רתמות</v>
      </c>
      <c r="S1991" t="str">
        <f>"040"</f>
        <v>040</v>
      </c>
      <c r="T1991" t="str">
        <f>"עמר ליגל"</f>
        <v>עמר ליגל</v>
      </c>
      <c r="U1991">
        <v>0</v>
      </c>
      <c r="V1991">
        <v>0</v>
      </c>
      <c r="W1991">
        <v>316.72000000000003</v>
      </c>
      <c r="X1991">
        <v>633.44000000000005</v>
      </c>
      <c r="Z1991" t="str">
        <f>"Y"</f>
        <v>Y</v>
      </c>
      <c r="AA1991">
        <v>0</v>
      </c>
      <c r="AC1991">
        <v>0</v>
      </c>
      <c r="AE1991">
        <v>0</v>
      </c>
      <c r="AF1991">
        <v>0</v>
      </c>
      <c r="AG1991" s="2">
        <v>1051.19</v>
      </c>
      <c r="AH1991">
        <v>0</v>
      </c>
      <c r="AI1991" s="2">
        <v>2102.39</v>
      </c>
      <c r="AJ1991">
        <v>633.44000000000005</v>
      </c>
      <c r="AK1991">
        <v>633.44000000000005</v>
      </c>
      <c r="AL1991" t="str">
        <f>"$"</f>
        <v>$</v>
      </c>
    </row>
    <row r="1992" spans="1:38" x14ac:dyDescent="0.3">
      <c r="A1992" t="str">
        <f>"SO22000346"</f>
        <v>SO22000346</v>
      </c>
      <c r="B1992" t="str">
        <f>"E000372162"</f>
        <v>E000372162</v>
      </c>
      <c r="C1992" t="str">
        <f>"הרכבה חלקית"</f>
        <v>הרכבה חלקית</v>
      </c>
      <c r="E1992" s="3">
        <v>44802</v>
      </c>
      <c r="F1992" s="3">
        <v>44942</v>
      </c>
      <c r="G1992" t="str">
        <f>"700065"</f>
        <v>700065</v>
      </c>
      <c r="H1992" t="str">
        <f>"אלתא מערכות בע""מ"</f>
        <v>אלתא מערכות בע"מ</v>
      </c>
      <c r="I1992" t="str">
        <f>"רחמים זרוק"</f>
        <v>רחמים זרוק</v>
      </c>
      <c r="J1992" t="str">
        <f>"OP-AR03299"</f>
        <v>OP-AR03299</v>
      </c>
      <c r="K1992" s="1" t="str">
        <f>"1035C335-001    HARNESS 3W035 - COMMUNICATION FROM/TO RS"</f>
        <v>1035C335-001    HARNESS 3W035 - COMMUNICATION FROM/TO RS</v>
      </c>
      <c r="L1992">
        <v>2</v>
      </c>
      <c r="M1992" t="str">
        <f>"PR22000592"</f>
        <v>PR22000592</v>
      </c>
      <c r="N1992" t="str">
        <f>"E000372162"</f>
        <v>E000372162</v>
      </c>
      <c r="O1992">
        <v>374.58</v>
      </c>
      <c r="P1992" t="str">
        <f>"$"</f>
        <v>$</v>
      </c>
      <c r="Q1992" t="str">
        <f>"117"</f>
        <v>117</v>
      </c>
      <c r="R1992" t="str">
        <f>"רתמות"</f>
        <v>רתמות</v>
      </c>
      <c r="S1992" t="str">
        <f>"040"</f>
        <v>040</v>
      </c>
      <c r="T1992" t="str">
        <f>"עמר ליגל"</f>
        <v>עמר ליגל</v>
      </c>
      <c r="U1992">
        <v>0</v>
      </c>
      <c r="V1992">
        <v>0</v>
      </c>
      <c r="W1992">
        <v>374.58</v>
      </c>
      <c r="X1992">
        <v>749.16</v>
      </c>
      <c r="Z1992" t="str">
        <f>"Y"</f>
        <v>Y</v>
      </c>
      <c r="AA1992">
        <v>0</v>
      </c>
      <c r="AC1992">
        <v>0</v>
      </c>
      <c r="AE1992">
        <v>0</v>
      </c>
      <c r="AF1992">
        <v>0</v>
      </c>
      <c r="AG1992" s="2">
        <v>1243.23</v>
      </c>
      <c r="AH1992">
        <v>0</v>
      </c>
      <c r="AI1992" s="2">
        <v>2486.46</v>
      </c>
      <c r="AJ1992">
        <v>749.16</v>
      </c>
      <c r="AK1992">
        <v>749.16</v>
      </c>
      <c r="AL1992" t="str">
        <f>"$"</f>
        <v>$</v>
      </c>
    </row>
    <row r="1993" spans="1:38" x14ac:dyDescent="0.3">
      <c r="A1993" t="str">
        <f>"SO22000346"</f>
        <v>SO22000346</v>
      </c>
      <c r="B1993" t="str">
        <f>"E000372162"</f>
        <v>E000372162</v>
      </c>
      <c r="C1993" t="str">
        <f>"הרכבה חלקית"</f>
        <v>הרכבה חלקית</v>
      </c>
      <c r="E1993" s="3">
        <v>44802</v>
      </c>
      <c r="F1993" s="3">
        <v>44942</v>
      </c>
      <c r="G1993" t="str">
        <f>"700065"</f>
        <v>700065</v>
      </c>
      <c r="H1993" t="str">
        <f>"אלתא מערכות בע""מ"</f>
        <v>אלתא מערכות בע"מ</v>
      </c>
      <c r="I1993" t="str">
        <f>"רחמים זרוק"</f>
        <v>רחמים זרוק</v>
      </c>
      <c r="J1993" t="str">
        <f>"OP-AR03300"</f>
        <v>OP-AR03300</v>
      </c>
      <c r="K1993" s="1" t="str">
        <f>"1035C336-001    HARNESS 3W036 - DATA FROM MAS TO PSU"</f>
        <v>1035C336-001    HARNESS 3W036 - DATA FROM MAS TO PSU</v>
      </c>
      <c r="L1993">
        <v>2</v>
      </c>
      <c r="M1993" t="str">
        <f>"PR22000592"</f>
        <v>PR22000592</v>
      </c>
      <c r="N1993" t="str">
        <f>"E000372162"</f>
        <v>E000372162</v>
      </c>
      <c r="O1993">
        <v>285.77</v>
      </c>
      <c r="P1993" t="str">
        <f>"$"</f>
        <v>$</v>
      </c>
      <c r="Q1993" t="str">
        <f>"117"</f>
        <v>117</v>
      </c>
      <c r="R1993" t="str">
        <f>"רתמות"</f>
        <v>רתמות</v>
      </c>
      <c r="S1993" t="str">
        <f>"040"</f>
        <v>040</v>
      </c>
      <c r="T1993" t="str">
        <f>"עמר ליגל"</f>
        <v>עמר ליגל</v>
      </c>
      <c r="U1993">
        <v>0</v>
      </c>
      <c r="V1993">
        <v>0</v>
      </c>
      <c r="W1993">
        <v>285.77</v>
      </c>
      <c r="X1993">
        <v>571.54</v>
      </c>
      <c r="Z1993" t="str">
        <f>"Y"</f>
        <v>Y</v>
      </c>
      <c r="AA1993">
        <v>0</v>
      </c>
      <c r="AC1993">
        <v>0</v>
      </c>
      <c r="AE1993">
        <v>0</v>
      </c>
      <c r="AF1993">
        <v>0</v>
      </c>
      <c r="AG1993">
        <v>948.47</v>
      </c>
      <c r="AH1993">
        <v>0</v>
      </c>
      <c r="AI1993" s="2">
        <v>1896.94</v>
      </c>
      <c r="AJ1993">
        <v>571.54</v>
      </c>
      <c r="AK1993">
        <v>571.54</v>
      </c>
      <c r="AL1993" t="str">
        <f>"$"</f>
        <v>$</v>
      </c>
    </row>
    <row r="1994" spans="1:38" x14ac:dyDescent="0.3">
      <c r="A1994" t="str">
        <f>"SO22000346"</f>
        <v>SO22000346</v>
      </c>
      <c r="B1994" t="str">
        <f>"E000372162"</f>
        <v>E000372162</v>
      </c>
      <c r="C1994" t="str">
        <f>"הרכבה חלקית"</f>
        <v>הרכבה חלקית</v>
      </c>
      <c r="E1994" s="3">
        <v>44802</v>
      </c>
      <c r="F1994" s="3">
        <v>44942</v>
      </c>
      <c r="G1994" t="str">
        <f>"700065"</f>
        <v>700065</v>
      </c>
      <c r="H1994" t="str">
        <f>"אלתא מערכות בע""מ"</f>
        <v>אלתא מערכות בע"מ</v>
      </c>
      <c r="I1994" t="str">
        <f>"רחמים זרוק"</f>
        <v>רחמים זרוק</v>
      </c>
      <c r="J1994" t="str">
        <f>"OP-AR03301"</f>
        <v>OP-AR03301</v>
      </c>
      <c r="K1994" s="1" t="str">
        <f>"1035C337-001    HARNESS 3W037 - CONTROL and ETHERNET FRO"</f>
        <v>1035C337-001    HARNESS 3W037 - CONTROL and ETHERNET FRO</v>
      </c>
      <c r="L1994">
        <v>2</v>
      </c>
      <c r="M1994" t="str">
        <f>"PR22000592"</f>
        <v>PR22000592</v>
      </c>
      <c r="N1994" t="str">
        <f>"E000372162"</f>
        <v>E000372162</v>
      </c>
      <c r="O1994">
        <v>342.37</v>
      </c>
      <c r="P1994" t="str">
        <f>"$"</f>
        <v>$</v>
      </c>
      <c r="Q1994" t="str">
        <f>"117"</f>
        <v>117</v>
      </c>
      <c r="R1994" t="str">
        <f>"רתמות"</f>
        <v>רתמות</v>
      </c>
      <c r="S1994" t="str">
        <f>"040"</f>
        <v>040</v>
      </c>
      <c r="T1994" t="str">
        <f>"עמר ליגל"</f>
        <v>עמר ליגל</v>
      </c>
      <c r="U1994">
        <v>0</v>
      </c>
      <c r="V1994">
        <v>0</v>
      </c>
      <c r="W1994">
        <v>342.37</v>
      </c>
      <c r="X1994">
        <v>684.74</v>
      </c>
      <c r="Z1994" t="str">
        <f>"Y"</f>
        <v>Y</v>
      </c>
      <c r="AA1994">
        <v>0</v>
      </c>
      <c r="AC1994">
        <v>0</v>
      </c>
      <c r="AE1994">
        <v>0</v>
      </c>
      <c r="AF1994">
        <v>0</v>
      </c>
      <c r="AG1994" s="2">
        <v>1136.33</v>
      </c>
      <c r="AH1994">
        <v>0</v>
      </c>
      <c r="AI1994" s="2">
        <v>2272.65</v>
      </c>
      <c r="AJ1994">
        <v>684.74</v>
      </c>
      <c r="AK1994">
        <v>684.74</v>
      </c>
      <c r="AL1994" t="str">
        <f>"$"</f>
        <v>$</v>
      </c>
    </row>
    <row r="1995" spans="1:38" x14ac:dyDescent="0.3">
      <c r="A1995" t="str">
        <f>"SO22000346"</f>
        <v>SO22000346</v>
      </c>
      <c r="B1995" t="str">
        <f>"E000372162"</f>
        <v>E000372162</v>
      </c>
      <c r="C1995" t="str">
        <f>"הרכבה חלקית"</f>
        <v>הרכבה חלקית</v>
      </c>
      <c r="E1995" s="3">
        <v>44802</v>
      </c>
      <c r="F1995" s="3">
        <v>44942</v>
      </c>
      <c r="G1995" t="str">
        <f>"700065"</f>
        <v>700065</v>
      </c>
      <c r="H1995" t="str">
        <f>"אלתא מערכות בע""מ"</f>
        <v>אלתא מערכות בע"מ</v>
      </c>
      <c r="I1995" t="str">
        <f>"רחמים זרוק"</f>
        <v>רחמים זרוק</v>
      </c>
      <c r="J1995" t="str">
        <f>"OP-AR03302"</f>
        <v>OP-AR03302</v>
      </c>
      <c r="K1995" s="1" t="str">
        <f>"1035C338-001    HARNESS 3W038 - CONTROL and ETHERNET FRO"</f>
        <v>1035C338-001    HARNESS 3W038 - CONTROL and ETHERNET FRO</v>
      </c>
      <c r="L1995">
        <v>2</v>
      </c>
      <c r="M1995" t="str">
        <f>"PR22000592"</f>
        <v>PR22000592</v>
      </c>
      <c r="N1995" t="str">
        <f>"E000372162"</f>
        <v>E000372162</v>
      </c>
      <c r="O1995">
        <v>349.28</v>
      </c>
      <c r="P1995" t="str">
        <f>"$"</f>
        <v>$</v>
      </c>
      <c r="Q1995" t="str">
        <f>"117"</f>
        <v>117</v>
      </c>
      <c r="R1995" t="str">
        <f>"רתמות"</f>
        <v>רתמות</v>
      </c>
      <c r="S1995" t="str">
        <f>"040"</f>
        <v>040</v>
      </c>
      <c r="T1995" t="str">
        <f>"עמר ליגל"</f>
        <v>עמר ליגל</v>
      </c>
      <c r="U1995">
        <v>0</v>
      </c>
      <c r="V1995">
        <v>0</v>
      </c>
      <c r="W1995">
        <v>349.28</v>
      </c>
      <c r="X1995">
        <v>698.56</v>
      </c>
      <c r="Z1995" t="str">
        <f>"Y"</f>
        <v>Y</v>
      </c>
      <c r="AA1995">
        <v>0</v>
      </c>
      <c r="AC1995">
        <v>0</v>
      </c>
      <c r="AE1995">
        <v>0</v>
      </c>
      <c r="AF1995">
        <v>0</v>
      </c>
      <c r="AG1995" s="2">
        <v>1159.26</v>
      </c>
      <c r="AH1995">
        <v>0</v>
      </c>
      <c r="AI1995" s="2">
        <v>2318.52</v>
      </c>
      <c r="AJ1995">
        <v>698.56</v>
      </c>
      <c r="AK1995">
        <v>698.56</v>
      </c>
      <c r="AL1995" t="str">
        <f>"$"</f>
        <v>$</v>
      </c>
    </row>
    <row r="1996" spans="1:38" x14ac:dyDescent="0.3">
      <c r="A1996" t="str">
        <f>"SO22000346"</f>
        <v>SO22000346</v>
      </c>
      <c r="B1996" t="str">
        <f>"E000372162"</f>
        <v>E000372162</v>
      </c>
      <c r="C1996" t="str">
        <f>"הרכבה חלקית"</f>
        <v>הרכבה חלקית</v>
      </c>
      <c r="E1996" s="3">
        <v>44802</v>
      </c>
      <c r="F1996" s="3">
        <v>44942</v>
      </c>
      <c r="G1996" t="str">
        <f>"700065"</f>
        <v>700065</v>
      </c>
      <c r="H1996" t="str">
        <f>"אלתא מערכות בע""מ"</f>
        <v>אלתא מערכות בע"מ</v>
      </c>
      <c r="I1996" t="str">
        <f>"רחמים זרוק"</f>
        <v>רחמים זרוק</v>
      </c>
      <c r="J1996" t="str">
        <f>"OP-AR03303"</f>
        <v>OP-AR03303</v>
      </c>
      <c r="K1996" s="1" t="str">
        <f>"1035C339-001    HARNESS 3W039 - STATUS and CONTROL FROM/"</f>
        <v>1035C339-001    HARNESS 3W039 - STATUS and CONTROL FROM/</v>
      </c>
      <c r="L1996">
        <v>2</v>
      </c>
      <c r="M1996" t="str">
        <f>"PR22000592"</f>
        <v>PR22000592</v>
      </c>
      <c r="N1996" t="str">
        <f>"E000372162"</f>
        <v>E000372162</v>
      </c>
      <c r="O1996">
        <v>487.14</v>
      </c>
      <c r="P1996" t="str">
        <f>"$"</f>
        <v>$</v>
      </c>
      <c r="Q1996" t="str">
        <f>"117"</f>
        <v>117</v>
      </c>
      <c r="R1996" t="str">
        <f>"רתמות"</f>
        <v>רתמות</v>
      </c>
      <c r="S1996" t="str">
        <f>"040"</f>
        <v>040</v>
      </c>
      <c r="T1996" t="str">
        <f>"עמר ליגל"</f>
        <v>עמר ליגל</v>
      </c>
      <c r="U1996">
        <v>0</v>
      </c>
      <c r="V1996">
        <v>0</v>
      </c>
      <c r="W1996">
        <v>487.14</v>
      </c>
      <c r="X1996">
        <v>974.28</v>
      </c>
      <c r="Z1996" t="str">
        <f>"Y"</f>
        <v>Y</v>
      </c>
      <c r="AA1996">
        <v>0</v>
      </c>
      <c r="AC1996">
        <v>0</v>
      </c>
      <c r="AE1996">
        <v>0</v>
      </c>
      <c r="AF1996">
        <v>0</v>
      </c>
      <c r="AG1996" s="2">
        <v>1616.82</v>
      </c>
      <c r="AH1996">
        <v>0</v>
      </c>
      <c r="AI1996" s="2">
        <v>3233.64</v>
      </c>
      <c r="AJ1996">
        <v>974.28</v>
      </c>
      <c r="AK1996">
        <v>974.28</v>
      </c>
      <c r="AL1996" t="str">
        <f>"$"</f>
        <v>$</v>
      </c>
    </row>
    <row r="1997" spans="1:38" x14ac:dyDescent="0.3">
      <c r="A1997" t="str">
        <f>"SO22000346"</f>
        <v>SO22000346</v>
      </c>
      <c r="B1997" t="str">
        <f>"E000372162"</f>
        <v>E000372162</v>
      </c>
      <c r="C1997" t="str">
        <f>"הרכבה חלקית"</f>
        <v>הרכבה חלקית</v>
      </c>
      <c r="E1997" s="3">
        <v>44802</v>
      </c>
      <c r="F1997" s="3">
        <v>44942</v>
      </c>
      <c r="G1997" t="str">
        <f>"700065"</f>
        <v>700065</v>
      </c>
      <c r="H1997" t="str">
        <f>"אלתא מערכות בע""מ"</f>
        <v>אלתא מערכות בע"מ</v>
      </c>
      <c r="I1997" t="str">
        <f>"רחמים זרוק"</f>
        <v>רחמים זרוק</v>
      </c>
      <c r="J1997" t="str">
        <f>"OP-AR03304"</f>
        <v>OP-AR03304</v>
      </c>
      <c r="K1997" s="1" t="str">
        <f>"1035C340-001    HARNESS 3W040 - STATUS FROM MOTOR TO SPR"</f>
        <v>1035C340-001    HARNESS 3W040 - STATUS FROM MOTOR TO SPR</v>
      </c>
      <c r="L1997">
        <v>2</v>
      </c>
      <c r="M1997" t="str">
        <f>"PR22000592"</f>
        <v>PR22000592</v>
      </c>
      <c r="N1997" t="str">
        <f>"E000372162"</f>
        <v>E000372162</v>
      </c>
      <c r="O1997">
        <v>351.31</v>
      </c>
      <c r="P1997" t="str">
        <f>"$"</f>
        <v>$</v>
      </c>
      <c r="Q1997" t="str">
        <f>"117"</f>
        <v>117</v>
      </c>
      <c r="R1997" t="str">
        <f>"רתמות"</f>
        <v>רתמות</v>
      </c>
      <c r="S1997" t="str">
        <f>"040"</f>
        <v>040</v>
      </c>
      <c r="T1997" t="str">
        <f>"עמר ליגל"</f>
        <v>עמר ליגל</v>
      </c>
      <c r="U1997">
        <v>0</v>
      </c>
      <c r="V1997">
        <v>0</v>
      </c>
      <c r="W1997">
        <v>351.31</v>
      </c>
      <c r="X1997">
        <v>702.62</v>
      </c>
      <c r="Z1997" t="str">
        <f>"Y"</f>
        <v>Y</v>
      </c>
      <c r="AA1997">
        <v>0</v>
      </c>
      <c r="AC1997">
        <v>0</v>
      </c>
      <c r="AE1997">
        <v>0</v>
      </c>
      <c r="AF1997">
        <v>0</v>
      </c>
      <c r="AG1997" s="2">
        <v>1166</v>
      </c>
      <c r="AH1997">
        <v>0</v>
      </c>
      <c r="AI1997" s="2">
        <v>2332</v>
      </c>
      <c r="AJ1997">
        <v>702.62</v>
      </c>
      <c r="AK1997">
        <v>702.62</v>
      </c>
      <c r="AL1997" t="str">
        <f>"$"</f>
        <v>$</v>
      </c>
    </row>
    <row r="1998" spans="1:38" x14ac:dyDescent="0.3">
      <c r="A1998" t="str">
        <f>"SO22000346"</f>
        <v>SO22000346</v>
      </c>
      <c r="B1998" t="str">
        <f>"E000372162"</f>
        <v>E000372162</v>
      </c>
      <c r="C1998" t="str">
        <f>"הרכבה חלקית"</f>
        <v>הרכבה חלקית</v>
      </c>
      <c r="E1998" s="3">
        <v>44802</v>
      </c>
      <c r="F1998" s="3">
        <v>44942</v>
      </c>
      <c r="G1998" t="str">
        <f>"700065"</f>
        <v>700065</v>
      </c>
      <c r="H1998" t="str">
        <f>"אלתא מערכות בע""מ"</f>
        <v>אלתא מערכות בע"מ</v>
      </c>
      <c r="I1998" t="str">
        <f>"רחמים זרוק"</f>
        <v>רחמים זרוק</v>
      </c>
      <c r="J1998" t="str">
        <f>"OP-AR03305"</f>
        <v>OP-AR03305</v>
      </c>
      <c r="K1998" s="1" t="str">
        <f>"1035C341-001    HARNESS 3W041 - STATUS FROM SPR (PDU) TO"</f>
        <v>1035C341-001    HARNESS 3W041 - STATUS FROM SPR (PDU) TO</v>
      </c>
      <c r="L1998">
        <v>2</v>
      </c>
      <c r="M1998" t="str">
        <f>"PR22000592"</f>
        <v>PR22000592</v>
      </c>
      <c r="N1998" t="str">
        <f>"E000372162"</f>
        <v>E000372162</v>
      </c>
      <c r="O1998">
        <v>305.27999999999997</v>
      </c>
      <c r="P1998" t="str">
        <f>"$"</f>
        <v>$</v>
      </c>
      <c r="Q1998" t="str">
        <f>"117"</f>
        <v>117</v>
      </c>
      <c r="R1998" t="str">
        <f>"רתמות"</f>
        <v>רתמות</v>
      </c>
      <c r="S1998" t="str">
        <f>"040"</f>
        <v>040</v>
      </c>
      <c r="T1998" t="str">
        <f>"עמר ליגל"</f>
        <v>עמר ליגל</v>
      </c>
      <c r="U1998">
        <v>0</v>
      </c>
      <c r="V1998">
        <v>0</v>
      </c>
      <c r="W1998">
        <v>305.27999999999997</v>
      </c>
      <c r="X1998">
        <v>610.55999999999995</v>
      </c>
      <c r="Z1998" t="str">
        <f>"Y"</f>
        <v>Y</v>
      </c>
      <c r="AA1998">
        <v>0</v>
      </c>
      <c r="AC1998">
        <v>0</v>
      </c>
      <c r="AE1998">
        <v>0</v>
      </c>
      <c r="AF1998">
        <v>0</v>
      </c>
      <c r="AG1998" s="2">
        <v>1013.22</v>
      </c>
      <c r="AH1998">
        <v>0</v>
      </c>
      <c r="AI1998" s="2">
        <v>2026.45</v>
      </c>
      <c r="AJ1998">
        <v>610.55999999999995</v>
      </c>
      <c r="AK1998">
        <v>610.55999999999995</v>
      </c>
      <c r="AL1998" t="str">
        <f>"$"</f>
        <v>$</v>
      </c>
    </row>
    <row r="1999" spans="1:38" x14ac:dyDescent="0.3">
      <c r="A1999" t="str">
        <f>"SO22000346"</f>
        <v>SO22000346</v>
      </c>
      <c r="B1999" t="str">
        <f>"E000372162"</f>
        <v>E000372162</v>
      </c>
      <c r="C1999" t="str">
        <f>"הרכבה חלקית"</f>
        <v>הרכבה חלקית</v>
      </c>
      <c r="E1999" s="3">
        <v>44802</v>
      </c>
      <c r="F1999" s="3">
        <v>44942</v>
      </c>
      <c r="G1999" t="str">
        <f>"700065"</f>
        <v>700065</v>
      </c>
      <c r="H1999" t="str">
        <f>"אלתא מערכות בע""מ"</f>
        <v>אלתא מערכות בע"מ</v>
      </c>
      <c r="I1999" t="str">
        <f>"רחמים זרוק"</f>
        <v>רחמים זרוק</v>
      </c>
      <c r="J1999" t="str">
        <f>"OP-AR03306"</f>
        <v>OP-AR03306</v>
      </c>
      <c r="K1999" s="1" t="str">
        <f>"1035C343-001    HARNESS 3W043 - COMMUNICATION and ETHERN"</f>
        <v>1035C343-001    HARNESS 3W043 - COMMUNICATION and ETHERN</v>
      </c>
      <c r="L1999">
        <v>2</v>
      </c>
      <c r="M1999" t="str">
        <f>"PR22000592"</f>
        <v>PR22000592</v>
      </c>
      <c r="N1999" t="str">
        <f>"E000372162"</f>
        <v>E000372162</v>
      </c>
      <c r="O1999">
        <v>712.17</v>
      </c>
      <c r="P1999" t="str">
        <f>"$"</f>
        <v>$</v>
      </c>
      <c r="Q1999" t="str">
        <f>"117"</f>
        <v>117</v>
      </c>
      <c r="R1999" t="str">
        <f>"רתמות"</f>
        <v>רתמות</v>
      </c>
      <c r="S1999" t="str">
        <f>"040"</f>
        <v>040</v>
      </c>
      <c r="T1999" t="str">
        <f>"עמר ליגל"</f>
        <v>עמר ליגל</v>
      </c>
      <c r="U1999">
        <v>0</v>
      </c>
      <c r="V1999">
        <v>0</v>
      </c>
      <c r="W1999">
        <v>712.17</v>
      </c>
      <c r="X1999" s="2">
        <v>1424.34</v>
      </c>
      <c r="Z1999" t="str">
        <f>"Y"</f>
        <v>Y</v>
      </c>
      <c r="AA1999">
        <v>0</v>
      </c>
      <c r="AC1999">
        <v>0</v>
      </c>
      <c r="AE1999">
        <v>0</v>
      </c>
      <c r="AF1999">
        <v>0</v>
      </c>
      <c r="AG1999" s="2">
        <v>2363.69</v>
      </c>
      <c r="AH1999">
        <v>0</v>
      </c>
      <c r="AI1999" s="2">
        <v>4727.38</v>
      </c>
      <c r="AJ1999" s="2">
        <v>1424.34</v>
      </c>
      <c r="AK1999" s="2">
        <v>1424.34</v>
      </c>
      <c r="AL1999" t="str">
        <f>"$"</f>
        <v>$</v>
      </c>
    </row>
    <row r="2000" spans="1:38" x14ac:dyDescent="0.3">
      <c r="A2000" t="str">
        <f>"SO22000346"</f>
        <v>SO22000346</v>
      </c>
      <c r="B2000" t="str">
        <f>"E000372162"</f>
        <v>E000372162</v>
      </c>
      <c r="C2000" t="str">
        <f>"הרכבה חלקית"</f>
        <v>הרכבה חלקית</v>
      </c>
      <c r="E2000" s="3">
        <v>44802</v>
      </c>
      <c r="F2000" s="3">
        <v>44942</v>
      </c>
      <c r="G2000" t="str">
        <f>"700065"</f>
        <v>700065</v>
      </c>
      <c r="H2000" t="str">
        <f>"אלתא מערכות בע""מ"</f>
        <v>אלתא מערכות בע"מ</v>
      </c>
      <c r="I2000" t="str">
        <f>"רחמים זרוק"</f>
        <v>רחמים זרוק</v>
      </c>
      <c r="J2000" t="str">
        <f>"OP-AR03307"</f>
        <v>OP-AR03307</v>
      </c>
      <c r="K2000" s="1" t="str">
        <f>"1035C344-001    HARNESS 3W044 - DATA FROM ENCODER TO ACB"</f>
        <v>1035C344-001    HARNESS 3W044 - DATA FROM ENCODER TO ACB</v>
      </c>
      <c r="L2000">
        <v>2</v>
      </c>
      <c r="M2000" t="str">
        <f>"PR22000592"</f>
        <v>PR22000592</v>
      </c>
      <c r="N2000" t="str">
        <f>"E000372162"</f>
        <v>E000372162</v>
      </c>
      <c r="O2000">
        <v>339.18</v>
      </c>
      <c r="P2000" t="str">
        <f>"$"</f>
        <v>$</v>
      </c>
      <c r="Q2000" t="str">
        <f>"117"</f>
        <v>117</v>
      </c>
      <c r="R2000" t="str">
        <f>"רתמות"</f>
        <v>רתמות</v>
      </c>
      <c r="S2000" t="str">
        <f>"040"</f>
        <v>040</v>
      </c>
      <c r="T2000" t="str">
        <f>"עמר ליגל"</f>
        <v>עמר ליגל</v>
      </c>
      <c r="U2000">
        <v>0</v>
      </c>
      <c r="V2000">
        <v>0</v>
      </c>
      <c r="W2000">
        <v>339.18</v>
      </c>
      <c r="X2000">
        <v>678.36</v>
      </c>
      <c r="Z2000" t="str">
        <f>"Y"</f>
        <v>Y</v>
      </c>
      <c r="AA2000">
        <v>0</v>
      </c>
      <c r="AC2000">
        <v>0</v>
      </c>
      <c r="AE2000">
        <v>0</v>
      </c>
      <c r="AF2000">
        <v>0</v>
      </c>
      <c r="AG2000" s="2">
        <v>1125.74</v>
      </c>
      <c r="AH2000">
        <v>0</v>
      </c>
      <c r="AI2000" s="2">
        <v>2251.48</v>
      </c>
      <c r="AJ2000">
        <v>678.36</v>
      </c>
      <c r="AK2000">
        <v>678.36</v>
      </c>
      <c r="AL2000" t="str">
        <f>"$"</f>
        <v>$</v>
      </c>
    </row>
    <row r="2001" spans="1:38" x14ac:dyDescent="0.3">
      <c r="A2001" t="str">
        <f>"SO22000346"</f>
        <v>SO22000346</v>
      </c>
      <c r="B2001" t="str">
        <f>"E000372162"</f>
        <v>E000372162</v>
      </c>
      <c r="C2001" t="str">
        <f>"הרכבה חלקית"</f>
        <v>הרכבה חלקית</v>
      </c>
      <c r="E2001" s="3">
        <v>44802</v>
      </c>
      <c r="F2001" s="3">
        <v>44942</v>
      </c>
      <c r="G2001" t="str">
        <f>"700065"</f>
        <v>700065</v>
      </c>
      <c r="H2001" t="str">
        <f>"אלתא מערכות בע""מ"</f>
        <v>אלתא מערכות בע"מ</v>
      </c>
      <c r="I2001" t="str">
        <f>"רחמים זרוק"</f>
        <v>רחמים זרוק</v>
      </c>
      <c r="J2001" t="str">
        <f>"OP-AR03308"</f>
        <v>OP-AR03308</v>
      </c>
      <c r="K2001" s="1" t="str">
        <f>"1035C345-003    HARNESS 3W045 - COMM. FROM RSU TO SPR AN"</f>
        <v>1035C345-003    HARNESS 3W045 - COMM. FROM RSU TO SPR AN</v>
      </c>
      <c r="L2001">
        <v>2</v>
      </c>
      <c r="M2001" t="str">
        <f>"PR22000592"</f>
        <v>PR22000592</v>
      </c>
      <c r="N2001" t="str">
        <f>"E000372162"</f>
        <v>E000372162</v>
      </c>
      <c r="O2001" s="2">
        <v>1199.99</v>
      </c>
      <c r="P2001" t="str">
        <f>"$"</f>
        <v>$</v>
      </c>
      <c r="Q2001" t="str">
        <f>"117"</f>
        <v>117</v>
      </c>
      <c r="R2001" t="str">
        <f>"רתמות"</f>
        <v>רתמות</v>
      </c>
      <c r="S2001" t="str">
        <f>"040"</f>
        <v>040</v>
      </c>
      <c r="T2001" t="str">
        <f>"עמר ליגל"</f>
        <v>עמר ליגל</v>
      </c>
      <c r="U2001">
        <v>0</v>
      </c>
      <c r="V2001">
        <v>0</v>
      </c>
      <c r="W2001" s="2">
        <v>1199.99</v>
      </c>
      <c r="X2001" s="2">
        <v>2399.98</v>
      </c>
      <c r="Z2001" t="str">
        <f>"Y"</f>
        <v>Y</v>
      </c>
      <c r="AA2001">
        <v>0</v>
      </c>
      <c r="AC2001">
        <v>0</v>
      </c>
      <c r="AE2001">
        <v>0</v>
      </c>
      <c r="AF2001">
        <v>0</v>
      </c>
      <c r="AG2001" s="2">
        <v>3982.77</v>
      </c>
      <c r="AH2001">
        <v>0</v>
      </c>
      <c r="AI2001" s="2">
        <v>7965.53</v>
      </c>
      <c r="AJ2001" s="2">
        <v>2399.98</v>
      </c>
      <c r="AK2001" s="2">
        <v>2399.98</v>
      </c>
      <c r="AL2001" t="str">
        <f>"$"</f>
        <v>$</v>
      </c>
    </row>
    <row r="2002" spans="1:38" x14ac:dyDescent="0.3">
      <c r="A2002" t="str">
        <f>"SO22000346"</f>
        <v>SO22000346</v>
      </c>
      <c r="B2002" t="str">
        <f>"E000372162"</f>
        <v>E000372162</v>
      </c>
      <c r="C2002" t="str">
        <f>"הרכבה חלקית"</f>
        <v>הרכבה חלקית</v>
      </c>
      <c r="E2002" s="3">
        <v>44802</v>
      </c>
      <c r="F2002" s="3">
        <v>44942</v>
      </c>
      <c r="G2002" t="str">
        <f>"700065"</f>
        <v>700065</v>
      </c>
      <c r="H2002" t="str">
        <f>"אלתא מערכות בע""מ"</f>
        <v>אלתא מערכות בע"מ</v>
      </c>
      <c r="I2002" t="str">
        <f>"רחמים זרוק"</f>
        <v>רחמים זרוק</v>
      </c>
      <c r="J2002" t="str">
        <f>"OP-AR03309"</f>
        <v>OP-AR03309</v>
      </c>
      <c r="K2002" s="1" t="str">
        <f>"1035C350-001    HARNESS 3W050 - ETHERNET FROM/TO PDU TO/"</f>
        <v>1035C350-001    HARNESS 3W050 - ETHERNET FROM/TO PDU TO/</v>
      </c>
      <c r="L2002">
        <v>2</v>
      </c>
      <c r="M2002" t="str">
        <f>"PR22000592"</f>
        <v>PR22000592</v>
      </c>
      <c r="N2002" t="str">
        <f>"E000372162"</f>
        <v>E000372162</v>
      </c>
      <c r="O2002">
        <v>677.99</v>
      </c>
      <c r="P2002" t="str">
        <f>"$"</f>
        <v>$</v>
      </c>
      <c r="Q2002" t="str">
        <f>"117"</f>
        <v>117</v>
      </c>
      <c r="R2002" t="str">
        <f>"רתמות"</f>
        <v>רתמות</v>
      </c>
      <c r="S2002" t="str">
        <f>"040"</f>
        <v>040</v>
      </c>
      <c r="T2002" t="str">
        <f>"עמר ליגל"</f>
        <v>עמר ליגל</v>
      </c>
      <c r="U2002">
        <v>0</v>
      </c>
      <c r="V2002">
        <v>0</v>
      </c>
      <c r="W2002">
        <v>677.99</v>
      </c>
      <c r="X2002" s="2">
        <v>1355.98</v>
      </c>
      <c r="Z2002" t="str">
        <f>"Y"</f>
        <v>Y</v>
      </c>
      <c r="AA2002">
        <v>0</v>
      </c>
      <c r="AC2002">
        <v>0</v>
      </c>
      <c r="AE2002">
        <v>0</v>
      </c>
      <c r="AF2002">
        <v>0</v>
      </c>
      <c r="AG2002" s="2">
        <v>2250.25</v>
      </c>
      <c r="AH2002">
        <v>0</v>
      </c>
      <c r="AI2002" s="2">
        <v>4500.5</v>
      </c>
      <c r="AJ2002" s="2">
        <v>1355.98</v>
      </c>
      <c r="AK2002" s="2">
        <v>1355.98</v>
      </c>
      <c r="AL2002" t="str">
        <f>"$"</f>
        <v>$</v>
      </c>
    </row>
    <row r="2003" spans="1:38" x14ac:dyDescent="0.3">
      <c r="A2003" t="str">
        <f>"SO22000346"</f>
        <v>SO22000346</v>
      </c>
      <c r="B2003" t="str">
        <f>"E000372162"</f>
        <v>E000372162</v>
      </c>
      <c r="C2003" t="str">
        <f>"הרכבה חלקית"</f>
        <v>הרכבה חלקית</v>
      </c>
      <c r="E2003" s="3">
        <v>44802</v>
      </c>
      <c r="F2003" s="3">
        <v>44942</v>
      </c>
      <c r="G2003" t="str">
        <f>"700065"</f>
        <v>700065</v>
      </c>
      <c r="H2003" t="str">
        <f>"אלתא מערכות בע""מ"</f>
        <v>אלתא מערכות בע"מ</v>
      </c>
      <c r="I2003" t="str">
        <f>"רחמים זרוק"</f>
        <v>רחמים זרוק</v>
      </c>
      <c r="J2003" t="str">
        <f>"OP-AR03310"</f>
        <v>OP-AR03310</v>
      </c>
      <c r="K2003" s="1" t="str">
        <f>"1035C351-001    HARNESS 3W051 - ETHERNET FROM/TO RSU TO/"</f>
        <v>1035C351-001    HARNESS 3W051 - ETHERNET FROM/TO RSU TO/</v>
      </c>
      <c r="L2003">
        <v>2</v>
      </c>
      <c r="M2003" t="str">
        <f>"PR22000592"</f>
        <v>PR22000592</v>
      </c>
      <c r="N2003" t="str">
        <f>"E000372162"</f>
        <v>E000372162</v>
      </c>
      <c r="O2003">
        <v>372.79</v>
      </c>
      <c r="P2003" t="str">
        <f>"$"</f>
        <v>$</v>
      </c>
      <c r="Q2003" t="str">
        <f>"117"</f>
        <v>117</v>
      </c>
      <c r="R2003" t="str">
        <f>"רתמות"</f>
        <v>רתמות</v>
      </c>
      <c r="S2003" t="str">
        <f>"040"</f>
        <v>040</v>
      </c>
      <c r="T2003" t="str">
        <f>"עמר ליגל"</f>
        <v>עמר ליגל</v>
      </c>
      <c r="U2003">
        <v>0</v>
      </c>
      <c r="V2003">
        <v>0</v>
      </c>
      <c r="W2003">
        <v>372.79</v>
      </c>
      <c r="X2003">
        <v>745.58</v>
      </c>
      <c r="Z2003" t="str">
        <f>"Y"</f>
        <v>Y</v>
      </c>
      <c r="AA2003">
        <v>0</v>
      </c>
      <c r="AC2003">
        <v>0</v>
      </c>
      <c r="AE2003">
        <v>0</v>
      </c>
      <c r="AF2003">
        <v>0</v>
      </c>
      <c r="AG2003" s="2">
        <v>1237.29</v>
      </c>
      <c r="AH2003">
        <v>0</v>
      </c>
      <c r="AI2003" s="2">
        <v>2474.58</v>
      </c>
      <c r="AJ2003">
        <v>745.58</v>
      </c>
      <c r="AK2003">
        <v>745.58</v>
      </c>
      <c r="AL2003" t="str">
        <f>"$"</f>
        <v>$</v>
      </c>
    </row>
    <row r="2004" spans="1:38" x14ac:dyDescent="0.3">
      <c r="A2004" t="str">
        <f>"SO22000346"</f>
        <v>SO22000346</v>
      </c>
      <c r="B2004" t="str">
        <f>"E000372162"</f>
        <v>E000372162</v>
      </c>
      <c r="C2004" t="str">
        <f>"הרכבה חלקית"</f>
        <v>הרכבה חלקית</v>
      </c>
      <c r="E2004" s="3">
        <v>44802</v>
      </c>
      <c r="F2004" s="3">
        <v>44942</v>
      </c>
      <c r="G2004" t="str">
        <f>"700065"</f>
        <v>700065</v>
      </c>
      <c r="H2004" t="str">
        <f>"אלתא מערכות בע""מ"</f>
        <v>אלתא מערכות בע"מ</v>
      </c>
      <c r="I2004" t="str">
        <f>"רחמים זרוק"</f>
        <v>רחמים זרוק</v>
      </c>
      <c r="J2004" t="str">
        <f>"OP-AR03311"</f>
        <v>OP-AR03311</v>
      </c>
      <c r="K2004" s="1" t="str">
        <f>"1035C352-001    HARNESS 3W052 - ETHERNET FROM/TO RSU TO/"</f>
        <v>1035C352-001    HARNESS 3W052 - ETHERNET FROM/TO RSU TO/</v>
      </c>
      <c r="L2004">
        <v>2</v>
      </c>
      <c r="M2004" t="str">
        <f>"PR22000592"</f>
        <v>PR22000592</v>
      </c>
      <c r="N2004" t="str">
        <f>"E000372162"</f>
        <v>E000372162</v>
      </c>
      <c r="O2004">
        <v>817.07</v>
      </c>
      <c r="P2004" t="str">
        <f>"$"</f>
        <v>$</v>
      </c>
      <c r="Q2004" t="str">
        <f>"117"</f>
        <v>117</v>
      </c>
      <c r="R2004" t="str">
        <f>"רתמות"</f>
        <v>רתמות</v>
      </c>
      <c r="S2004" t="str">
        <f>"040"</f>
        <v>040</v>
      </c>
      <c r="T2004" t="str">
        <f>"עמר ליגל"</f>
        <v>עמר ליגל</v>
      </c>
      <c r="U2004">
        <v>0</v>
      </c>
      <c r="V2004">
        <v>0</v>
      </c>
      <c r="W2004">
        <v>817.07</v>
      </c>
      <c r="X2004" s="2">
        <v>1634.14</v>
      </c>
      <c r="Z2004" t="str">
        <f>"Y"</f>
        <v>Y</v>
      </c>
      <c r="AA2004">
        <v>0</v>
      </c>
      <c r="AC2004">
        <v>0</v>
      </c>
      <c r="AE2004">
        <v>0</v>
      </c>
      <c r="AF2004">
        <v>0</v>
      </c>
      <c r="AG2004" s="2">
        <v>2711.86</v>
      </c>
      <c r="AH2004">
        <v>0</v>
      </c>
      <c r="AI2004" s="2">
        <v>5423.71</v>
      </c>
      <c r="AJ2004" s="2">
        <v>1634.14</v>
      </c>
      <c r="AK2004" s="2">
        <v>1634.14</v>
      </c>
      <c r="AL2004" t="str">
        <f>"$"</f>
        <v>$</v>
      </c>
    </row>
    <row r="2005" spans="1:38" x14ac:dyDescent="0.3">
      <c r="A2005" t="str">
        <f>"SO22000346"</f>
        <v>SO22000346</v>
      </c>
      <c r="B2005" t="str">
        <f>"E000372162"</f>
        <v>E000372162</v>
      </c>
      <c r="C2005" t="str">
        <f>"הרכבה חלקית"</f>
        <v>הרכבה חלקית</v>
      </c>
      <c r="E2005" s="3">
        <v>44802</v>
      </c>
      <c r="F2005" s="3">
        <v>44942</v>
      </c>
      <c r="G2005" t="str">
        <f>"700065"</f>
        <v>700065</v>
      </c>
      <c r="H2005" t="str">
        <f>"אלתא מערכות בע""מ"</f>
        <v>אלתא מערכות בע"מ</v>
      </c>
      <c r="I2005" t="str">
        <f>"רחמים זרוק"</f>
        <v>רחמים זרוק</v>
      </c>
      <c r="J2005" t="str">
        <f>"OP-AR03312"</f>
        <v>OP-AR03312</v>
      </c>
      <c r="K2005" s="1" t="str">
        <f>"1035C353-001    HARNESS 3W053 - RS422 SIGNALS and ETHERN"</f>
        <v>1035C353-001    HARNESS 3W053 - RS422 SIGNALS and ETHERN</v>
      </c>
      <c r="L2005">
        <v>2</v>
      </c>
      <c r="M2005" t="str">
        <f>"PR22000592"</f>
        <v>PR22000592</v>
      </c>
      <c r="N2005" t="str">
        <f>"E000372162"</f>
        <v>E000372162</v>
      </c>
      <c r="O2005">
        <v>852.47</v>
      </c>
      <c r="P2005" t="str">
        <f>"$"</f>
        <v>$</v>
      </c>
      <c r="Q2005" t="str">
        <f>"117"</f>
        <v>117</v>
      </c>
      <c r="R2005" t="str">
        <f>"רתמות"</f>
        <v>רתמות</v>
      </c>
      <c r="S2005" t="str">
        <f>"040"</f>
        <v>040</v>
      </c>
      <c r="T2005" t="str">
        <f>"עמר ליגל"</f>
        <v>עמר ליגל</v>
      </c>
      <c r="U2005">
        <v>0</v>
      </c>
      <c r="V2005">
        <v>0</v>
      </c>
      <c r="W2005">
        <v>852.47</v>
      </c>
      <c r="X2005" s="2">
        <v>1704.94</v>
      </c>
      <c r="Z2005" t="str">
        <f>"Y"</f>
        <v>Y</v>
      </c>
      <c r="AA2005">
        <v>0</v>
      </c>
      <c r="AC2005">
        <v>0</v>
      </c>
      <c r="AE2005">
        <v>0</v>
      </c>
      <c r="AF2005">
        <v>0</v>
      </c>
      <c r="AG2005" s="2">
        <v>2829.35</v>
      </c>
      <c r="AH2005">
        <v>0</v>
      </c>
      <c r="AI2005" s="2">
        <v>5658.7</v>
      </c>
      <c r="AJ2005" s="2">
        <v>1704.94</v>
      </c>
      <c r="AK2005" s="2">
        <v>1704.94</v>
      </c>
      <c r="AL2005" t="str">
        <f>"$"</f>
        <v>$</v>
      </c>
    </row>
    <row r="2006" spans="1:38" x14ac:dyDescent="0.3">
      <c r="A2006" t="str">
        <f>"SO22000346"</f>
        <v>SO22000346</v>
      </c>
      <c r="B2006" t="str">
        <f>"E000372162"</f>
        <v>E000372162</v>
      </c>
      <c r="C2006" t="str">
        <f>"הרכבה חלקית"</f>
        <v>הרכבה חלקית</v>
      </c>
      <c r="E2006" s="3">
        <v>44802</v>
      </c>
      <c r="F2006" s="3">
        <v>44942</v>
      </c>
      <c r="G2006" t="str">
        <f>"700065"</f>
        <v>700065</v>
      </c>
      <c r="H2006" t="str">
        <f>"אלתא מערכות בע""מ"</f>
        <v>אלתא מערכות בע"מ</v>
      </c>
      <c r="I2006" t="str">
        <f>"רחמים זרוק"</f>
        <v>רחמים זרוק</v>
      </c>
      <c r="J2006" t="str">
        <f>"OP-AR03313"</f>
        <v>OP-AR03313</v>
      </c>
      <c r="K2006" s="1" t="str">
        <f>"1035C354-001    HARNESS 3W054 - ETHERNET FROM/TO PDU TO"</f>
        <v>1035C354-001    HARNESS 3W054 - ETHERNET FROM/TO PDU TO</v>
      </c>
      <c r="L2006">
        <v>2</v>
      </c>
      <c r="M2006" t="str">
        <f>"PR22000592"</f>
        <v>PR22000592</v>
      </c>
      <c r="N2006" t="str">
        <f>"E000372162"</f>
        <v>E000372162</v>
      </c>
      <c r="O2006">
        <v>327.08999999999997</v>
      </c>
      <c r="P2006" t="str">
        <f>"$"</f>
        <v>$</v>
      </c>
      <c r="Q2006" t="str">
        <f>"117"</f>
        <v>117</v>
      </c>
      <c r="R2006" t="str">
        <f>"רתמות"</f>
        <v>רתמות</v>
      </c>
      <c r="S2006" t="str">
        <f>"040"</f>
        <v>040</v>
      </c>
      <c r="T2006" t="str">
        <f>"עמר ליגל"</f>
        <v>עמר ליגל</v>
      </c>
      <c r="U2006">
        <v>0</v>
      </c>
      <c r="V2006">
        <v>0</v>
      </c>
      <c r="W2006">
        <v>327.08999999999997</v>
      </c>
      <c r="X2006">
        <v>654.17999999999995</v>
      </c>
      <c r="Z2006" t="str">
        <f>"Y"</f>
        <v>Y</v>
      </c>
      <c r="AA2006">
        <v>0</v>
      </c>
      <c r="AC2006">
        <v>0</v>
      </c>
      <c r="AE2006">
        <v>0</v>
      </c>
      <c r="AF2006">
        <v>0</v>
      </c>
      <c r="AG2006" s="2">
        <v>1085.6099999999999</v>
      </c>
      <c r="AH2006">
        <v>0</v>
      </c>
      <c r="AI2006" s="2">
        <v>2171.2199999999998</v>
      </c>
      <c r="AJ2006">
        <v>654.17999999999995</v>
      </c>
      <c r="AK2006">
        <v>654.17999999999995</v>
      </c>
      <c r="AL2006" t="str">
        <f>"$"</f>
        <v>$</v>
      </c>
    </row>
    <row r="2007" spans="1:38" x14ac:dyDescent="0.3">
      <c r="A2007" t="str">
        <f>"SO22000346"</f>
        <v>SO22000346</v>
      </c>
      <c r="B2007" t="str">
        <f>"E000372162"</f>
        <v>E000372162</v>
      </c>
      <c r="C2007" t="str">
        <f>"הרכבה חלקית"</f>
        <v>הרכבה חלקית</v>
      </c>
      <c r="E2007" s="3">
        <v>44802</v>
      </c>
      <c r="F2007" s="3">
        <v>45061</v>
      </c>
      <c r="G2007" t="str">
        <f>"700065"</f>
        <v>700065</v>
      </c>
      <c r="H2007" t="str">
        <f>"אלתא מערכות בע""מ"</f>
        <v>אלתא מערכות בע"מ</v>
      </c>
      <c r="I2007" t="str">
        <f>"רחמים זרוק"</f>
        <v>רחמים זרוק</v>
      </c>
      <c r="J2007" t="str">
        <f>"000"</f>
        <v>000</v>
      </c>
      <c r="K2007" s="1" t="str">
        <f>"R161.311.300W חיוב MOQ"</f>
        <v>R161.311.300W חיוב MOQ</v>
      </c>
      <c r="L2007">
        <v>4</v>
      </c>
      <c r="O2007">
        <v>54</v>
      </c>
      <c r="P2007" t="str">
        <f>"$"</f>
        <v>$</v>
      </c>
      <c r="Q2007" t="str">
        <f>"117"</f>
        <v>117</v>
      </c>
      <c r="R2007" t="str">
        <f>"רתמות"</f>
        <v>רתמות</v>
      </c>
      <c r="S2007" t="str">
        <f>"040"</f>
        <v>040</v>
      </c>
      <c r="T2007" t="str">
        <f>"עמר ליגל"</f>
        <v>עמר ליגל</v>
      </c>
      <c r="U2007">
        <v>0</v>
      </c>
      <c r="V2007">
        <v>0</v>
      </c>
      <c r="W2007">
        <v>54</v>
      </c>
      <c r="X2007">
        <v>216</v>
      </c>
      <c r="AA2007">
        <v>4</v>
      </c>
      <c r="AC2007">
        <v>0</v>
      </c>
      <c r="AE2007">
        <v>0</v>
      </c>
      <c r="AF2007">
        <v>0</v>
      </c>
      <c r="AG2007">
        <v>179.23</v>
      </c>
      <c r="AH2007">
        <v>0</v>
      </c>
      <c r="AI2007">
        <v>716.9</v>
      </c>
      <c r="AJ2007">
        <v>216</v>
      </c>
      <c r="AK2007">
        <v>216</v>
      </c>
      <c r="AL2007" t="str">
        <f>"$"</f>
        <v>$</v>
      </c>
    </row>
    <row r="2008" spans="1:38" x14ac:dyDescent="0.3">
      <c r="A2008" t="str">
        <f>"SO22000349"</f>
        <v>SO22000349</v>
      </c>
      <c r="B2008" t="str">
        <f>"פריטים לאספקה"</f>
        <v>פריטים לאספקה</v>
      </c>
      <c r="C2008" t="str">
        <f>"בוצעה"</f>
        <v>בוצעה</v>
      </c>
      <c r="E2008" s="3">
        <v>44810</v>
      </c>
      <c r="F2008" s="3">
        <v>44810</v>
      </c>
      <c r="G2008" t="str">
        <f>"700065"</f>
        <v>700065</v>
      </c>
      <c r="H2008" t="str">
        <f>"אלתא מערכות בע""מ"</f>
        <v>אלתא מערכות בע"מ</v>
      </c>
      <c r="I2008" t="str">
        <f>"רוני דידי"</f>
        <v>רוני דידי</v>
      </c>
      <c r="J2008" t="str">
        <f>"PA1000944"</f>
        <v>PA1000944</v>
      </c>
      <c r="K2008" s="1" t="str">
        <f>"קוטב למצבר (-) 3535"</f>
        <v>קוטב למצבר (-) 3535</v>
      </c>
      <c r="L2008">
        <v>2</v>
      </c>
      <c r="M2008" t="str">
        <f>"PR21000189"</f>
        <v>PR21000189</v>
      </c>
      <c r="N2008" t="str">
        <f>"BATTERY BOX אפור"</f>
        <v>BATTERY BOX אפור</v>
      </c>
      <c r="O2008">
        <v>0</v>
      </c>
      <c r="P2008" t="str">
        <f>"$"</f>
        <v>$</v>
      </c>
      <c r="Q2008" t="str">
        <f>"111"</f>
        <v>111</v>
      </c>
      <c r="R2008" t="str">
        <f>"מכירה"</f>
        <v>מכירה</v>
      </c>
      <c r="S2008" t="str">
        <f>"007"</f>
        <v>007</v>
      </c>
      <c r="T2008" t="str">
        <f>"עמר ליגל"</f>
        <v>עמר ליגל</v>
      </c>
      <c r="U2008">
        <v>0</v>
      </c>
      <c r="V2008">
        <v>0</v>
      </c>
      <c r="W2008">
        <v>0</v>
      </c>
      <c r="X2008">
        <v>0</v>
      </c>
      <c r="Z2008" t="str">
        <f>"Y"</f>
        <v>Y</v>
      </c>
      <c r="AA2008">
        <v>0</v>
      </c>
      <c r="AC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 t="str">
        <f>"$"</f>
        <v>$</v>
      </c>
    </row>
    <row r="2009" spans="1:38" x14ac:dyDescent="0.3">
      <c r="A2009" t="str">
        <f>"SO22000349"</f>
        <v>SO22000349</v>
      </c>
      <c r="B2009" t="str">
        <f>"פריטים לאספקה"</f>
        <v>פריטים לאספקה</v>
      </c>
      <c r="C2009" t="str">
        <f>"בוצעה"</f>
        <v>בוצעה</v>
      </c>
      <c r="E2009" s="3">
        <v>44810</v>
      </c>
      <c r="F2009" s="3">
        <v>44810</v>
      </c>
      <c r="G2009" t="str">
        <f>"700065"</f>
        <v>700065</v>
      </c>
      <c r="H2009" t="str">
        <f>"אלתא מערכות בע""מ"</f>
        <v>אלתא מערכות בע"מ</v>
      </c>
      <c r="I2009" t="str">
        <f>"רוני דידי"</f>
        <v>רוני דידי</v>
      </c>
      <c r="J2009" t="str">
        <f>"PA1000943"</f>
        <v>PA1000943</v>
      </c>
      <c r="K2009" s="1" t="str">
        <f>"קוטב למצבר + 3534"</f>
        <v>קוטב למצבר + 3534</v>
      </c>
      <c r="L2009">
        <v>2</v>
      </c>
      <c r="O2009">
        <v>0</v>
      </c>
      <c r="P2009" t="str">
        <f>"$"</f>
        <v>$</v>
      </c>
      <c r="Q2009" t="str">
        <f>"111"</f>
        <v>111</v>
      </c>
      <c r="R2009" t="str">
        <f>"מכירה"</f>
        <v>מכירה</v>
      </c>
      <c r="S2009" t="str">
        <f>"007"</f>
        <v>007</v>
      </c>
      <c r="T2009" t="str">
        <f>"עמר ליגל"</f>
        <v>עמר ליגל</v>
      </c>
      <c r="U2009">
        <v>0</v>
      </c>
      <c r="V2009">
        <v>0</v>
      </c>
      <c r="W2009">
        <v>0</v>
      </c>
      <c r="X2009">
        <v>0</v>
      </c>
      <c r="Z2009" t="str">
        <f>"Y"</f>
        <v>Y</v>
      </c>
      <c r="AA2009">
        <v>0</v>
      </c>
      <c r="AC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 t="str">
        <f>"$"</f>
        <v>$</v>
      </c>
    </row>
    <row r="2010" spans="1:38" x14ac:dyDescent="0.3">
      <c r="A2010" t="str">
        <f>"SO22000354"</f>
        <v>SO22000354</v>
      </c>
      <c r="B2010" t="str">
        <f>"E000373403"</f>
        <v>E000373403</v>
      </c>
      <c r="C2010" t="str">
        <f>"בוצעה"</f>
        <v>בוצעה</v>
      </c>
      <c r="E2010" s="3">
        <v>44816</v>
      </c>
      <c r="F2010" s="3">
        <v>44910</v>
      </c>
      <c r="G2010" t="str">
        <f>"700065"</f>
        <v>700065</v>
      </c>
      <c r="H2010" t="str">
        <f>"אלתא מערכות בע""מ"</f>
        <v>אלתא מערכות בע"מ</v>
      </c>
      <c r="I2010" t="str">
        <f>"רחמים זרוק"</f>
        <v>רחמים זרוק</v>
      </c>
      <c r="J2010" t="str">
        <f>"OP-AR03325"</f>
        <v>OP-AR03325</v>
      </c>
      <c r="K2010" s="1" t="str">
        <f>"2223B634-001    ELM2054-ATE CHAMBER TO DRAWER HARNESS"</f>
        <v>2223B634-001    ELM2054-ATE CHAMBER TO DRAWER HARNESS</v>
      </c>
      <c r="L2010">
        <v>3</v>
      </c>
      <c r="M2010" t="str">
        <f>"PR22000607"</f>
        <v>PR22000607</v>
      </c>
      <c r="N2010" t="str">
        <f>"E000373403"</f>
        <v>E000373403</v>
      </c>
      <c r="O2010">
        <v>632.5</v>
      </c>
      <c r="P2010" t="str">
        <f>"$"</f>
        <v>$</v>
      </c>
      <c r="Q2010" t="str">
        <f>"117"</f>
        <v>117</v>
      </c>
      <c r="R2010" t="str">
        <f>"רתמות"</f>
        <v>רתמות</v>
      </c>
      <c r="S2010" t="str">
        <f>"040"</f>
        <v>040</v>
      </c>
      <c r="T2010" t="str">
        <f>"עמר ליגל"</f>
        <v>עמר ליגל</v>
      </c>
      <c r="U2010">
        <v>0</v>
      </c>
      <c r="V2010">
        <v>0</v>
      </c>
      <c r="W2010">
        <v>632.5</v>
      </c>
      <c r="X2010" s="2">
        <v>1897.5</v>
      </c>
      <c r="Z2010" t="str">
        <f>"Y"</f>
        <v>Y</v>
      </c>
      <c r="AA2010">
        <v>0</v>
      </c>
      <c r="AC2010">
        <v>0</v>
      </c>
      <c r="AE2010">
        <v>0</v>
      </c>
      <c r="AF2010">
        <v>0</v>
      </c>
      <c r="AG2010" s="2">
        <v>2145.44</v>
      </c>
      <c r="AH2010">
        <v>0</v>
      </c>
      <c r="AI2010" s="2">
        <v>6436.32</v>
      </c>
      <c r="AJ2010" s="2">
        <v>1897.5</v>
      </c>
      <c r="AK2010" s="2">
        <v>1897.5</v>
      </c>
      <c r="AL2010" t="str">
        <f>"$"</f>
        <v>$</v>
      </c>
    </row>
    <row r="2011" spans="1:38" x14ac:dyDescent="0.3">
      <c r="A2011" t="str">
        <f>"SO22000354"</f>
        <v>SO22000354</v>
      </c>
      <c r="B2011" t="str">
        <f>"E000373403"</f>
        <v>E000373403</v>
      </c>
      <c r="C2011" t="str">
        <f>"בוצעה"</f>
        <v>בוצעה</v>
      </c>
      <c r="E2011" s="3">
        <v>44816</v>
      </c>
      <c r="F2011" s="3">
        <v>44910</v>
      </c>
      <c r="G2011" t="str">
        <f>"700065"</f>
        <v>700065</v>
      </c>
      <c r="H2011" t="str">
        <f>"אלתא מערכות בע""מ"</f>
        <v>אלתא מערכות בע"מ</v>
      </c>
      <c r="I2011" t="str">
        <f>"רחמים זרוק"</f>
        <v>רחמים זרוק</v>
      </c>
      <c r="J2011" t="str">
        <f>"OP-AR03326"</f>
        <v>OP-AR03326</v>
      </c>
      <c r="K2011" s="1" t="str">
        <f>"2223B636-001    ELM2054-ATE UUTJ1 TO CHAMBER J4"</f>
        <v>2223B636-001    ELM2054-ATE UUTJ1 TO CHAMBER J4</v>
      </c>
      <c r="L2011">
        <v>3</v>
      </c>
      <c r="M2011" t="str">
        <f>"PR22000607"</f>
        <v>PR22000607</v>
      </c>
      <c r="N2011" t="str">
        <f>"E000373403"</f>
        <v>E000373403</v>
      </c>
      <c r="O2011">
        <v>352.7</v>
      </c>
      <c r="P2011" t="str">
        <f>"$"</f>
        <v>$</v>
      </c>
      <c r="Q2011" t="str">
        <f>"117"</f>
        <v>117</v>
      </c>
      <c r="R2011" t="str">
        <f>"רתמות"</f>
        <v>רתמות</v>
      </c>
      <c r="S2011" t="str">
        <f>"040"</f>
        <v>040</v>
      </c>
      <c r="T2011" t="str">
        <f>"עמר ליגל"</f>
        <v>עמר ליגל</v>
      </c>
      <c r="U2011">
        <v>0</v>
      </c>
      <c r="V2011">
        <v>0</v>
      </c>
      <c r="W2011">
        <v>352.7</v>
      </c>
      <c r="X2011" s="2">
        <v>1058.0999999999999</v>
      </c>
      <c r="Z2011" t="str">
        <f>"Y"</f>
        <v>Y</v>
      </c>
      <c r="AA2011">
        <v>0</v>
      </c>
      <c r="AC2011">
        <v>0</v>
      </c>
      <c r="AE2011">
        <v>0</v>
      </c>
      <c r="AF2011">
        <v>0</v>
      </c>
      <c r="AG2011" s="2">
        <v>1196.3599999999999</v>
      </c>
      <c r="AH2011">
        <v>0</v>
      </c>
      <c r="AI2011" s="2">
        <v>3589.08</v>
      </c>
      <c r="AJ2011" s="2">
        <v>1058.0999999999999</v>
      </c>
      <c r="AK2011" s="2">
        <v>1058.0999999999999</v>
      </c>
      <c r="AL2011" t="str">
        <f>"$"</f>
        <v>$</v>
      </c>
    </row>
    <row r="2012" spans="1:38" x14ac:dyDescent="0.3">
      <c r="A2012" t="str">
        <f>"SO22000354"</f>
        <v>SO22000354</v>
      </c>
      <c r="B2012" t="str">
        <f>"E000373403"</f>
        <v>E000373403</v>
      </c>
      <c r="C2012" t="str">
        <f>"בוצעה"</f>
        <v>בוצעה</v>
      </c>
      <c r="E2012" s="3">
        <v>44816</v>
      </c>
      <c r="F2012" s="3">
        <v>44910</v>
      </c>
      <c r="G2012" t="str">
        <f>"700065"</f>
        <v>700065</v>
      </c>
      <c r="H2012" t="str">
        <f>"אלתא מערכות בע""מ"</f>
        <v>אלתא מערכות בע"מ</v>
      </c>
      <c r="I2012" t="str">
        <f>"רחמים זרוק"</f>
        <v>רחמים זרוק</v>
      </c>
      <c r="J2012" t="str">
        <f>"OP-AR03327"</f>
        <v>OP-AR03327</v>
      </c>
      <c r="K2012" s="1" t="str">
        <f>"2223B638-001    ELM2054-ATE UUTJ2 TO CHAMBER J5"</f>
        <v>2223B638-001    ELM2054-ATE UUTJ2 TO CHAMBER J5</v>
      </c>
      <c r="L2012">
        <v>3</v>
      </c>
      <c r="M2012" t="str">
        <f>"PR22000607"</f>
        <v>PR22000607</v>
      </c>
      <c r="N2012" t="str">
        <f>"E000373403"</f>
        <v>E000373403</v>
      </c>
      <c r="O2012">
        <v>473.5</v>
      </c>
      <c r="P2012" t="str">
        <f>"$"</f>
        <v>$</v>
      </c>
      <c r="Q2012" t="str">
        <f>"117"</f>
        <v>117</v>
      </c>
      <c r="R2012" t="str">
        <f>"רתמות"</f>
        <v>רתמות</v>
      </c>
      <c r="S2012" t="str">
        <f>"040"</f>
        <v>040</v>
      </c>
      <c r="T2012" t="str">
        <f>"עמר ליגל"</f>
        <v>עמר ליגל</v>
      </c>
      <c r="U2012">
        <v>0</v>
      </c>
      <c r="V2012">
        <v>0</v>
      </c>
      <c r="W2012">
        <v>473.5</v>
      </c>
      <c r="X2012" s="2">
        <v>1420.5</v>
      </c>
      <c r="Z2012" t="str">
        <f>"Y"</f>
        <v>Y</v>
      </c>
      <c r="AA2012">
        <v>0</v>
      </c>
      <c r="AC2012">
        <v>0</v>
      </c>
      <c r="AE2012">
        <v>0</v>
      </c>
      <c r="AF2012">
        <v>0</v>
      </c>
      <c r="AG2012" s="2">
        <v>1606.11</v>
      </c>
      <c r="AH2012">
        <v>0</v>
      </c>
      <c r="AI2012" s="2">
        <v>4818.34</v>
      </c>
      <c r="AJ2012" s="2">
        <v>1420.5</v>
      </c>
      <c r="AK2012" s="2">
        <v>1420.5</v>
      </c>
      <c r="AL2012" t="str">
        <f>"$"</f>
        <v>$</v>
      </c>
    </row>
    <row r="2013" spans="1:38" x14ac:dyDescent="0.3">
      <c r="A2013" t="str">
        <f>"SO22000354"</f>
        <v>SO22000354</v>
      </c>
      <c r="B2013" t="str">
        <f>"E000373403"</f>
        <v>E000373403</v>
      </c>
      <c r="C2013" t="str">
        <f>"בוצעה"</f>
        <v>בוצעה</v>
      </c>
      <c r="E2013" s="3">
        <v>44816</v>
      </c>
      <c r="F2013" s="3">
        <v>44910</v>
      </c>
      <c r="G2013" t="str">
        <f>"700065"</f>
        <v>700065</v>
      </c>
      <c r="H2013" t="str">
        <f>"אלתא מערכות בע""מ"</f>
        <v>אלתא מערכות בע"מ</v>
      </c>
      <c r="I2013" t="str">
        <f>"רחמים זרוק"</f>
        <v>רחמים זרוק</v>
      </c>
      <c r="J2013" t="str">
        <f>"OP-AR03328"</f>
        <v>OP-AR03328</v>
      </c>
      <c r="K2013" s="1" t="str">
        <f>"2223B640-001    ELM-2054 ADAR ATE COMM AND UUT POWER TO"</f>
        <v>2223B640-001    ELM-2054 ADAR ATE COMM AND UUT POWER TO</v>
      </c>
      <c r="L2013">
        <v>3</v>
      </c>
      <c r="M2013" t="str">
        <f>"PR22000607"</f>
        <v>PR22000607</v>
      </c>
      <c r="N2013" t="str">
        <f>"E000373403"</f>
        <v>E000373403</v>
      </c>
      <c r="O2013">
        <v>345.8</v>
      </c>
      <c r="P2013" t="str">
        <f>"$"</f>
        <v>$</v>
      </c>
      <c r="Q2013" t="str">
        <f>"117"</f>
        <v>117</v>
      </c>
      <c r="R2013" t="str">
        <f>"רתמות"</f>
        <v>רתמות</v>
      </c>
      <c r="S2013" t="str">
        <f>"040"</f>
        <v>040</v>
      </c>
      <c r="T2013" t="str">
        <f>"עמר ליגל"</f>
        <v>עמר ליגל</v>
      </c>
      <c r="U2013">
        <v>0</v>
      </c>
      <c r="V2013">
        <v>0</v>
      </c>
      <c r="W2013">
        <v>345.8</v>
      </c>
      <c r="X2013" s="2">
        <v>1037.4000000000001</v>
      </c>
      <c r="Z2013" t="str">
        <f>"Y"</f>
        <v>Y</v>
      </c>
      <c r="AA2013">
        <v>0</v>
      </c>
      <c r="AC2013">
        <v>0</v>
      </c>
      <c r="AE2013">
        <v>0</v>
      </c>
      <c r="AF2013">
        <v>0</v>
      </c>
      <c r="AG2013" s="2">
        <v>1172.95</v>
      </c>
      <c r="AH2013">
        <v>0</v>
      </c>
      <c r="AI2013" s="2">
        <v>3518.86</v>
      </c>
      <c r="AJ2013" s="2">
        <v>1037.4000000000001</v>
      </c>
      <c r="AK2013" s="2">
        <v>1037.4000000000001</v>
      </c>
      <c r="AL2013" t="str">
        <f>"$"</f>
        <v>$</v>
      </c>
    </row>
    <row r="2014" spans="1:38" x14ac:dyDescent="0.3">
      <c r="A2014" t="str">
        <f>"SO22000355"</f>
        <v>SO22000355</v>
      </c>
      <c r="B2014" t="str">
        <f>"E000374107"</f>
        <v>E000374107</v>
      </c>
      <c r="C2014" t="str">
        <f>"בוצעה"</f>
        <v>בוצעה</v>
      </c>
      <c r="E2014" s="3">
        <v>44816</v>
      </c>
      <c r="F2014" s="3">
        <v>44953</v>
      </c>
      <c r="G2014" t="str">
        <f>"700065"</f>
        <v>700065</v>
      </c>
      <c r="H2014" t="str">
        <f>"אלתא מערכות בע""מ"</f>
        <v>אלתא מערכות בע"מ</v>
      </c>
      <c r="I2014" t="str">
        <f>"רחמים זרוק"</f>
        <v>רחמים זרוק</v>
      </c>
      <c r="J2014" t="str">
        <f>"OP-AR03330"</f>
        <v>OP-AR03330</v>
      </c>
      <c r="K2014" s="1" t="str">
        <f>"1036F690-001    BFC POWER CABLE"</f>
        <v>1036F690-001    BFC POWER CABLE</v>
      </c>
      <c r="L2014">
        <v>1</v>
      </c>
      <c r="M2014" t="str">
        <f>"PR22000606"</f>
        <v>PR22000606</v>
      </c>
      <c r="N2014" t="str">
        <f>"E000374107"</f>
        <v>E000374107</v>
      </c>
      <c r="O2014">
        <v>359.2</v>
      </c>
      <c r="P2014" t="str">
        <f>"$"</f>
        <v>$</v>
      </c>
      <c r="Q2014" t="str">
        <f>"117"</f>
        <v>117</v>
      </c>
      <c r="R2014" t="str">
        <f>"רתמות"</f>
        <v>רתמות</v>
      </c>
      <c r="S2014" t="str">
        <f>"040"</f>
        <v>040</v>
      </c>
      <c r="T2014" t="str">
        <f>"עמר ליגל"</f>
        <v>עמר ליגל</v>
      </c>
      <c r="U2014">
        <v>0</v>
      </c>
      <c r="V2014">
        <v>0</v>
      </c>
      <c r="W2014">
        <v>359.2</v>
      </c>
      <c r="X2014">
        <v>359.2</v>
      </c>
      <c r="Z2014" t="str">
        <f>"Y"</f>
        <v>Y</v>
      </c>
      <c r="AA2014">
        <v>0</v>
      </c>
      <c r="AC2014">
        <v>0</v>
      </c>
      <c r="AE2014">
        <v>0</v>
      </c>
      <c r="AF2014">
        <v>0</v>
      </c>
      <c r="AG2014" s="2">
        <v>1218.4100000000001</v>
      </c>
      <c r="AH2014">
        <v>0</v>
      </c>
      <c r="AI2014" s="2">
        <v>1218.4100000000001</v>
      </c>
      <c r="AJ2014">
        <v>359.2</v>
      </c>
      <c r="AK2014">
        <v>359.2</v>
      </c>
      <c r="AL2014" t="str">
        <f>"$"</f>
        <v>$</v>
      </c>
    </row>
    <row r="2015" spans="1:38" x14ac:dyDescent="0.3">
      <c r="A2015" t="str">
        <f>"SO22000355"</f>
        <v>SO22000355</v>
      </c>
      <c r="B2015" t="str">
        <f>"E000374107"</f>
        <v>E000374107</v>
      </c>
      <c r="C2015" t="str">
        <f>"בוצעה"</f>
        <v>בוצעה</v>
      </c>
      <c r="E2015" s="3">
        <v>44816</v>
      </c>
      <c r="F2015" s="3">
        <v>44953</v>
      </c>
      <c r="G2015" t="str">
        <f>"700065"</f>
        <v>700065</v>
      </c>
      <c r="H2015" t="str">
        <f>"אלתא מערכות בע""מ"</f>
        <v>אלתא מערכות בע"מ</v>
      </c>
      <c r="I2015" t="str">
        <f>"רחמים זרוק"</f>
        <v>רחמים זרוק</v>
      </c>
      <c r="J2015" t="str">
        <f>"OP-AR03330"</f>
        <v>OP-AR03330</v>
      </c>
      <c r="K2015" s="1" t="str">
        <f>"1036F690-001    BFC POWER CABLE"</f>
        <v>1036F690-001    BFC POWER CABLE</v>
      </c>
      <c r="L2015">
        <v>1</v>
      </c>
      <c r="M2015" t="str">
        <f>"PR22000606"</f>
        <v>PR22000606</v>
      </c>
      <c r="N2015" t="str">
        <f>"E000374107"</f>
        <v>E000374107</v>
      </c>
      <c r="O2015">
        <v>359.2</v>
      </c>
      <c r="P2015" t="str">
        <f>"$"</f>
        <v>$</v>
      </c>
      <c r="Q2015" t="str">
        <f>"117"</f>
        <v>117</v>
      </c>
      <c r="R2015" t="str">
        <f>"רתמות"</f>
        <v>רתמות</v>
      </c>
      <c r="S2015" t="str">
        <f>"040"</f>
        <v>040</v>
      </c>
      <c r="T2015" t="str">
        <f>"עמר ליגל"</f>
        <v>עמר ליגל</v>
      </c>
      <c r="U2015">
        <v>0</v>
      </c>
      <c r="V2015">
        <v>0</v>
      </c>
      <c r="W2015">
        <v>359.2</v>
      </c>
      <c r="X2015">
        <v>359.2</v>
      </c>
      <c r="Z2015" t="str">
        <f>"Y"</f>
        <v>Y</v>
      </c>
      <c r="AA2015">
        <v>0</v>
      </c>
      <c r="AC2015">
        <v>0</v>
      </c>
      <c r="AE2015">
        <v>0</v>
      </c>
      <c r="AF2015">
        <v>0</v>
      </c>
      <c r="AG2015" s="2">
        <v>1218.4100000000001</v>
      </c>
      <c r="AH2015">
        <v>0</v>
      </c>
      <c r="AI2015" s="2">
        <v>1218.4100000000001</v>
      </c>
      <c r="AJ2015">
        <v>359.2</v>
      </c>
      <c r="AK2015">
        <v>359.2</v>
      </c>
      <c r="AL2015" t="str">
        <f>"$"</f>
        <v>$</v>
      </c>
    </row>
    <row r="2016" spans="1:38" x14ac:dyDescent="0.3">
      <c r="A2016" t="str">
        <f>"SO22000355"</f>
        <v>SO22000355</v>
      </c>
      <c r="B2016" t="str">
        <f>"E000374107"</f>
        <v>E000374107</v>
      </c>
      <c r="C2016" t="str">
        <f>"בוצעה"</f>
        <v>בוצעה</v>
      </c>
      <c r="E2016" s="3">
        <v>44816</v>
      </c>
      <c r="F2016" s="3">
        <v>44953</v>
      </c>
      <c r="G2016" t="str">
        <f>"700065"</f>
        <v>700065</v>
      </c>
      <c r="H2016" t="str">
        <f>"אלתא מערכות בע""מ"</f>
        <v>אלתא מערכות בע"מ</v>
      </c>
      <c r="I2016" t="str">
        <f>"רחמים זרוק"</f>
        <v>רחמים זרוק</v>
      </c>
      <c r="J2016" t="str">
        <f>"OP-AR03331"</f>
        <v>OP-AR03331</v>
      </c>
      <c r="K2016" s="1" t="str">
        <f>"1036F692-001    BFC TEST AND CONTROL CABLE"</f>
        <v>1036F692-001    BFC TEST AND CONTROL CABLE</v>
      </c>
      <c r="L2016">
        <v>1</v>
      </c>
      <c r="M2016" t="str">
        <f>"PR22000606"</f>
        <v>PR22000606</v>
      </c>
      <c r="N2016" t="str">
        <f>"E000374107"</f>
        <v>E000374107</v>
      </c>
      <c r="O2016" s="2">
        <v>1189.75</v>
      </c>
      <c r="P2016" t="str">
        <f>"$"</f>
        <v>$</v>
      </c>
      <c r="Q2016" t="str">
        <f>"117"</f>
        <v>117</v>
      </c>
      <c r="R2016" t="str">
        <f>"רתמות"</f>
        <v>רתמות</v>
      </c>
      <c r="S2016" t="str">
        <f>"040"</f>
        <v>040</v>
      </c>
      <c r="T2016" t="str">
        <f>"עמר ליגל"</f>
        <v>עמר ליגל</v>
      </c>
      <c r="U2016">
        <v>0</v>
      </c>
      <c r="V2016">
        <v>0</v>
      </c>
      <c r="W2016" s="2">
        <v>1189.75</v>
      </c>
      <c r="X2016" s="2">
        <v>1189.75</v>
      </c>
      <c r="Z2016" t="str">
        <f>"Y"</f>
        <v>Y</v>
      </c>
      <c r="AA2016">
        <v>0</v>
      </c>
      <c r="AC2016">
        <v>0</v>
      </c>
      <c r="AE2016">
        <v>0</v>
      </c>
      <c r="AF2016">
        <v>0</v>
      </c>
      <c r="AG2016" s="2">
        <v>4035.63</v>
      </c>
      <c r="AH2016">
        <v>0</v>
      </c>
      <c r="AI2016" s="2">
        <v>4035.63</v>
      </c>
      <c r="AJ2016" s="2">
        <v>1189.75</v>
      </c>
      <c r="AK2016" s="2">
        <v>1189.75</v>
      </c>
      <c r="AL2016" t="str">
        <f>"$"</f>
        <v>$</v>
      </c>
    </row>
    <row r="2017" spans="1:38" x14ac:dyDescent="0.3">
      <c r="A2017" t="str">
        <f>"SO22000355"</f>
        <v>SO22000355</v>
      </c>
      <c r="B2017" t="str">
        <f>"E000374107"</f>
        <v>E000374107</v>
      </c>
      <c r="C2017" t="str">
        <f>"בוצעה"</f>
        <v>בוצעה</v>
      </c>
      <c r="E2017" s="3">
        <v>44816</v>
      </c>
      <c r="F2017" s="3">
        <v>44816</v>
      </c>
      <c r="G2017" t="str">
        <f>"700065"</f>
        <v>700065</v>
      </c>
      <c r="H2017" t="str">
        <f>"אלתא מערכות בע""מ"</f>
        <v>אלתא מערכות בע"מ</v>
      </c>
      <c r="I2017" t="str">
        <f>"רחמים זרוק"</f>
        <v>רחמים זרוק</v>
      </c>
      <c r="J2017" t="str">
        <f>"OP-AR03331"</f>
        <v>OP-AR03331</v>
      </c>
      <c r="K2017" s="1" t="str">
        <f>"1036F692-001    BFC TEST AND CONTROL CABLE"</f>
        <v>1036F692-001    BFC TEST AND CONTROL CABLE</v>
      </c>
      <c r="L2017">
        <v>1</v>
      </c>
      <c r="M2017" t="str">
        <f>"PR22000606"</f>
        <v>PR22000606</v>
      </c>
      <c r="N2017" t="str">
        <f>"E000374107"</f>
        <v>E000374107</v>
      </c>
      <c r="O2017" s="2">
        <v>1189.75</v>
      </c>
      <c r="P2017" t="str">
        <f>"$"</f>
        <v>$</v>
      </c>
      <c r="Q2017" t="str">
        <f>"117"</f>
        <v>117</v>
      </c>
      <c r="R2017" t="str">
        <f>"רתמות"</f>
        <v>רתמות</v>
      </c>
      <c r="S2017" t="str">
        <f>"040"</f>
        <v>040</v>
      </c>
      <c r="T2017" t="str">
        <f>"עמר ליגל"</f>
        <v>עמר ליגל</v>
      </c>
      <c r="U2017">
        <v>0</v>
      </c>
      <c r="V2017">
        <v>0</v>
      </c>
      <c r="W2017" s="2">
        <v>1189.75</v>
      </c>
      <c r="X2017" s="2">
        <v>1189.75</v>
      </c>
      <c r="Z2017" t="str">
        <f>"Y"</f>
        <v>Y</v>
      </c>
      <c r="AA2017">
        <v>0</v>
      </c>
      <c r="AC2017">
        <v>0</v>
      </c>
      <c r="AE2017">
        <v>0</v>
      </c>
      <c r="AF2017">
        <v>0</v>
      </c>
      <c r="AG2017" s="2">
        <v>4035.63</v>
      </c>
      <c r="AH2017">
        <v>0</v>
      </c>
      <c r="AI2017" s="2">
        <v>4035.63</v>
      </c>
      <c r="AJ2017" s="2">
        <v>1189.75</v>
      </c>
      <c r="AK2017" s="2">
        <v>1189.75</v>
      </c>
      <c r="AL2017" t="str">
        <f>"$"</f>
        <v>$</v>
      </c>
    </row>
    <row r="2018" spans="1:38" x14ac:dyDescent="0.3">
      <c r="A2018" t="str">
        <f>"SO22000356"</f>
        <v>SO22000356</v>
      </c>
      <c r="B2018" t="str">
        <f>"E000373398"</f>
        <v>E000373398</v>
      </c>
      <c r="C2018" t="str">
        <f>"הרכבה חלקית"</f>
        <v>הרכבה חלקית</v>
      </c>
      <c r="E2018" s="3">
        <v>44816</v>
      </c>
      <c r="F2018" s="3">
        <v>44972</v>
      </c>
      <c r="G2018" t="str">
        <f>"700065"</f>
        <v>700065</v>
      </c>
      <c r="H2018" t="str">
        <f>"אלתא מערכות בע""מ"</f>
        <v>אלתא מערכות בע"מ</v>
      </c>
      <c r="I2018" t="str">
        <f>"רחמים זרוק"</f>
        <v>רחמים זרוק</v>
      </c>
      <c r="J2018" t="str">
        <f>"OP-AR03202"</f>
        <v>OP-AR03202</v>
      </c>
      <c r="K2018" s="1" t="str">
        <f>"2060B170-001   CABLE ASSY CRW21"</f>
        <v>2060B170-001   CABLE ASSY CRW21</v>
      </c>
      <c r="L2018">
        <v>1</v>
      </c>
      <c r="M2018" t="str">
        <f>"PR22000604"</f>
        <v>PR22000604</v>
      </c>
      <c r="N2018" t="str">
        <f>"E000373398"</f>
        <v>E000373398</v>
      </c>
      <c r="O2018">
        <v>241.26</v>
      </c>
      <c r="P2018" t="str">
        <f>"$"</f>
        <v>$</v>
      </c>
      <c r="Q2018" t="str">
        <f>"117"</f>
        <v>117</v>
      </c>
      <c r="R2018" t="str">
        <f>"רתמות"</f>
        <v>רתמות</v>
      </c>
      <c r="S2018" t="str">
        <f>"040"</f>
        <v>040</v>
      </c>
      <c r="T2018" t="str">
        <f>"עמר ליגל"</f>
        <v>עמר ליגל</v>
      </c>
      <c r="U2018">
        <v>0</v>
      </c>
      <c r="V2018">
        <v>0</v>
      </c>
      <c r="W2018">
        <v>241.26</v>
      </c>
      <c r="X2018">
        <v>241.26</v>
      </c>
      <c r="Z2018" t="str">
        <f>"Y"</f>
        <v>Y</v>
      </c>
      <c r="AA2018">
        <v>0</v>
      </c>
      <c r="AC2018">
        <v>0</v>
      </c>
      <c r="AE2018">
        <v>0</v>
      </c>
      <c r="AF2018">
        <v>0</v>
      </c>
      <c r="AG2018">
        <v>818.35</v>
      </c>
      <c r="AH2018">
        <v>0</v>
      </c>
      <c r="AI2018">
        <v>818.35</v>
      </c>
      <c r="AJ2018">
        <v>241.26</v>
      </c>
      <c r="AK2018">
        <v>241.26</v>
      </c>
      <c r="AL2018" t="str">
        <f>"$"</f>
        <v>$</v>
      </c>
    </row>
    <row r="2019" spans="1:38" x14ac:dyDescent="0.3">
      <c r="A2019" t="str">
        <f>"SO22000356"</f>
        <v>SO22000356</v>
      </c>
      <c r="B2019" t="str">
        <f>"E000373398"</f>
        <v>E000373398</v>
      </c>
      <c r="C2019" t="str">
        <f>"הרכבה חלקית"</f>
        <v>הרכבה חלקית</v>
      </c>
      <c r="E2019" s="3">
        <v>44816</v>
      </c>
      <c r="F2019" s="3">
        <v>44972</v>
      </c>
      <c r="G2019" t="str">
        <f>"700065"</f>
        <v>700065</v>
      </c>
      <c r="H2019" t="str">
        <f>"אלתא מערכות בע""מ"</f>
        <v>אלתא מערכות בע"מ</v>
      </c>
      <c r="I2019" t="str">
        <f>"רחמים זרוק"</f>
        <v>רחמים זרוק</v>
      </c>
      <c r="J2019" t="str">
        <f>"OP-AR03324"</f>
        <v>OP-AR03324</v>
      </c>
      <c r="K2019" s="1" t="str">
        <f>"2060B171-002  CABLE ASSY CRW22"</f>
        <v>2060B171-002  CABLE ASSY CRW22</v>
      </c>
      <c r="L2019">
        <v>1</v>
      </c>
      <c r="M2019" t="str">
        <f>"PR22000604"</f>
        <v>PR22000604</v>
      </c>
      <c r="N2019" t="str">
        <f>"E000373398"</f>
        <v>E000373398</v>
      </c>
      <c r="O2019">
        <v>620.36</v>
      </c>
      <c r="P2019" t="str">
        <f>"$"</f>
        <v>$</v>
      </c>
      <c r="Q2019" t="str">
        <f>"117"</f>
        <v>117</v>
      </c>
      <c r="R2019" t="str">
        <f>"רתמות"</f>
        <v>רתמות</v>
      </c>
      <c r="S2019" t="str">
        <f>"040"</f>
        <v>040</v>
      </c>
      <c r="T2019" t="str">
        <f>"עמר ליגל"</f>
        <v>עמר ליגל</v>
      </c>
      <c r="U2019">
        <v>0</v>
      </c>
      <c r="V2019">
        <v>0</v>
      </c>
      <c r="W2019">
        <v>620.36</v>
      </c>
      <c r="X2019">
        <v>620.36</v>
      </c>
      <c r="Z2019" t="str">
        <f>"Y"</f>
        <v>Y</v>
      </c>
      <c r="AA2019">
        <v>0</v>
      </c>
      <c r="AC2019">
        <v>0</v>
      </c>
      <c r="AE2019">
        <v>0</v>
      </c>
      <c r="AF2019">
        <v>0</v>
      </c>
      <c r="AG2019" s="2">
        <v>2104.2600000000002</v>
      </c>
      <c r="AH2019">
        <v>0</v>
      </c>
      <c r="AI2019" s="2">
        <v>2104.2600000000002</v>
      </c>
      <c r="AJ2019">
        <v>620.36</v>
      </c>
      <c r="AK2019">
        <v>620.36</v>
      </c>
      <c r="AL2019" t="str">
        <f>"$"</f>
        <v>$</v>
      </c>
    </row>
    <row r="2020" spans="1:38" x14ac:dyDescent="0.3">
      <c r="A2020" t="str">
        <f>"SO22000356"</f>
        <v>SO22000356</v>
      </c>
      <c r="B2020" t="str">
        <f>"E000373398"</f>
        <v>E000373398</v>
      </c>
      <c r="C2020" t="str">
        <f>"הרכבה חלקית"</f>
        <v>הרכבה חלקית</v>
      </c>
      <c r="E2020" s="3">
        <v>44816</v>
      </c>
      <c r="F2020" s="3">
        <v>44972</v>
      </c>
      <c r="G2020" t="str">
        <f>"700065"</f>
        <v>700065</v>
      </c>
      <c r="H2020" t="str">
        <f>"אלתא מערכות בע""מ"</f>
        <v>אלתא מערכות בע"מ</v>
      </c>
      <c r="I2020" t="str">
        <f>"רחמים זרוק"</f>
        <v>רחמים זרוק</v>
      </c>
      <c r="J2020" t="str">
        <f>"OP-AR03319"</f>
        <v>OP-AR03319</v>
      </c>
      <c r="K2020" s="1" t="str">
        <f>"2091B108-001    CABLE ASSY TRW310"</f>
        <v>2091B108-001    CABLE ASSY TRW310</v>
      </c>
      <c r="L2020">
        <v>2</v>
      </c>
      <c r="M2020" t="str">
        <f>"PR22000604"</f>
        <v>PR22000604</v>
      </c>
      <c r="N2020" t="str">
        <f>"E000373398"</f>
        <v>E000373398</v>
      </c>
      <c r="O2020" s="2">
        <v>1791.69</v>
      </c>
      <c r="P2020" t="str">
        <f>"$"</f>
        <v>$</v>
      </c>
      <c r="Q2020" t="str">
        <f>"117"</f>
        <v>117</v>
      </c>
      <c r="R2020" t="str">
        <f>"רתמות"</f>
        <v>רתמות</v>
      </c>
      <c r="S2020" t="str">
        <f>"040"</f>
        <v>040</v>
      </c>
      <c r="T2020" t="str">
        <f>"עמר ליגל"</f>
        <v>עמר ליגל</v>
      </c>
      <c r="U2020">
        <v>0</v>
      </c>
      <c r="V2020">
        <v>0</v>
      </c>
      <c r="W2020" s="2">
        <v>1791.69</v>
      </c>
      <c r="X2020" s="2">
        <v>3583.38</v>
      </c>
      <c r="Z2020" t="str">
        <f>"Y"</f>
        <v>Y</v>
      </c>
      <c r="AA2020">
        <v>0</v>
      </c>
      <c r="AC2020">
        <v>0</v>
      </c>
      <c r="AE2020">
        <v>0</v>
      </c>
      <c r="AF2020">
        <v>0</v>
      </c>
      <c r="AG2020" s="2">
        <v>6077.41</v>
      </c>
      <c r="AH2020">
        <v>0</v>
      </c>
      <c r="AI2020" s="2">
        <v>12154.82</v>
      </c>
      <c r="AJ2020" s="2">
        <v>3583.38</v>
      </c>
      <c r="AK2020" s="2">
        <v>3583.38</v>
      </c>
      <c r="AL2020" t="str">
        <f>"$"</f>
        <v>$</v>
      </c>
    </row>
    <row r="2021" spans="1:38" x14ac:dyDescent="0.3">
      <c r="A2021" t="str">
        <f>"SO22000356"</f>
        <v>SO22000356</v>
      </c>
      <c r="B2021" t="str">
        <f>"E000373398"</f>
        <v>E000373398</v>
      </c>
      <c r="C2021" t="str">
        <f>"הרכבה חלקית"</f>
        <v>הרכבה חלקית</v>
      </c>
      <c r="E2021" s="3">
        <v>44816</v>
      </c>
      <c r="F2021" s="3">
        <v>44972</v>
      </c>
      <c r="G2021" t="str">
        <f>"700065"</f>
        <v>700065</v>
      </c>
      <c r="H2021" t="str">
        <f>"אלתא מערכות בע""מ"</f>
        <v>אלתא מערכות בע"מ</v>
      </c>
      <c r="I2021" t="str">
        <f>"רחמים זרוק"</f>
        <v>רחמים זרוק</v>
      </c>
      <c r="J2021" t="str">
        <f>"OP-AR03320"</f>
        <v>OP-AR03320</v>
      </c>
      <c r="K2021" s="1" t="str">
        <f>"2091B110-001    CABLE ASSY TRW311"</f>
        <v>2091B110-001    CABLE ASSY TRW311</v>
      </c>
      <c r="L2021">
        <v>2</v>
      </c>
      <c r="M2021" t="str">
        <f>"PR22000604"</f>
        <v>PR22000604</v>
      </c>
      <c r="N2021" t="str">
        <f>"E000373398"</f>
        <v>E000373398</v>
      </c>
      <c r="O2021" s="2">
        <v>1830.44</v>
      </c>
      <c r="P2021" t="str">
        <f>"$"</f>
        <v>$</v>
      </c>
      <c r="Q2021" t="str">
        <f>"117"</f>
        <v>117</v>
      </c>
      <c r="R2021" t="str">
        <f>"רתמות"</f>
        <v>רתמות</v>
      </c>
      <c r="S2021" t="str">
        <f>"040"</f>
        <v>040</v>
      </c>
      <c r="T2021" t="str">
        <f>"עמר ליגל"</f>
        <v>עמר ליגל</v>
      </c>
      <c r="U2021">
        <v>0</v>
      </c>
      <c r="V2021">
        <v>0</v>
      </c>
      <c r="W2021" s="2">
        <v>1830.44</v>
      </c>
      <c r="X2021" s="2">
        <v>3660.88</v>
      </c>
      <c r="Z2021" t="str">
        <f>"Y"</f>
        <v>Y</v>
      </c>
      <c r="AA2021">
        <v>0</v>
      </c>
      <c r="AC2021">
        <v>0</v>
      </c>
      <c r="AE2021">
        <v>0</v>
      </c>
      <c r="AF2021">
        <v>0</v>
      </c>
      <c r="AG2021" s="2">
        <v>6208.85</v>
      </c>
      <c r="AH2021">
        <v>0</v>
      </c>
      <c r="AI2021" s="2">
        <v>12417.7</v>
      </c>
      <c r="AJ2021" s="2">
        <v>3660.88</v>
      </c>
      <c r="AK2021" s="2">
        <v>3660.88</v>
      </c>
      <c r="AL2021" t="str">
        <f>"$"</f>
        <v>$</v>
      </c>
    </row>
    <row r="2022" spans="1:38" x14ac:dyDescent="0.3">
      <c r="A2022" t="str">
        <f>"SO22000356"</f>
        <v>SO22000356</v>
      </c>
      <c r="B2022" t="str">
        <f>"E000373398"</f>
        <v>E000373398</v>
      </c>
      <c r="C2022" t="str">
        <f>"הרכבה חלקית"</f>
        <v>הרכבה חלקית</v>
      </c>
      <c r="E2022" s="3">
        <v>44816</v>
      </c>
      <c r="F2022" s="3">
        <v>44972</v>
      </c>
      <c r="G2022" t="str">
        <f>"700065"</f>
        <v>700065</v>
      </c>
      <c r="H2022" t="str">
        <f>"אלתא מערכות בע""מ"</f>
        <v>אלתא מערכות בע"מ</v>
      </c>
      <c r="I2022" t="str">
        <f>"רחמים זרוק"</f>
        <v>רחמים זרוק</v>
      </c>
      <c r="J2022" t="str">
        <f>"OP-AR03321"</f>
        <v>OP-AR03321</v>
      </c>
      <c r="K2022" s="1" t="str">
        <f>"2091B452-001    IF VERT JIG CABLE ASSY"</f>
        <v>2091B452-001    IF VERT JIG CABLE ASSY</v>
      </c>
      <c r="L2022">
        <v>1</v>
      </c>
      <c r="M2022" t="str">
        <f>"PR22000604"</f>
        <v>PR22000604</v>
      </c>
      <c r="N2022" t="str">
        <f>"E000373398"</f>
        <v>E000373398</v>
      </c>
      <c r="O2022" s="2">
        <v>3323.75</v>
      </c>
      <c r="P2022" t="str">
        <f>"$"</f>
        <v>$</v>
      </c>
      <c r="Q2022" t="str">
        <f>"117"</f>
        <v>117</v>
      </c>
      <c r="R2022" t="str">
        <f>"רתמות"</f>
        <v>רתמות</v>
      </c>
      <c r="S2022" t="str">
        <f>"040"</f>
        <v>040</v>
      </c>
      <c r="T2022" t="str">
        <f>"עמר ליגל"</f>
        <v>עמר ליגל</v>
      </c>
      <c r="U2022">
        <v>0</v>
      </c>
      <c r="V2022">
        <v>0</v>
      </c>
      <c r="W2022" s="2">
        <v>3323.75</v>
      </c>
      <c r="X2022" s="2">
        <v>3323.75</v>
      </c>
      <c r="Z2022" t="str">
        <f>"Y"</f>
        <v>Y</v>
      </c>
      <c r="AA2022">
        <v>0</v>
      </c>
      <c r="AC2022">
        <v>0</v>
      </c>
      <c r="AE2022">
        <v>0</v>
      </c>
      <c r="AF2022">
        <v>0</v>
      </c>
      <c r="AG2022" s="2">
        <v>11274.16</v>
      </c>
      <c r="AH2022">
        <v>0</v>
      </c>
      <c r="AI2022" s="2">
        <v>11274.16</v>
      </c>
      <c r="AJ2022" s="2">
        <v>3323.75</v>
      </c>
      <c r="AK2022" s="2">
        <v>3323.75</v>
      </c>
      <c r="AL2022" t="str">
        <f>"$"</f>
        <v>$</v>
      </c>
    </row>
    <row r="2023" spans="1:38" x14ac:dyDescent="0.3">
      <c r="A2023" t="str">
        <f>"SO22000356"</f>
        <v>SO22000356</v>
      </c>
      <c r="B2023" t="str">
        <f>"E000373398"</f>
        <v>E000373398</v>
      </c>
      <c r="C2023" t="str">
        <f>"הרכבה חלקית"</f>
        <v>הרכבה חלקית</v>
      </c>
      <c r="E2023" s="3">
        <v>44816</v>
      </c>
      <c r="F2023" s="3">
        <v>44972</v>
      </c>
      <c r="G2023" t="str">
        <f>"700065"</f>
        <v>700065</v>
      </c>
      <c r="H2023" t="str">
        <f>"אלתא מערכות בע""מ"</f>
        <v>אלתא מערכות בע"מ</v>
      </c>
      <c r="I2023" t="str">
        <f>"רחמים זרוק"</f>
        <v>רחמים זרוק</v>
      </c>
      <c r="J2023" t="str">
        <f>"OP-AR03322"</f>
        <v>OP-AR03322</v>
      </c>
      <c r="K2023" s="1" t="str">
        <f>"2227B374-001    SARLA-ESS-RP-J6 CABLE ASSY"</f>
        <v>2227B374-001    SARLA-ESS-RP-J6 CABLE ASSY</v>
      </c>
      <c r="L2023">
        <v>1</v>
      </c>
      <c r="M2023" t="str">
        <f>"PR22000604"</f>
        <v>PR22000604</v>
      </c>
      <c r="N2023" t="str">
        <f>"E000373398"</f>
        <v>E000373398</v>
      </c>
      <c r="O2023">
        <v>418.13</v>
      </c>
      <c r="P2023" t="str">
        <f>"$"</f>
        <v>$</v>
      </c>
      <c r="Q2023" t="str">
        <f>"117"</f>
        <v>117</v>
      </c>
      <c r="R2023" t="str">
        <f>"רתמות"</f>
        <v>רתמות</v>
      </c>
      <c r="S2023" t="str">
        <f>"040"</f>
        <v>040</v>
      </c>
      <c r="T2023" t="str">
        <f>"עמר ליגל"</f>
        <v>עמר ליגל</v>
      </c>
      <c r="U2023">
        <v>0</v>
      </c>
      <c r="V2023">
        <v>0</v>
      </c>
      <c r="W2023">
        <v>418.13</v>
      </c>
      <c r="X2023">
        <v>418.13</v>
      </c>
      <c r="Z2023" t="str">
        <f>"Y"</f>
        <v>Y</v>
      </c>
      <c r="AA2023">
        <v>0</v>
      </c>
      <c r="AC2023">
        <v>0</v>
      </c>
      <c r="AE2023">
        <v>0</v>
      </c>
      <c r="AF2023">
        <v>0</v>
      </c>
      <c r="AG2023" s="2">
        <v>1418.3</v>
      </c>
      <c r="AH2023">
        <v>0</v>
      </c>
      <c r="AI2023" s="2">
        <v>1418.3</v>
      </c>
      <c r="AJ2023">
        <v>418.13</v>
      </c>
      <c r="AK2023">
        <v>418.13</v>
      </c>
      <c r="AL2023" t="str">
        <f>"$"</f>
        <v>$</v>
      </c>
    </row>
    <row r="2024" spans="1:38" x14ac:dyDescent="0.3">
      <c r="A2024" t="str">
        <f>"SO22000356"</f>
        <v>SO22000356</v>
      </c>
      <c r="B2024" t="str">
        <f>"E000373398"</f>
        <v>E000373398</v>
      </c>
      <c r="C2024" t="str">
        <f>"הרכבה חלקית"</f>
        <v>הרכבה חלקית</v>
      </c>
      <c r="E2024" s="3">
        <v>44816</v>
      </c>
      <c r="F2024" s="3">
        <v>44972</v>
      </c>
      <c r="G2024" t="str">
        <f>"700065"</f>
        <v>700065</v>
      </c>
      <c r="H2024" t="str">
        <f>"אלתא מערכות בע""מ"</f>
        <v>אלתא מערכות בע"מ</v>
      </c>
      <c r="I2024" t="str">
        <f>"רחמים זרוק"</f>
        <v>רחמים זרוק</v>
      </c>
      <c r="J2024" t="str">
        <f>"OP-AR03323"</f>
        <v>OP-AR03323</v>
      </c>
      <c r="K2024" s="1" t="str">
        <f>"2227B376-001    SARLA-ESS-RP-J5 CABLE ASSY"</f>
        <v>2227B376-001    SARLA-ESS-RP-J5 CABLE ASSY</v>
      </c>
      <c r="L2024">
        <v>1</v>
      </c>
      <c r="M2024" t="str">
        <f>"PR22000604"</f>
        <v>PR22000604</v>
      </c>
      <c r="N2024" t="str">
        <f>"E000373398"</f>
        <v>E000373398</v>
      </c>
      <c r="O2024">
        <v>482.63</v>
      </c>
      <c r="P2024" t="str">
        <f>"$"</f>
        <v>$</v>
      </c>
      <c r="Q2024" t="str">
        <f>"117"</f>
        <v>117</v>
      </c>
      <c r="R2024" t="str">
        <f>"רתמות"</f>
        <v>רתמות</v>
      </c>
      <c r="S2024" t="str">
        <f>"040"</f>
        <v>040</v>
      </c>
      <c r="T2024" t="str">
        <f>"עמר ליגל"</f>
        <v>עמר ליגל</v>
      </c>
      <c r="U2024">
        <v>0</v>
      </c>
      <c r="V2024">
        <v>0</v>
      </c>
      <c r="W2024">
        <v>482.63</v>
      </c>
      <c r="X2024">
        <v>482.63</v>
      </c>
      <c r="Z2024" t="str">
        <f>"Y"</f>
        <v>Y</v>
      </c>
      <c r="AA2024">
        <v>0</v>
      </c>
      <c r="AC2024">
        <v>0</v>
      </c>
      <c r="AE2024">
        <v>0</v>
      </c>
      <c r="AF2024">
        <v>0</v>
      </c>
      <c r="AG2024" s="2">
        <v>1637.08</v>
      </c>
      <c r="AH2024">
        <v>0</v>
      </c>
      <c r="AI2024" s="2">
        <v>1637.08</v>
      </c>
      <c r="AJ2024">
        <v>482.63</v>
      </c>
      <c r="AK2024">
        <v>482.63</v>
      </c>
      <c r="AL2024" t="str">
        <f>"$"</f>
        <v>$</v>
      </c>
    </row>
    <row r="2025" spans="1:38" x14ac:dyDescent="0.3">
      <c r="A2025" t="str">
        <f>"SO22000357"</f>
        <v>SO22000357</v>
      </c>
      <c r="B2025" t="str">
        <f>"E000373714"</f>
        <v>E000373714</v>
      </c>
      <c r="C2025" t="str">
        <f>"בוצעה"</f>
        <v>בוצעה</v>
      </c>
      <c r="E2025" s="3">
        <v>44816</v>
      </c>
      <c r="F2025" s="3">
        <v>44910</v>
      </c>
      <c r="G2025" t="str">
        <f>"700065"</f>
        <v>700065</v>
      </c>
      <c r="H2025" t="str">
        <f>"אלתא מערכות בע""מ"</f>
        <v>אלתא מערכות בע"מ</v>
      </c>
      <c r="I2025" t="str">
        <f>"רחמים זרוק"</f>
        <v>רחמים זרוק</v>
      </c>
      <c r="J2025" t="str">
        <f>"CB1100227"</f>
        <v>CB1100227</v>
      </c>
      <c r="K2025" s="1" t="str">
        <f>"AC SUPPLY CONTROL BOX 230V FEED CABLE"</f>
        <v>AC SUPPLY CONTROL BOX 230V FEED CABLE</v>
      </c>
      <c r="L2025">
        <v>2</v>
      </c>
      <c r="M2025" t="str">
        <f>"PR22000602"</f>
        <v>PR22000602</v>
      </c>
      <c r="N2025" t="str">
        <f>"AC SUPPLY CONTROL BOX FEED CABLE"</f>
        <v>AC SUPPLY CONTROL BOX FEED CABLE</v>
      </c>
      <c r="O2025">
        <v>578</v>
      </c>
      <c r="P2025" t="str">
        <f>"$"</f>
        <v>$</v>
      </c>
      <c r="Q2025" t="str">
        <f>"117"</f>
        <v>117</v>
      </c>
      <c r="R2025" t="str">
        <f>"רתמות"</f>
        <v>רתמות</v>
      </c>
      <c r="S2025" t="str">
        <f>"040"</f>
        <v>040</v>
      </c>
      <c r="T2025" t="str">
        <f>"עמר ליגל"</f>
        <v>עמר ליגל</v>
      </c>
      <c r="U2025">
        <v>0</v>
      </c>
      <c r="V2025">
        <v>0</v>
      </c>
      <c r="W2025">
        <v>578</v>
      </c>
      <c r="X2025" s="2">
        <v>1156</v>
      </c>
      <c r="Z2025" t="str">
        <f>"Y"</f>
        <v>Y</v>
      </c>
      <c r="AA2025">
        <v>0</v>
      </c>
      <c r="AC2025">
        <v>0</v>
      </c>
      <c r="AE2025">
        <v>0</v>
      </c>
      <c r="AF2025">
        <v>0</v>
      </c>
      <c r="AG2025" s="2">
        <v>1960.58</v>
      </c>
      <c r="AH2025">
        <v>0</v>
      </c>
      <c r="AI2025" s="2">
        <v>3921.15</v>
      </c>
      <c r="AJ2025" s="2">
        <v>1156</v>
      </c>
      <c r="AK2025" s="2">
        <v>1156</v>
      </c>
      <c r="AL2025" t="str">
        <f>"$"</f>
        <v>$</v>
      </c>
    </row>
    <row r="2026" spans="1:38" x14ac:dyDescent="0.3">
      <c r="A2026" t="str">
        <f>"SO22000358"</f>
        <v>SO22000358</v>
      </c>
      <c r="B2026" t="str">
        <f>"E000374105"</f>
        <v>E000374105</v>
      </c>
      <c r="C2026" t="str">
        <f>"בוצעה"</f>
        <v>בוצעה</v>
      </c>
      <c r="E2026" s="3">
        <v>44816</v>
      </c>
      <c r="F2026" s="3">
        <v>44953</v>
      </c>
      <c r="G2026" t="str">
        <f>"700065"</f>
        <v>700065</v>
      </c>
      <c r="H2026" t="str">
        <f>"אלתא מערכות בע""מ"</f>
        <v>אלתא מערכות בע"מ</v>
      </c>
      <c r="I2026" t="str">
        <f>"רחמים זרוק"</f>
        <v>רחמים זרוק</v>
      </c>
      <c r="J2026" t="str">
        <f>"OP-AR03316"</f>
        <v>OP-AR03316</v>
      </c>
      <c r="K2026" s="1" t="str">
        <f>"2218B540-001   PANEL TO GTRA PS CABLE"</f>
        <v>2218B540-001   PANEL TO GTRA PS CABLE</v>
      </c>
      <c r="L2026">
        <v>1</v>
      </c>
      <c r="M2026" t="str">
        <f>"PR22000603"</f>
        <v>PR22000603</v>
      </c>
      <c r="N2026" t="str">
        <f>"E000374105"</f>
        <v>E000374105</v>
      </c>
      <c r="O2026">
        <v>492.11</v>
      </c>
      <c r="P2026" t="str">
        <f>"$"</f>
        <v>$</v>
      </c>
      <c r="Q2026" t="str">
        <f>"117"</f>
        <v>117</v>
      </c>
      <c r="R2026" t="str">
        <f>"רתמות"</f>
        <v>רתמות</v>
      </c>
      <c r="S2026" t="str">
        <f>"040"</f>
        <v>040</v>
      </c>
      <c r="T2026" t="str">
        <f>"עמר ליגל"</f>
        <v>עמר ליגל</v>
      </c>
      <c r="U2026">
        <v>0</v>
      </c>
      <c r="V2026">
        <v>0</v>
      </c>
      <c r="W2026">
        <v>492.11</v>
      </c>
      <c r="X2026">
        <v>492.11</v>
      </c>
      <c r="Z2026" t="str">
        <f>"Y"</f>
        <v>Y</v>
      </c>
      <c r="AA2026">
        <v>0</v>
      </c>
      <c r="AC2026">
        <v>0</v>
      </c>
      <c r="AE2026">
        <v>0</v>
      </c>
      <c r="AF2026">
        <v>0</v>
      </c>
      <c r="AG2026" s="2">
        <v>1669.24</v>
      </c>
      <c r="AH2026">
        <v>0</v>
      </c>
      <c r="AI2026" s="2">
        <v>1669.24</v>
      </c>
      <c r="AJ2026">
        <v>492.11</v>
      </c>
      <c r="AK2026">
        <v>492.11</v>
      </c>
      <c r="AL2026" t="str">
        <f>"$"</f>
        <v>$</v>
      </c>
    </row>
    <row r="2027" spans="1:38" x14ac:dyDescent="0.3">
      <c r="A2027" t="str">
        <f>"SO22000358"</f>
        <v>SO22000358</v>
      </c>
      <c r="B2027" t="str">
        <f>"E000374105"</f>
        <v>E000374105</v>
      </c>
      <c r="C2027" t="str">
        <f>"בוצעה"</f>
        <v>בוצעה</v>
      </c>
      <c r="E2027" s="3">
        <v>44816</v>
      </c>
      <c r="F2027" s="3">
        <v>44953</v>
      </c>
      <c r="G2027" t="str">
        <f>"700065"</f>
        <v>700065</v>
      </c>
      <c r="H2027" t="str">
        <f>"אלתא מערכות בע""מ"</f>
        <v>אלתא מערכות בע"מ</v>
      </c>
      <c r="I2027" t="str">
        <f>"רחמים זרוק"</f>
        <v>רחמים זרוק</v>
      </c>
      <c r="J2027" t="str">
        <f>"OP-AR03317"</f>
        <v>OP-AR03317</v>
      </c>
      <c r="K2027" s="1" t="str">
        <f>"2218B542-001   PANEL TO FE PS CABLE"</f>
        <v>2218B542-001   PANEL TO FE PS CABLE</v>
      </c>
      <c r="L2027">
        <v>1</v>
      </c>
      <c r="M2027" t="str">
        <f>"PR22000603"</f>
        <v>PR22000603</v>
      </c>
      <c r="N2027" t="str">
        <f>"E000374105"</f>
        <v>E000374105</v>
      </c>
      <c r="O2027">
        <v>871.3</v>
      </c>
      <c r="P2027" t="str">
        <f>"$"</f>
        <v>$</v>
      </c>
      <c r="Q2027" t="str">
        <f>"117"</f>
        <v>117</v>
      </c>
      <c r="R2027" t="str">
        <f>"רתמות"</f>
        <v>רתמות</v>
      </c>
      <c r="S2027" t="str">
        <f>"040"</f>
        <v>040</v>
      </c>
      <c r="T2027" t="str">
        <f>"עמר ליגל"</f>
        <v>עמר ליגל</v>
      </c>
      <c r="U2027">
        <v>0</v>
      </c>
      <c r="V2027">
        <v>0</v>
      </c>
      <c r="W2027">
        <v>871.3</v>
      </c>
      <c r="X2027">
        <v>871.3</v>
      </c>
      <c r="Z2027" t="str">
        <f>"Y"</f>
        <v>Y</v>
      </c>
      <c r="AA2027">
        <v>0</v>
      </c>
      <c r="AC2027">
        <v>0</v>
      </c>
      <c r="AE2027">
        <v>0</v>
      </c>
      <c r="AF2027">
        <v>0</v>
      </c>
      <c r="AG2027" s="2">
        <v>2955.45</v>
      </c>
      <c r="AH2027">
        <v>0</v>
      </c>
      <c r="AI2027" s="2">
        <v>2955.45</v>
      </c>
      <c r="AJ2027">
        <v>871.3</v>
      </c>
      <c r="AK2027">
        <v>871.3</v>
      </c>
      <c r="AL2027" t="str">
        <f>"$"</f>
        <v>$</v>
      </c>
    </row>
    <row r="2028" spans="1:38" x14ac:dyDescent="0.3">
      <c r="A2028" t="str">
        <f>"SO22000358"</f>
        <v>SO22000358</v>
      </c>
      <c r="B2028" t="str">
        <f>"E000374105"</f>
        <v>E000374105</v>
      </c>
      <c r="C2028" t="str">
        <f>"בוצעה"</f>
        <v>בוצעה</v>
      </c>
      <c r="E2028" s="3">
        <v>44816</v>
      </c>
      <c r="F2028" s="3">
        <v>44953</v>
      </c>
      <c r="G2028" t="str">
        <f>"700065"</f>
        <v>700065</v>
      </c>
      <c r="H2028" t="str">
        <f>"אלתא מערכות בע""מ"</f>
        <v>אלתא מערכות בע"מ</v>
      </c>
      <c r="I2028" t="str">
        <f>"רחמים זרוק"</f>
        <v>רחמים זרוק</v>
      </c>
      <c r="J2028" t="str">
        <f>"OP-AR03318"</f>
        <v>OP-AR03318</v>
      </c>
      <c r="K2028" s="1" t="str">
        <f>"2218B544-001   PANEL TO FE SIGNALS CABLE"</f>
        <v>2218B544-001   PANEL TO FE SIGNALS CABLE</v>
      </c>
      <c r="L2028">
        <v>1</v>
      </c>
      <c r="M2028" t="str">
        <f>"PR22000603"</f>
        <v>PR22000603</v>
      </c>
      <c r="N2028" t="str">
        <f>"E000374105"</f>
        <v>E000374105</v>
      </c>
      <c r="O2028">
        <v>752.13</v>
      </c>
      <c r="P2028" t="str">
        <f>"$"</f>
        <v>$</v>
      </c>
      <c r="Q2028" t="str">
        <f>"117"</f>
        <v>117</v>
      </c>
      <c r="R2028" t="str">
        <f>"רתמות"</f>
        <v>רתמות</v>
      </c>
      <c r="S2028" t="str">
        <f>"040"</f>
        <v>040</v>
      </c>
      <c r="T2028" t="str">
        <f>"עמר ליגל"</f>
        <v>עמר ליגל</v>
      </c>
      <c r="U2028">
        <v>0</v>
      </c>
      <c r="V2028">
        <v>0</v>
      </c>
      <c r="W2028">
        <v>752.13</v>
      </c>
      <c r="X2028">
        <v>752.13</v>
      </c>
      <c r="Z2028" t="str">
        <f>"Y"</f>
        <v>Y</v>
      </c>
      <c r="AA2028">
        <v>0</v>
      </c>
      <c r="AC2028">
        <v>0</v>
      </c>
      <c r="AE2028">
        <v>0</v>
      </c>
      <c r="AF2028">
        <v>0</v>
      </c>
      <c r="AG2028" s="2">
        <v>2551.2199999999998</v>
      </c>
      <c r="AH2028">
        <v>0</v>
      </c>
      <c r="AI2028" s="2">
        <v>2551.2199999999998</v>
      </c>
      <c r="AJ2028">
        <v>752.13</v>
      </c>
      <c r="AK2028">
        <v>752.13</v>
      </c>
      <c r="AL2028" t="str">
        <f>"$"</f>
        <v>$</v>
      </c>
    </row>
    <row r="2029" spans="1:38" x14ac:dyDescent="0.3">
      <c r="A2029" t="str">
        <f>"SO22000359"</f>
        <v>SO22000359</v>
      </c>
      <c r="B2029" t="str">
        <f>"E000374333"</f>
        <v>E000374333</v>
      </c>
      <c r="C2029" t="str">
        <f>"לאישור הסוכן"</f>
        <v>לאישור הסוכן</v>
      </c>
      <c r="E2029" s="3">
        <v>44816</v>
      </c>
      <c r="F2029" s="3">
        <v>45260</v>
      </c>
      <c r="G2029" t="str">
        <f>"700065"</f>
        <v>700065</v>
      </c>
      <c r="H2029" t="str">
        <f>"אלתא מערכות בע""מ"</f>
        <v>אלתא מערכות בע"מ</v>
      </c>
      <c r="I2029" t="str">
        <f>"ערן שלו"</f>
        <v>ערן שלו</v>
      </c>
      <c r="J2029" t="str">
        <f>"cust001426"</f>
        <v>cust001426</v>
      </c>
      <c r="K2029" s="1" t="str">
        <f>"1037C500-001 ELTA"</f>
        <v>1037C500-001 ELTA</v>
      </c>
      <c r="L2029">
        <v>1</v>
      </c>
      <c r="M2029" t="str">
        <f>"PR23000688"</f>
        <v>PR23000688</v>
      </c>
      <c r="N2029" t="str">
        <f>"תיקון לוח 6/07 סידורי 117 ספינות"</f>
        <v>תיקון לוח 6/07 סידורי 117 ספינות</v>
      </c>
      <c r="O2029" s="2">
        <v>61250</v>
      </c>
      <c r="P2029" t="str">
        <f>"$"</f>
        <v>$</v>
      </c>
      <c r="Q2029" t="str">
        <f>"111"</f>
        <v>111</v>
      </c>
      <c r="R2029" t="str">
        <f>"מכירה"</f>
        <v>מכירה</v>
      </c>
      <c r="S2029" t="str">
        <f>"034"</f>
        <v>034</v>
      </c>
      <c r="T2029" t="str">
        <f>"עמר ליגל"</f>
        <v>עמר ליגל</v>
      </c>
      <c r="U2029">
        <v>0</v>
      </c>
      <c r="V2029">
        <v>0</v>
      </c>
      <c r="W2029" s="2">
        <v>61250</v>
      </c>
      <c r="X2029" s="2">
        <v>61250</v>
      </c>
      <c r="AA2029">
        <v>1</v>
      </c>
      <c r="AC2029">
        <v>0</v>
      </c>
      <c r="AE2029">
        <v>0</v>
      </c>
      <c r="AF2029">
        <v>0</v>
      </c>
      <c r="AG2029" s="2">
        <v>207760</v>
      </c>
      <c r="AH2029">
        <v>0</v>
      </c>
      <c r="AI2029" s="2">
        <v>207760</v>
      </c>
      <c r="AJ2029" s="2">
        <v>61250</v>
      </c>
      <c r="AK2029" s="2">
        <v>61250</v>
      </c>
      <c r="AL2029" t="str">
        <f>"$"</f>
        <v>$</v>
      </c>
    </row>
    <row r="2030" spans="1:38" x14ac:dyDescent="0.3">
      <c r="A2030" t="str">
        <f>"SO22000360"</f>
        <v>SO22000360</v>
      </c>
      <c r="B2030" t="str">
        <f>"E000373642"</f>
        <v>E000373642</v>
      </c>
      <c r="C2030" t="str">
        <f>"בוצעה"</f>
        <v>בוצעה</v>
      </c>
      <c r="E2030" s="3">
        <v>44816</v>
      </c>
      <c r="F2030" s="3">
        <v>44880</v>
      </c>
      <c r="G2030" t="str">
        <f>"700065"</f>
        <v>700065</v>
      </c>
      <c r="H2030" t="str">
        <f>"אלתא מערכות בע""מ"</f>
        <v>אלתא מערכות בע"מ</v>
      </c>
      <c r="I2030" t="str">
        <f>"רוני דידי"</f>
        <v>רוני דידי</v>
      </c>
      <c r="J2030" t="str">
        <f>"PS0300006"</f>
        <v>PS0300006</v>
      </c>
      <c r="K2030" s="1" t="str">
        <f>"TSI-EPC - 380Vac-Module BRAVO"</f>
        <v>TSI-EPC - 380Vac-Module BRAVO</v>
      </c>
      <c r="L2030">
        <v>3</v>
      </c>
      <c r="M2030" t="str">
        <f>"PR22000599"</f>
        <v>PR22000599</v>
      </c>
      <c r="N2030" t="str">
        <f>"TSI-EPC - 380Vac-Module BRAVO"</f>
        <v>TSI-EPC - 380Vac-Module BRAVO</v>
      </c>
      <c r="O2030" s="2">
        <v>1950</v>
      </c>
      <c r="P2030" t="str">
        <f>"$"</f>
        <v>$</v>
      </c>
      <c r="Q2030" t="str">
        <f>"118"</f>
        <v>118</v>
      </c>
      <c r="R2030" t="str">
        <f>"מערכות"</f>
        <v>מערכות</v>
      </c>
      <c r="S2030" t="str">
        <f>"007"</f>
        <v>007</v>
      </c>
      <c r="T2030" t="str">
        <f>"עמר ליגל"</f>
        <v>עמר ליגל</v>
      </c>
      <c r="U2030">
        <v>0</v>
      </c>
      <c r="V2030">
        <v>0</v>
      </c>
      <c r="W2030" s="2">
        <v>1950</v>
      </c>
      <c r="X2030" s="2">
        <v>5850</v>
      </c>
      <c r="Z2030" t="str">
        <f>"Y"</f>
        <v>Y</v>
      </c>
      <c r="AA2030">
        <v>0</v>
      </c>
      <c r="AC2030">
        <v>0</v>
      </c>
      <c r="AE2030">
        <v>0</v>
      </c>
      <c r="AF2030">
        <v>0</v>
      </c>
      <c r="AG2030" s="2">
        <v>6614.4</v>
      </c>
      <c r="AH2030">
        <v>0</v>
      </c>
      <c r="AI2030" s="2">
        <v>19843.2</v>
      </c>
      <c r="AJ2030" s="2">
        <v>5850</v>
      </c>
      <c r="AK2030" s="2">
        <v>5850</v>
      </c>
      <c r="AL2030" t="str">
        <f>"$"</f>
        <v>$</v>
      </c>
    </row>
    <row r="2031" spans="1:38" x14ac:dyDescent="0.3">
      <c r="A2031" t="str">
        <f>"SO22000361"</f>
        <v>SO22000361</v>
      </c>
      <c r="B2031" t="str">
        <f>"E000373996"</f>
        <v>E000373996</v>
      </c>
      <c r="C2031" t="str">
        <f>"בוצעה"</f>
        <v>בוצעה</v>
      </c>
      <c r="E2031" s="3">
        <v>44816</v>
      </c>
      <c r="F2031" s="3">
        <v>44925</v>
      </c>
      <c r="G2031" t="str">
        <f>"700065"</f>
        <v>700065</v>
      </c>
      <c r="H2031" t="str">
        <f>"אלתא מערכות בע""מ"</f>
        <v>אלתא מערכות בע"מ</v>
      </c>
      <c r="I2031" t="str">
        <f>"רוני דידי"</f>
        <v>רוני דידי</v>
      </c>
      <c r="J2031" t="str">
        <f>"PD0346066"</f>
        <v>PD0346066</v>
      </c>
      <c r="K2031" s="1" t="str">
        <f>"בקר החלפה אמדר AM530DN"</f>
        <v>בקר החלפה אמדר AM530DN</v>
      </c>
      <c r="L2031">
        <v>1</v>
      </c>
      <c r="O2031" s="2">
        <v>3825</v>
      </c>
      <c r="P2031" t="str">
        <f>"$"</f>
        <v>$</v>
      </c>
      <c r="Q2031" t="str">
        <f>"118"</f>
        <v>118</v>
      </c>
      <c r="R2031" t="str">
        <f>"מערכות"</f>
        <v>מערכות</v>
      </c>
      <c r="S2031" t="str">
        <f>"007"</f>
        <v>007</v>
      </c>
      <c r="T2031" t="str">
        <f>"עמר ליגל"</f>
        <v>עמר ליגל</v>
      </c>
      <c r="U2031">
        <v>0</v>
      </c>
      <c r="V2031">
        <v>0</v>
      </c>
      <c r="W2031" s="2">
        <v>3825</v>
      </c>
      <c r="X2031" s="2">
        <v>3825</v>
      </c>
      <c r="Z2031" t="str">
        <f>"Y"</f>
        <v>Y</v>
      </c>
      <c r="AA2031">
        <v>1</v>
      </c>
      <c r="AC2031">
        <v>0</v>
      </c>
      <c r="AE2031">
        <v>0</v>
      </c>
      <c r="AF2031">
        <v>0</v>
      </c>
      <c r="AG2031" s="2">
        <v>12974.4</v>
      </c>
      <c r="AH2031">
        <v>0</v>
      </c>
      <c r="AI2031" s="2">
        <v>12974.4</v>
      </c>
      <c r="AJ2031" s="2">
        <v>3825</v>
      </c>
      <c r="AK2031" s="2">
        <v>3825</v>
      </c>
      <c r="AL2031" t="str">
        <f>"$"</f>
        <v>$</v>
      </c>
    </row>
    <row r="2032" spans="1:38" x14ac:dyDescent="0.3">
      <c r="A2032" t="str">
        <f>"SO22000362"</f>
        <v>SO22000362</v>
      </c>
      <c r="B2032" t="str">
        <f>"סאטק מחברים"</f>
        <v>סאטק מחברים</v>
      </c>
      <c r="C2032" t="str">
        <f>"בוצעה"</f>
        <v>בוצעה</v>
      </c>
      <c r="E2032" s="3">
        <v>44817</v>
      </c>
      <c r="F2032" s="3">
        <v>44817</v>
      </c>
      <c r="G2032" t="str">
        <f>"700065"</f>
        <v>700065</v>
      </c>
      <c r="H2032" t="str">
        <f>"אלתא מערכות בע""מ"</f>
        <v>אלתא מערכות בע"מ</v>
      </c>
      <c r="I2032" t="str">
        <f>"ערן שלו"</f>
        <v>ערן שלו</v>
      </c>
      <c r="J2032" t="str">
        <f>"PD0300246"</f>
        <v>PD0300246</v>
      </c>
      <c r="K2032" s="1" t="str">
        <f>"מתח הזנה DC לרב מודד SATEC 18.5-58VDC"</f>
        <v>מתח הזנה DC לרב מודד SATEC 18.5-58VDC</v>
      </c>
      <c r="L2032">
        <v>1</v>
      </c>
      <c r="M2032" t="str">
        <f>"PR22000620"</f>
        <v>PR22000620</v>
      </c>
      <c r="N2032" t="str">
        <f>"הזמנת תיקון ספינות"</f>
        <v>הזמנת תיקון ספינות</v>
      </c>
      <c r="O2032">
        <v>0</v>
      </c>
      <c r="P2032" t="str">
        <f>"$"</f>
        <v>$</v>
      </c>
      <c r="Q2032" t="str">
        <f>"118"</f>
        <v>118</v>
      </c>
      <c r="R2032" t="str">
        <f>"מערכות"</f>
        <v>מערכות</v>
      </c>
      <c r="S2032" t="str">
        <f>"034"</f>
        <v>034</v>
      </c>
      <c r="T2032" t="str">
        <f>"עמר ליגל"</f>
        <v>עמר ליגל</v>
      </c>
      <c r="U2032">
        <v>0</v>
      </c>
      <c r="V2032">
        <v>0</v>
      </c>
      <c r="W2032">
        <v>0</v>
      </c>
      <c r="X2032">
        <v>0</v>
      </c>
      <c r="Z2032" t="str">
        <f>"Y"</f>
        <v>Y</v>
      </c>
      <c r="AA2032">
        <v>0</v>
      </c>
      <c r="AC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 t="str">
        <f>"$"</f>
        <v>$</v>
      </c>
    </row>
    <row r="2033" spans="1:38" x14ac:dyDescent="0.3">
      <c r="A2033" t="str">
        <f>"SO22000362"</f>
        <v>SO22000362</v>
      </c>
      <c r="B2033" t="str">
        <f>"סאטק מחברים"</f>
        <v>סאטק מחברים</v>
      </c>
      <c r="C2033" t="str">
        <f>"בוצעה"</f>
        <v>בוצעה</v>
      </c>
      <c r="E2033" s="3">
        <v>44817</v>
      </c>
      <c r="F2033" s="3">
        <v>44817</v>
      </c>
      <c r="G2033" t="str">
        <f>"700065"</f>
        <v>700065</v>
      </c>
      <c r="H2033" t="str">
        <f>"אלתא מערכות בע""מ"</f>
        <v>אלתא מערכות בע"מ</v>
      </c>
      <c r="I2033" t="str">
        <f>"ערן שלו"</f>
        <v>ערן שלו</v>
      </c>
      <c r="J2033" t="str">
        <f>"PD0300044"</f>
        <v>PD0300044</v>
      </c>
      <c r="K2033" s="1" t="str">
        <f>"רב מודד  SATEC PM135E"</f>
        <v>רב מודד  SATEC PM135E</v>
      </c>
      <c r="L2033">
        <v>2</v>
      </c>
      <c r="O2033">
        <v>0</v>
      </c>
      <c r="P2033" t="str">
        <f>"$"</f>
        <v>$</v>
      </c>
      <c r="Q2033" t="str">
        <f>"118"</f>
        <v>118</v>
      </c>
      <c r="R2033" t="str">
        <f>"מערכות"</f>
        <v>מערכות</v>
      </c>
      <c r="S2033" t="str">
        <f>"034"</f>
        <v>034</v>
      </c>
      <c r="T2033" t="str">
        <f>"עמר ליגל"</f>
        <v>עמר ליגל</v>
      </c>
      <c r="U2033">
        <v>0</v>
      </c>
      <c r="V2033">
        <v>0</v>
      </c>
      <c r="W2033">
        <v>0</v>
      </c>
      <c r="X2033">
        <v>0</v>
      </c>
      <c r="Z2033" t="str">
        <f>"Y"</f>
        <v>Y</v>
      </c>
      <c r="AA2033">
        <v>0</v>
      </c>
      <c r="AC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 t="str">
        <f>"$"</f>
        <v>$</v>
      </c>
    </row>
    <row r="2034" spans="1:38" x14ac:dyDescent="0.3">
      <c r="A2034" t="str">
        <f>"SO22000364"</f>
        <v>SO22000364</v>
      </c>
      <c r="B2034" t="str">
        <f>"E000374628"</f>
        <v>E000374628</v>
      </c>
      <c r="C2034" t="str">
        <f>"בוצעה"</f>
        <v>בוצעה</v>
      </c>
      <c r="E2034" s="3">
        <v>44817</v>
      </c>
      <c r="F2034" s="3">
        <v>44931</v>
      </c>
      <c r="G2034" t="str">
        <f>"700065"</f>
        <v>700065</v>
      </c>
      <c r="H2034" t="str">
        <f>"אלתא מערכות בע""מ"</f>
        <v>אלתא מערכות בע"מ</v>
      </c>
      <c r="I2034" t="str">
        <f>"רחמים זרוק"</f>
        <v>רחמים זרוק</v>
      </c>
      <c r="J2034" t="str">
        <f>"OP-AR03332"</f>
        <v>OP-AR03332</v>
      </c>
      <c r="K2034" s="1" t="str">
        <f>"1001U504-002    CABLE ASSY 1W112"</f>
        <v>1001U504-002    CABLE ASSY 1W112</v>
      </c>
      <c r="L2034">
        <v>1</v>
      </c>
      <c r="M2034" t="str">
        <f>"PR22000622"</f>
        <v>PR22000622</v>
      </c>
      <c r="N2034" t="str">
        <f>"E000374628"</f>
        <v>E000374628</v>
      </c>
      <c r="O2034">
        <v>857.23</v>
      </c>
      <c r="P2034" t="str">
        <f>"$"</f>
        <v>$</v>
      </c>
      <c r="Q2034" t="str">
        <f>"117"</f>
        <v>117</v>
      </c>
      <c r="R2034" t="str">
        <f>"רתמות"</f>
        <v>רתמות</v>
      </c>
      <c r="S2034" t="str">
        <f>"040"</f>
        <v>040</v>
      </c>
      <c r="T2034" t="str">
        <f>"עמר ליגל"</f>
        <v>עמר ליגל</v>
      </c>
      <c r="U2034">
        <v>0</v>
      </c>
      <c r="V2034">
        <v>0</v>
      </c>
      <c r="W2034">
        <v>857.23</v>
      </c>
      <c r="X2034">
        <v>857.23</v>
      </c>
      <c r="Z2034" t="str">
        <f>"Y"</f>
        <v>Y</v>
      </c>
      <c r="AA2034">
        <v>0</v>
      </c>
      <c r="AC2034">
        <v>0</v>
      </c>
      <c r="AE2034">
        <v>0</v>
      </c>
      <c r="AF2034">
        <v>0</v>
      </c>
      <c r="AG2034" s="2">
        <v>2875.15</v>
      </c>
      <c r="AH2034">
        <v>0</v>
      </c>
      <c r="AI2034" s="2">
        <v>2875.15</v>
      </c>
      <c r="AJ2034">
        <v>857.23</v>
      </c>
      <c r="AK2034">
        <v>857.23</v>
      </c>
      <c r="AL2034" t="str">
        <f>"$"</f>
        <v>$</v>
      </c>
    </row>
    <row r="2035" spans="1:38" x14ac:dyDescent="0.3">
      <c r="A2035" t="str">
        <f>"SO22000367"</f>
        <v>SO22000367</v>
      </c>
      <c r="B2035" t="str">
        <f>"E000374418"</f>
        <v>E000374418</v>
      </c>
      <c r="C2035" t="str">
        <f>"בוצעה"</f>
        <v>בוצעה</v>
      </c>
      <c r="E2035" s="3">
        <v>44819</v>
      </c>
      <c r="F2035" s="3">
        <v>44936</v>
      </c>
      <c r="G2035" t="str">
        <f>"700065"</f>
        <v>700065</v>
      </c>
      <c r="H2035" t="str">
        <f>"אלתא מערכות בע""מ"</f>
        <v>אלתא מערכות בע"מ</v>
      </c>
      <c r="I2035" t="str">
        <f>"רחמים זרוק"</f>
        <v>רחמים זרוק</v>
      </c>
      <c r="J2035" t="str">
        <f>"OP-AR03202"</f>
        <v>OP-AR03202</v>
      </c>
      <c r="K2035" s="1" t="str">
        <f>"2060B170-001   CABLE ASSY CRW21"</f>
        <v>2060B170-001   CABLE ASSY CRW21</v>
      </c>
      <c r="L2035">
        <v>1</v>
      </c>
      <c r="M2035" t="str">
        <f>"PR22000624"</f>
        <v>PR22000624</v>
      </c>
      <c r="N2035" t="str">
        <f>"E000374418"</f>
        <v>E000374418</v>
      </c>
      <c r="O2035">
        <v>261.23</v>
      </c>
      <c r="P2035" t="str">
        <f>"$"</f>
        <v>$</v>
      </c>
      <c r="Q2035" t="str">
        <f>"117"</f>
        <v>117</v>
      </c>
      <c r="R2035" t="str">
        <f>"רתמות"</f>
        <v>רתמות</v>
      </c>
      <c r="S2035" t="str">
        <f>"040"</f>
        <v>040</v>
      </c>
      <c r="T2035" t="str">
        <f>"עמר ליגל"</f>
        <v>עמר ליגל</v>
      </c>
      <c r="U2035">
        <v>0</v>
      </c>
      <c r="V2035">
        <v>0</v>
      </c>
      <c r="W2035">
        <v>261.23</v>
      </c>
      <c r="X2035">
        <v>261.23</v>
      </c>
      <c r="Z2035" t="str">
        <f>"Y"</f>
        <v>Y</v>
      </c>
      <c r="AA2035">
        <v>0</v>
      </c>
      <c r="AC2035">
        <v>0</v>
      </c>
      <c r="AE2035">
        <v>0</v>
      </c>
      <c r="AF2035">
        <v>0</v>
      </c>
      <c r="AG2035">
        <v>899.15</v>
      </c>
      <c r="AH2035">
        <v>0</v>
      </c>
      <c r="AI2035">
        <v>899.15</v>
      </c>
      <c r="AJ2035">
        <v>261.23</v>
      </c>
      <c r="AK2035">
        <v>261.23</v>
      </c>
      <c r="AL2035" t="str">
        <f>"$"</f>
        <v>$</v>
      </c>
    </row>
    <row r="2036" spans="1:38" x14ac:dyDescent="0.3">
      <c r="A2036" t="str">
        <f>"SO22000367"</f>
        <v>SO22000367</v>
      </c>
      <c r="B2036" t="str">
        <f>"E000374418"</f>
        <v>E000374418</v>
      </c>
      <c r="C2036" t="str">
        <f>"בוצעה"</f>
        <v>בוצעה</v>
      </c>
      <c r="E2036" s="3">
        <v>44819</v>
      </c>
      <c r="F2036" s="3">
        <v>44936</v>
      </c>
      <c r="G2036" t="str">
        <f>"700065"</f>
        <v>700065</v>
      </c>
      <c r="H2036" t="str">
        <f>"אלתא מערכות בע""מ"</f>
        <v>אלתא מערכות בע"מ</v>
      </c>
      <c r="I2036" t="str">
        <f>"רחמים זרוק"</f>
        <v>רחמים זרוק</v>
      </c>
      <c r="J2036" t="str">
        <f>"OP-AR03011"</f>
        <v>OP-AR03011</v>
      </c>
      <c r="K2036" s="1" t="str">
        <f>"2083B310-002   VPW2 CABLE ASSY"</f>
        <v>2083B310-002   VPW2 CABLE ASSY</v>
      </c>
      <c r="L2036">
        <v>1</v>
      </c>
      <c r="M2036" t="str">
        <f>"PR22000624"</f>
        <v>PR22000624</v>
      </c>
      <c r="N2036" t="str">
        <f>"E000374418"</f>
        <v>E000374418</v>
      </c>
      <c r="O2036" s="2">
        <v>1022.92</v>
      </c>
      <c r="P2036" t="str">
        <f>"$"</f>
        <v>$</v>
      </c>
      <c r="Q2036" t="str">
        <f>"117"</f>
        <v>117</v>
      </c>
      <c r="R2036" t="str">
        <f>"רתמות"</f>
        <v>רתמות</v>
      </c>
      <c r="S2036" t="str">
        <f>"040"</f>
        <v>040</v>
      </c>
      <c r="T2036" t="str">
        <f>"עמר ליגל"</f>
        <v>עמר ליגל</v>
      </c>
      <c r="U2036">
        <v>0</v>
      </c>
      <c r="V2036">
        <v>0</v>
      </c>
      <c r="W2036" s="2">
        <v>1022.92</v>
      </c>
      <c r="X2036" s="2">
        <v>1022.92</v>
      </c>
      <c r="Z2036" t="str">
        <f>"Y"</f>
        <v>Y</v>
      </c>
      <c r="AA2036">
        <v>0</v>
      </c>
      <c r="AC2036">
        <v>0</v>
      </c>
      <c r="AE2036">
        <v>0</v>
      </c>
      <c r="AF2036">
        <v>0</v>
      </c>
      <c r="AG2036" s="2">
        <v>3520.89</v>
      </c>
      <c r="AH2036">
        <v>0</v>
      </c>
      <c r="AI2036" s="2">
        <v>3520.89</v>
      </c>
      <c r="AJ2036" s="2">
        <v>1022.92</v>
      </c>
      <c r="AK2036" s="2">
        <v>1022.92</v>
      </c>
      <c r="AL2036" t="str">
        <f>"$"</f>
        <v>$</v>
      </c>
    </row>
    <row r="2037" spans="1:38" x14ac:dyDescent="0.3">
      <c r="A2037" t="str">
        <f>"SO22000367"</f>
        <v>SO22000367</v>
      </c>
      <c r="B2037" t="str">
        <f>"E000374418"</f>
        <v>E000374418</v>
      </c>
      <c r="C2037" t="str">
        <f>"בוצעה"</f>
        <v>בוצעה</v>
      </c>
      <c r="E2037" s="3">
        <v>44819</v>
      </c>
      <c r="F2037" s="3">
        <v>44936</v>
      </c>
      <c r="G2037" t="str">
        <f>"700065"</f>
        <v>700065</v>
      </c>
      <c r="H2037" t="str">
        <f>"אלתא מערכות בע""מ"</f>
        <v>אלתא מערכות בע"מ</v>
      </c>
      <c r="I2037" t="str">
        <f>"רחמים זרוק"</f>
        <v>רחמים זרוק</v>
      </c>
      <c r="J2037" t="str">
        <f>"OP-AR03203"</f>
        <v>OP-AR03203</v>
      </c>
      <c r="K2037" s="1" t="str">
        <f>"2083B312-001   VPW3 CABLE ASSY"</f>
        <v>2083B312-001   VPW3 CABLE ASSY</v>
      </c>
      <c r="L2037">
        <v>2</v>
      </c>
      <c r="M2037" t="str">
        <f>"PR22000624"</f>
        <v>PR22000624</v>
      </c>
      <c r="N2037" t="str">
        <f>"E000374418"</f>
        <v>E000374418</v>
      </c>
      <c r="O2037">
        <v>684.11</v>
      </c>
      <c r="P2037" t="str">
        <f>"$"</f>
        <v>$</v>
      </c>
      <c r="Q2037" t="str">
        <f>"117"</f>
        <v>117</v>
      </c>
      <c r="R2037" t="str">
        <f>"רתמות"</f>
        <v>רתמות</v>
      </c>
      <c r="S2037" t="str">
        <f>"040"</f>
        <v>040</v>
      </c>
      <c r="T2037" t="str">
        <f>"עמר ליגל"</f>
        <v>עמר ליגל</v>
      </c>
      <c r="U2037">
        <v>0</v>
      </c>
      <c r="V2037">
        <v>0</v>
      </c>
      <c r="W2037">
        <v>684.11</v>
      </c>
      <c r="X2037" s="2">
        <v>1368.22</v>
      </c>
      <c r="Z2037" t="str">
        <f>"Y"</f>
        <v>Y</v>
      </c>
      <c r="AA2037">
        <v>0</v>
      </c>
      <c r="AC2037">
        <v>0</v>
      </c>
      <c r="AE2037">
        <v>0</v>
      </c>
      <c r="AF2037">
        <v>0</v>
      </c>
      <c r="AG2037" s="2">
        <v>2354.71</v>
      </c>
      <c r="AH2037">
        <v>0</v>
      </c>
      <c r="AI2037" s="2">
        <v>4709.41</v>
      </c>
      <c r="AJ2037" s="2">
        <v>1368.22</v>
      </c>
      <c r="AK2037" s="2">
        <v>1368.22</v>
      </c>
      <c r="AL2037" t="str">
        <f>"$"</f>
        <v>$</v>
      </c>
    </row>
    <row r="2038" spans="1:38" x14ac:dyDescent="0.3">
      <c r="A2038" t="str">
        <f>"SO22000367"</f>
        <v>SO22000367</v>
      </c>
      <c r="B2038" t="str">
        <f>"E000374418"</f>
        <v>E000374418</v>
      </c>
      <c r="C2038" t="str">
        <f>"בוצעה"</f>
        <v>בוצעה</v>
      </c>
      <c r="E2038" s="3">
        <v>44819</v>
      </c>
      <c r="F2038" s="3">
        <v>44936</v>
      </c>
      <c r="G2038" t="str">
        <f>"700065"</f>
        <v>700065</v>
      </c>
      <c r="H2038" t="str">
        <f>"אלתא מערכות בע""מ"</f>
        <v>אלתא מערכות בע"מ</v>
      </c>
      <c r="I2038" t="str">
        <f>"רחמים זרוק"</f>
        <v>רחמים זרוק</v>
      </c>
      <c r="J2038" t="str">
        <f>"OP-AR03011"</f>
        <v>OP-AR03011</v>
      </c>
      <c r="K2038" s="1" t="str">
        <f>"2083B310-002   VPW2 CABLE ASSY"</f>
        <v>2083B310-002   VPW2 CABLE ASSY</v>
      </c>
      <c r="L2038">
        <v>2</v>
      </c>
      <c r="M2038" t="str">
        <f>"PR22000624"</f>
        <v>PR22000624</v>
      </c>
      <c r="N2038" t="str">
        <f>"E000374418"</f>
        <v>E000374418</v>
      </c>
      <c r="O2038" s="2">
        <v>1022.92</v>
      </c>
      <c r="P2038" t="str">
        <f>"$"</f>
        <v>$</v>
      </c>
      <c r="Q2038" t="str">
        <f>"117"</f>
        <v>117</v>
      </c>
      <c r="R2038" t="str">
        <f>"רתמות"</f>
        <v>רתמות</v>
      </c>
      <c r="S2038" t="str">
        <f>"040"</f>
        <v>040</v>
      </c>
      <c r="T2038" t="str">
        <f>"עמר ליגל"</f>
        <v>עמר ליגל</v>
      </c>
      <c r="U2038">
        <v>0</v>
      </c>
      <c r="V2038">
        <v>0</v>
      </c>
      <c r="W2038" s="2">
        <v>1022.92</v>
      </c>
      <c r="X2038" s="2">
        <v>2045.84</v>
      </c>
      <c r="Z2038" t="str">
        <f>"Y"</f>
        <v>Y</v>
      </c>
      <c r="AA2038">
        <v>0</v>
      </c>
      <c r="AC2038">
        <v>0</v>
      </c>
      <c r="AE2038">
        <v>0</v>
      </c>
      <c r="AF2038">
        <v>0</v>
      </c>
      <c r="AG2038" s="2">
        <v>3520.89</v>
      </c>
      <c r="AH2038">
        <v>0</v>
      </c>
      <c r="AI2038" s="2">
        <v>7041.78</v>
      </c>
      <c r="AJ2038" s="2">
        <v>2045.84</v>
      </c>
      <c r="AK2038" s="2">
        <v>2045.84</v>
      </c>
      <c r="AL2038" t="str">
        <f>"$"</f>
        <v>$</v>
      </c>
    </row>
    <row r="2039" spans="1:38" x14ac:dyDescent="0.3">
      <c r="A2039" t="str">
        <f>"SO22000367"</f>
        <v>SO22000367</v>
      </c>
      <c r="B2039" t="str">
        <f>"E000374418"</f>
        <v>E000374418</v>
      </c>
      <c r="C2039" t="str">
        <f>"בוצעה"</f>
        <v>בוצעה</v>
      </c>
      <c r="E2039" s="3">
        <v>44819</v>
      </c>
      <c r="F2039" s="3">
        <v>44936</v>
      </c>
      <c r="G2039" t="str">
        <f>"700065"</f>
        <v>700065</v>
      </c>
      <c r="H2039" t="str">
        <f>"אלתא מערכות בע""מ"</f>
        <v>אלתא מערכות בע"מ</v>
      </c>
      <c r="I2039" t="str">
        <f>"רחמים זרוק"</f>
        <v>רחמים זרוק</v>
      </c>
      <c r="J2039" t="str">
        <f>"OP-AR03142"</f>
        <v>OP-AR03142</v>
      </c>
      <c r="K2039" s="1" t="str">
        <f>"2216B034-001    NMS RFD CABLE ASSY"</f>
        <v>2216B034-001    NMS RFD CABLE ASSY</v>
      </c>
      <c r="L2039">
        <v>2</v>
      </c>
      <c r="M2039" t="str">
        <f>"PR22000624"</f>
        <v>PR22000624</v>
      </c>
      <c r="N2039" t="str">
        <f>"E000374418"</f>
        <v>E000374418</v>
      </c>
      <c r="O2039">
        <v>325.39999999999998</v>
      </c>
      <c r="P2039" t="str">
        <f>"$"</f>
        <v>$</v>
      </c>
      <c r="Q2039" t="str">
        <f>"117"</f>
        <v>117</v>
      </c>
      <c r="R2039" t="str">
        <f>"רתמות"</f>
        <v>רתמות</v>
      </c>
      <c r="S2039" t="str">
        <f>"040"</f>
        <v>040</v>
      </c>
      <c r="T2039" t="str">
        <f>"עמר ליגל"</f>
        <v>עמר ליגל</v>
      </c>
      <c r="U2039">
        <v>0</v>
      </c>
      <c r="V2039">
        <v>0</v>
      </c>
      <c r="W2039">
        <v>325.39999999999998</v>
      </c>
      <c r="X2039">
        <v>650.79999999999995</v>
      </c>
      <c r="Z2039" t="str">
        <f>"Y"</f>
        <v>Y</v>
      </c>
      <c r="AA2039">
        <v>0</v>
      </c>
      <c r="AC2039">
        <v>0</v>
      </c>
      <c r="AE2039">
        <v>0</v>
      </c>
      <c r="AF2039">
        <v>0</v>
      </c>
      <c r="AG2039" s="2">
        <v>1120.03</v>
      </c>
      <c r="AH2039">
        <v>0</v>
      </c>
      <c r="AI2039" s="2">
        <v>2240.0500000000002</v>
      </c>
      <c r="AJ2039">
        <v>650.79999999999995</v>
      </c>
      <c r="AK2039">
        <v>650.79999999999995</v>
      </c>
      <c r="AL2039" t="str">
        <f>"$"</f>
        <v>$</v>
      </c>
    </row>
    <row r="2040" spans="1:38" x14ac:dyDescent="0.3">
      <c r="A2040" t="str">
        <f>"SO22000369"</f>
        <v>SO22000369</v>
      </c>
      <c r="B2040" t="str">
        <f>"E000375484"</f>
        <v>E000375484</v>
      </c>
      <c r="C2040" t="str">
        <f>"בוצעה"</f>
        <v>בוצעה</v>
      </c>
      <c r="E2040" s="3">
        <v>44833</v>
      </c>
      <c r="F2040" s="3">
        <v>44925</v>
      </c>
      <c r="G2040" t="str">
        <f>"700065"</f>
        <v>700065</v>
      </c>
      <c r="H2040" t="str">
        <f>"אלתא מערכות בע""מ"</f>
        <v>אלתא מערכות בע"מ</v>
      </c>
      <c r="I2040" t="str">
        <f>"רוני דידי"</f>
        <v>רוני דידי</v>
      </c>
      <c r="J2040" t="str">
        <f>"000"</f>
        <v>000</v>
      </c>
      <c r="K2040" s="1" t="str">
        <f>"צוות טכנאים בצכיה"</f>
        <v>צוות טכנאים בצכיה</v>
      </c>
      <c r="L2040">
        <v>1</v>
      </c>
      <c r="O2040" s="2">
        <v>6000</v>
      </c>
      <c r="P2040" t="str">
        <f>"$"</f>
        <v>$</v>
      </c>
      <c r="Q2040" t="str">
        <f>"117"</f>
        <v>117</v>
      </c>
      <c r="R2040" t="str">
        <f>"רתמות"</f>
        <v>רתמות</v>
      </c>
      <c r="S2040" t="str">
        <f>"007"</f>
        <v>007</v>
      </c>
      <c r="T2040" t="str">
        <f>"עמר ליגל"</f>
        <v>עמר ליגל</v>
      </c>
      <c r="U2040">
        <v>0</v>
      </c>
      <c r="V2040">
        <v>0</v>
      </c>
      <c r="W2040" s="2">
        <v>6000</v>
      </c>
      <c r="X2040" s="2">
        <v>6000</v>
      </c>
      <c r="Z2040" t="str">
        <f>"Y"</f>
        <v>Y</v>
      </c>
      <c r="AA2040">
        <v>1</v>
      </c>
      <c r="AC2040">
        <v>0</v>
      </c>
      <c r="AE2040">
        <v>0</v>
      </c>
      <c r="AF2040">
        <v>0</v>
      </c>
      <c r="AG2040" s="2">
        <v>21216</v>
      </c>
      <c r="AH2040">
        <v>0</v>
      </c>
      <c r="AI2040" s="2">
        <v>21216</v>
      </c>
      <c r="AJ2040" s="2">
        <v>6000</v>
      </c>
      <c r="AK2040" s="2">
        <v>6000</v>
      </c>
      <c r="AL2040" t="str">
        <f>"$"</f>
        <v>$</v>
      </c>
    </row>
    <row r="2041" spans="1:38" x14ac:dyDescent="0.3">
      <c r="A2041" t="str">
        <f>"SO22000370"</f>
        <v>SO22000370</v>
      </c>
      <c r="B2041" t="str">
        <f>"E000374958"</f>
        <v>E000374958</v>
      </c>
      <c r="C2041" t="str">
        <f>"בוצעה"</f>
        <v>בוצעה</v>
      </c>
      <c r="E2041" s="3">
        <v>44833</v>
      </c>
      <c r="F2041" s="3">
        <v>44971</v>
      </c>
      <c r="G2041" t="str">
        <f>"700065"</f>
        <v>700065</v>
      </c>
      <c r="H2041" t="str">
        <f>"אלתא מערכות בע""מ"</f>
        <v>אלתא מערכות בע"מ</v>
      </c>
      <c r="I2041" t="str">
        <f>"רחמים זרוק"</f>
        <v>רחמים זרוק</v>
      </c>
      <c r="J2041" t="str">
        <f>"OP-AR03349"</f>
        <v>OP-AR03349</v>
      </c>
      <c r="K2041" s="1" t="str">
        <f>"1037V685-001    HARNESS WP685 - RADAR EXTERNAL AC POWER"</f>
        <v>1037V685-001    HARNESS WP685 - RADAR EXTERNAL AC POWER</v>
      </c>
      <c r="L2041">
        <v>5</v>
      </c>
      <c r="M2041" t="str">
        <f>"PR22000632"</f>
        <v>PR22000632</v>
      </c>
      <c r="N2041" t="str">
        <f>"E000374958"</f>
        <v>E000374958</v>
      </c>
      <c r="O2041" s="2">
        <v>5978.1</v>
      </c>
      <c r="P2041" t="str">
        <f>"$"</f>
        <v>$</v>
      </c>
      <c r="Q2041" t="str">
        <f>"117"</f>
        <v>117</v>
      </c>
      <c r="R2041" t="str">
        <f>"רתמות"</f>
        <v>רתמות</v>
      </c>
      <c r="S2041" t="str">
        <f>"040"</f>
        <v>040</v>
      </c>
      <c r="T2041" t="str">
        <f>"עמר ליגל"</f>
        <v>עמר ליגל</v>
      </c>
      <c r="U2041">
        <v>0</v>
      </c>
      <c r="V2041">
        <v>0</v>
      </c>
      <c r="W2041" s="2">
        <v>5978.1</v>
      </c>
      <c r="X2041" s="2">
        <v>29890.5</v>
      </c>
      <c r="Z2041" t="str">
        <f>"Y"</f>
        <v>Y</v>
      </c>
      <c r="AA2041">
        <v>0</v>
      </c>
      <c r="AC2041">
        <v>0</v>
      </c>
      <c r="AE2041">
        <v>0</v>
      </c>
      <c r="AF2041">
        <v>0</v>
      </c>
      <c r="AG2041" s="2">
        <v>21138.560000000001</v>
      </c>
      <c r="AH2041">
        <v>0</v>
      </c>
      <c r="AI2041" s="2">
        <v>105692.81</v>
      </c>
      <c r="AJ2041" s="2">
        <v>29890.5</v>
      </c>
      <c r="AK2041" s="2">
        <v>29890.5</v>
      </c>
      <c r="AL2041" t="str">
        <f>"$"</f>
        <v>$</v>
      </c>
    </row>
    <row r="2042" spans="1:38" x14ac:dyDescent="0.3">
      <c r="A2042" t="str">
        <f>"SO22000370"</f>
        <v>SO22000370</v>
      </c>
      <c r="B2042" t="str">
        <f>"E000374958"</f>
        <v>E000374958</v>
      </c>
      <c r="C2042" t="str">
        <f>"בוצעה"</f>
        <v>בוצעה</v>
      </c>
      <c r="E2042" s="3">
        <v>44833</v>
      </c>
      <c r="F2042" s="3">
        <v>44971</v>
      </c>
      <c r="G2042" t="str">
        <f>"700065"</f>
        <v>700065</v>
      </c>
      <c r="H2042" t="str">
        <f>"אלתא מערכות בע""מ"</f>
        <v>אלתא מערכות בע"מ</v>
      </c>
      <c r="I2042" t="str">
        <f>"רחמים זרוק"</f>
        <v>רחמים זרוק</v>
      </c>
      <c r="J2042" t="str">
        <f>"OP-AR03350"</f>
        <v>OP-AR03350</v>
      </c>
      <c r="K2042" s="1" t="str">
        <f>"1037V686-001    HARNESS WP686 - RADAR EXTERNAL AC POWER"</f>
        <v>1037V686-001    HARNESS WP686 - RADAR EXTERNAL AC POWER</v>
      </c>
      <c r="L2042">
        <v>5</v>
      </c>
      <c r="M2042" t="str">
        <f>"PR22000632"</f>
        <v>PR22000632</v>
      </c>
      <c r="N2042" t="str">
        <f>"E000374958"</f>
        <v>E000374958</v>
      </c>
      <c r="O2042" s="2">
        <v>5297.89</v>
      </c>
      <c r="P2042" t="str">
        <f>"$"</f>
        <v>$</v>
      </c>
      <c r="Q2042" t="str">
        <f>"117"</f>
        <v>117</v>
      </c>
      <c r="R2042" t="str">
        <f>"רתמות"</f>
        <v>רתמות</v>
      </c>
      <c r="S2042" t="str">
        <f>"040"</f>
        <v>040</v>
      </c>
      <c r="T2042" t="str">
        <f>"עמר ליגל"</f>
        <v>עמר ליגל</v>
      </c>
      <c r="U2042">
        <v>0</v>
      </c>
      <c r="V2042">
        <v>0</v>
      </c>
      <c r="W2042" s="2">
        <v>5297.89</v>
      </c>
      <c r="X2042" s="2">
        <v>26489.45</v>
      </c>
      <c r="Z2042" t="str">
        <f>"Y"</f>
        <v>Y</v>
      </c>
      <c r="AA2042">
        <v>0</v>
      </c>
      <c r="AC2042">
        <v>0</v>
      </c>
      <c r="AE2042">
        <v>0</v>
      </c>
      <c r="AF2042">
        <v>0</v>
      </c>
      <c r="AG2042" s="2">
        <v>18733.34</v>
      </c>
      <c r="AH2042">
        <v>0</v>
      </c>
      <c r="AI2042" s="2">
        <v>93666.7</v>
      </c>
      <c r="AJ2042" s="2">
        <v>26489.45</v>
      </c>
      <c r="AK2042" s="2">
        <v>26489.45</v>
      </c>
      <c r="AL2042" t="str">
        <f>"$"</f>
        <v>$</v>
      </c>
    </row>
    <row r="2043" spans="1:38" x14ac:dyDescent="0.3">
      <c r="A2043" t="str">
        <f>"SO22000370"</f>
        <v>SO22000370</v>
      </c>
      <c r="B2043" t="str">
        <f>"E000374958"</f>
        <v>E000374958</v>
      </c>
      <c r="C2043" t="str">
        <f>"בוצעה"</f>
        <v>בוצעה</v>
      </c>
      <c r="E2043" s="3">
        <v>44833</v>
      </c>
      <c r="F2043" s="3">
        <v>44978</v>
      </c>
      <c r="G2043" t="str">
        <f>"700065"</f>
        <v>700065</v>
      </c>
      <c r="H2043" t="str">
        <f>"אלתא מערכות בע""מ"</f>
        <v>אלתא מערכות בע"מ</v>
      </c>
      <c r="I2043" t="str">
        <f>"רחמים זרוק"</f>
        <v>רחמים זרוק</v>
      </c>
      <c r="J2043" t="str">
        <f>"OP-AR03351"</f>
        <v>OP-AR03351</v>
      </c>
      <c r="K2043" s="1" t="str">
        <f>"1036U471-001    WP471 - PYLON LEFT SW2"</f>
        <v>1036U471-001    WP471 - PYLON LEFT SW2</v>
      </c>
      <c r="L2043">
        <v>7</v>
      </c>
      <c r="M2043" t="str">
        <f>"PR22000632"</f>
        <v>PR22000632</v>
      </c>
      <c r="N2043" t="str">
        <f>"E000374958"</f>
        <v>E000374958</v>
      </c>
      <c r="O2043">
        <v>554.51</v>
      </c>
      <c r="P2043" t="str">
        <f>"$"</f>
        <v>$</v>
      </c>
      <c r="Q2043" t="str">
        <f>"117"</f>
        <v>117</v>
      </c>
      <c r="R2043" t="str">
        <f>"רתמות"</f>
        <v>רתמות</v>
      </c>
      <c r="S2043" t="str">
        <f>"040"</f>
        <v>040</v>
      </c>
      <c r="T2043" t="str">
        <f>"עמר ליגל"</f>
        <v>עמר ליגל</v>
      </c>
      <c r="U2043">
        <v>0</v>
      </c>
      <c r="V2043">
        <v>0</v>
      </c>
      <c r="W2043">
        <v>554.51</v>
      </c>
      <c r="X2043" s="2">
        <v>3881.57</v>
      </c>
      <c r="Z2043" t="str">
        <f>"Y"</f>
        <v>Y</v>
      </c>
      <c r="AA2043">
        <v>0</v>
      </c>
      <c r="AC2043">
        <v>0</v>
      </c>
      <c r="AE2043">
        <v>0</v>
      </c>
      <c r="AF2043">
        <v>0</v>
      </c>
      <c r="AG2043" s="2">
        <v>1960.75</v>
      </c>
      <c r="AH2043">
        <v>0</v>
      </c>
      <c r="AI2043" s="2">
        <v>13725.23</v>
      </c>
      <c r="AJ2043" s="2">
        <v>3881.57</v>
      </c>
      <c r="AK2043" s="2">
        <v>3881.57</v>
      </c>
      <c r="AL2043" t="str">
        <f>"$"</f>
        <v>$</v>
      </c>
    </row>
    <row r="2044" spans="1:38" x14ac:dyDescent="0.3">
      <c r="A2044" t="str">
        <f>"SO22000370"</f>
        <v>SO22000370</v>
      </c>
      <c r="B2044" t="str">
        <f>"E000374958"</f>
        <v>E000374958</v>
      </c>
      <c r="C2044" t="str">
        <f>"בוצעה"</f>
        <v>בוצעה</v>
      </c>
      <c r="E2044" s="3">
        <v>44833</v>
      </c>
      <c r="F2044" s="3">
        <v>44978</v>
      </c>
      <c r="G2044" t="str">
        <f>"700065"</f>
        <v>700065</v>
      </c>
      <c r="H2044" t="str">
        <f>"אלתא מערכות בע""מ"</f>
        <v>אלתא מערכות בע"מ</v>
      </c>
      <c r="I2044" t="str">
        <f>"רחמים זרוק"</f>
        <v>רחמים זרוק</v>
      </c>
      <c r="J2044" t="str">
        <f>"OP-AR03352"</f>
        <v>OP-AR03352</v>
      </c>
      <c r="K2044" s="1" t="str">
        <f>"1036U472-001    WP472 - PYLON RIGHT SW2"</f>
        <v>1036U472-001    WP472 - PYLON RIGHT SW2</v>
      </c>
      <c r="L2044">
        <v>2</v>
      </c>
      <c r="M2044" t="str">
        <f>"PR22000632"</f>
        <v>PR22000632</v>
      </c>
      <c r="N2044" t="str">
        <f>"E000374958"</f>
        <v>E000374958</v>
      </c>
      <c r="O2044">
        <v>554.51</v>
      </c>
      <c r="P2044" t="str">
        <f>"$"</f>
        <v>$</v>
      </c>
      <c r="Q2044" t="str">
        <f>"117"</f>
        <v>117</v>
      </c>
      <c r="R2044" t="str">
        <f>"רתמות"</f>
        <v>רתמות</v>
      </c>
      <c r="S2044" t="str">
        <f>"040"</f>
        <v>040</v>
      </c>
      <c r="T2044" t="str">
        <f>"עמר ליגל"</f>
        <v>עמר ליגל</v>
      </c>
      <c r="U2044">
        <v>0</v>
      </c>
      <c r="V2044">
        <v>0</v>
      </c>
      <c r="W2044">
        <v>554.51</v>
      </c>
      <c r="X2044" s="2">
        <v>1109.02</v>
      </c>
      <c r="Z2044" t="str">
        <f>"Y"</f>
        <v>Y</v>
      </c>
      <c r="AA2044">
        <v>0</v>
      </c>
      <c r="AC2044">
        <v>0</v>
      </c>
      <c r="AE2044">
        <v>0</v>
      </c>
      <c r="AF2044">
        <v>0</v>
      </c>
      <c r="AG2044" s="2">
        <v>1960.75</v>
      </c>
      <c r="AH2044">
        <v>0</v>
      </c>
      <c r="AI2044" s="2">
        <v>3921.49</v>
      </c>
      <c r="AJ2044" s="2">
        <v>1109.02</v>
      </c>
      <c r="AK2044" s="2">
        <v>1109.02</v>
      </c>
      <c r="AL2044" t="str">
        <f>"$"</f>
        <v>$</v>
      </c>
    </row>
    <row r="2045" spans="1:38" x14ac:dyDescent="0.3">
      <c r="A2045" t="str">
        <f>"SO22000370"</f>
        <v>SO22000370</v>
      </c>
      <c r="B2045" t="str">
        <f>"E000374958"</f>
        <v>E000374958</v>
      </c>
      <c r="C2045" t="str">
        <f>"בוצעה"</f>
        <v>בוצעה</v>
      </c>
      <c r="E2045" s="3">
        <v>44833</v>
      </c>
      <c r="F2045" s="3">
        <v>44978</v>
      </c>
      <c r="G2045" t="str">
        <f>"700065"</f>
        <v>700065</v>
      </c>
      <c r="H2045" t="str">
        <f>"אלתא מערכות בע""מ"</f>
        <v>אלתא מערכות בע"מ</v>
      </c>
      <c r="I2045" t="str">
        <f>"רחמים זרוק"</f>
        <v>רחמים זרוק</v>
      </c>
      <c r="J2045" t="str">
        <f>"OP-AR03352"</f>
        <v>OP-AR03352</v>
      </c>
      <c r="K2045" s="1" t="str">
        <f>"1036U472-001    WP472 - PYLON RIGHT SW2"</f>
        <v>1036U472-001    WP472 - PYLON RIGHT SW2</v>
      </c>
      <c r="L2045">
        <v>5</v>
      </c>
      <c r="M2045" t="str">
        <f>"PR22000632"</f>
        <v>PR22000632</v>
      </c>
      <c r="N2045" t="str">
        <f>"E000374958"</f>
        <v>E000374958</v>
      </c>
      <c r="O2045">
        <v>554.51</v>
      </c>
      <c r="P2045" t="str">
        <f>"$"</f>
        <v>$</v>
      </c>
      <c r="Q2045" t="str">
        <f>"117"</f>
        <v>117</v>
      </c>
      <c r="R2045" t="str">
        <f>"רתמות"</f>
        <v>רתמות</v>
      </c>
      <c r="S2045" t="str">
        <f>"040"</f>
        <v>040</v>
      </c>
      <c r="T2045" t="str">
        <f>"עמר ליגל"</f>
        <v>עמר ליגל</v>
      </c>
      <c r="U2045">
        <v>0</v>
      </c>
      <c r="V2045">
        <v>0</v>
      </c>
      <c r="W2045">
        <v>554.51</v>
      </c>
      <c r="X2045" s="2">
        <v>2772.55</v>
      </c>
      <c r="Z2045" t="str">
        <f>"Y"</f>
        <v>Y</v>
      </c>
      <c r="AA2045">
        <v>0</v>
      </c>
      <c r="AC2045">
        <v>0</v>
      </c>
      <c r="AE2045">
        <v>0</v>
      </c>
      <c r="AF2045">
        <v>0</v>
      </c>
      <c r="AG2045" s="2">
        <v>1960.75</v>
      </c>
      <c r="AH2045">
        <v>0</v>
      </c>
      <c r="AI2045" s="2">
        <v>9803.74</v>
      </c>
      <c r="AJ2045" s="2">
        <v>2772.55</v>
      </c>
      <c r="AK2045" s="2">
        <v>2772.55</v>
      </c>
      <c r="AL2045" t="str">
        <f>"$"</f>
        <v>$</v>
      </c>
    </row>
    <row r="2046" spans="1:38" x14ac:dyDescent="0.3">
      <c r="A2046" t="str">
        <f>"SO22000370"</f>
        <v>SO22000370</v>
      </c>
      <c r="B2046" t="str">
        <f>"E000374958"</f>
        <v>E000374958</v>
      </c>
      <c r="C2046" t="str">
        <f>"בוצעה"</f>
        <v>בוצעה</v>
      </c>
      <c r="E2046" s="3">
        <v>44833</v>
      </c>
      <c r="F2046" s="3">
        <v>44950</v>
      </c>
      <c r="G2046" t="str">
        <f>"700065"</f>
        <v>700065</v>
      </c>
      <c r="H2046" t="str">
        <f>"אלתא מערכות בע""מ"</f>
        <v>אלתא מערכות בע"מ</v>
      </c>
      <c r="I2046" t="str">
        <f>"רחמים זרוק"</f>
        <v>רחמים זרוק</v>
      </c>
      <c r="J2046" t="str">
        <f>"OP-AR03353"</f>
        <v>OP-AR03353</v>
      </c>
      <c r="K2046" s="1" t="str">
        <f>"1037V530-001  AC Power Cable For System Integration FULL TK"</f>
        <v>1037V530-001  AC Power Cable For System Integration FULL TK</v>
      </c>
      <c r="L2046">
        <v>3</v>
      </c>
      <c r="M2046" t="str">
        <f>"PR22000632"</f>
        <v>PR22000632</v>
      </c>
      <c r="N2046" t="str">
        <f>"E000374958"</f>
        <v>E000374958</v>
      </c>
      <c r="O2046" s="2">
        <v>5620.84</v>
      </c>
      <c r="P2046" t="str">
        <f>"$"</f>
        <v>$</v>
      </c>
      <c r="Q2046" t="str">
        <f>"117"</f>
        <v>117</v>
      </c>
      <c r="R2046" t="str">
        <f>"רתמות"</f>
        <v>רתמות</v>
      </c>
      <c r="S2046" t="str">
        <f>"040"</f>
        <v>040</v>
      </c>
      <c r="T2046" t="str">
        <f>"עמר ליגל"</f>
        <v>עמר ליגל</v>
      </c>
      <c r="U2046">
        <v>0</v>
      </c>
      <c r="V2046">
        <v>0</v>
      </c>
      <c r="W2046" s="2">
        <v>5620.84</v>
      </c>
      <c r="X2046" s="2">
        <v>16862.52</v>
      </c>
      <c r="Z2046" t="str">
        <f>"Y"</f>
        <v>Y</v>
      </c>
      <c r="AA2046">
        <v>0</v>
      </c>
      <c r="AC2046">
        <v>0</v>
      </c>
      <c r="AE2046">
        <v>0</v>
      </c>
      <c r="AF2046">
        <v>0</v>
      </c>
      <c r="AG2046" s="2">
        <v>19875.29</v>
      </c>
      <c r="AH2046">
        <v>0</v>
      </c>
      <c r="AI2046" s="2">
        <v>59625.87</v>
      </c>
      <c r="AJ2046" s="2">
        <v>16862.52</v>
      </c>
      <c r="AK2046" s="2">
        <v>16862.52</v>
      </c>
      <c r="AL2046" t="str">
        <f>"$"</f>
        <v>$</v>
      </c>
    </row>
    <row r="2047" spans="1:38" x14ac:dyDescent="0.3">
      <c r="A2047" t="str">
        <f>"SO22000371"</f>
        <v>SO22000371</v>
      </c>
      <c r="B2047" t="str">
        <f>"E000374751"</f>
        <v>E000374751</v>
      </c>
      <c r="C2047" t="str">
        <f>"הרכבה חלקית"</f>
        <v>הרכבה חלקית</v>
      </c>
      <c r="E2047" s="3">
        <v>44833</v>
      </c>
      <c r="F2047" s="3">
        <v>44969</v>
      </c>
      <c r="G2047" t="str">
        <f>"700065"</f>
        <v>700065</v>
      </c>
      <c r="H2047" t="str">
        <f>"אלתא מערכות בע""מ"</f>
        <v>אלתא מערכות בע"מ</v>
      </c>
      <c r="I2047" t="str">
        <f>"רחמים זרוק"</f>
        <v>רחמים זרוק</v>
      </c>
      <c r="J2047" t="str">
        <f>"OP-AR03346"</f>
        <v>OP-AR03346</v>
      </c>
      <c r="K2047" s="1" t="str">
        <f>"1032F133-001    HARNESS WL133 - RECTIFIER OUTPUT 28VDC"</f>
        <v>1032F133-001    HARNESS WL133 - RECTIFIER OUTPUT 28VDC</v>
      </c>
      <c r="L2047">
        <v>5</v>
      </c>
      <c r="M2047" t="str">
        <f>"PR22000631"</f>
        <v>PR22000631</v>
      </c>
      <c r="N2047" t="str">
        <f>"E000374751"</f>
        <v>E000374751</v>
      </c>
      <c r="O2047">
        <v>521.29999999999995</v>
      </c>
      <c r="P2047" t="str">
        <f>"$"</f>
        <v>$</v>
      </c>
      <c r="Q2047" t="str">
        <f>"117"</f>
        <v>117</v>
      </c>
      <c r="R2047" t="str">
        <f>"רתמות"</f>
        <v>רתמות</v>
      </c>
      <c r="S2047" t="str">
        <f>"040"</f>
        <v>040</v>
      </c>
      <c r="T2047" t="str">
        <f>"עמר ליגל"</f>
        <v>עמר ליגל</v>
      </c>
      <c r="U2047">
        <v>0</v>
      </c>
      <c r="V2047">
        <v>0</v>
      </c>
      <c r="W2047">
        <v>521.29999999999995</v>
      </c>
      <c r="X2047" s="2">
        <v>2606.5</v>
      </c>
      <c r="Z2047" t="str">
        <f>"Y"</f>
        <v>Y</v>
      </c>
      <c r="AA2047">
        <v>0</v>
      </c>
      <c r="AC2047">
        <v>0</v>
      </c>
      <c r="AE2047">
        <v>0</v>
      </c>
      <c r="AF2047">
        <v>0</v>
      </c>
      <c r="AG2047" s="2">
        <v>1843.32</v>
      </c>
      <c r="AH2047">
        <v>0</v>
      </c>
      <c r="AI2047" s="2">
        <v>9216.58</v>
      </c>
      <c r="AJ2047" s="2">
        <v>2606.5</v>
      </c>
      <c r="AK2047" s="2">
        <v>2606.5</v>
      </c>
      <c r="AL2047" t="str">
        <f>"$"</f>
        <v>$</v>
      </c>
    </row>
    <row r="2048" spans="1:38" x14ac:dyDescent="0.3">
      <c r="A2048" t="str">
        <f>"SO22000371"</f>
        <v>SO22000371</v>
      </c>
      <c r="B2048" t="str">
        <f>"E000374751"</f>
        <v>E000374751</v>
      </c>
      <c r="C2048" t="str">
        <f>"הרכבה חלקית"</f>
        <v>הרכבה חלקית</v>
      </c>
      <c r="E2048" s="3">
        <v>44833</v>
      </c>
      <c r="F2048" s="3">
        <v>44969</v>
      </c>
      <c r="G2048" t="str">
        <f>"700065"</f>
        <v>700065</v>
      </c>
      <c r="H2048" t="str">
        <f>"אלתא מערכות בע""מ"</f>
        <v>אלתא מערכות בע"מ</v>
      </c>
      <c r="I2048" t="str">
        <f>"רחמים זרוק"</f>
        <v>רחמים זרוק</v>
      </c>
      <c r="J2048" t="str">
        <f>"OP-AR03347"</f>
        <v>OP-AR03347</v>
      </c>
      <c r="K2048" s="1" t="str">
        <f>"4047K523-001    HARNESS WK523 - FETX 2"</f>
        <v>4047K523-001    HARNESS WK523 - FETX 2</v>
      </c>
      <c r="L2048">
        <v>2</v>
      </c>
      <c r="M2048" t="str">
        <f>"PR22000631"</f>
        <v>PR22000631</v>
      </c>
      <c r="N2048" t="str">
        <f>"E000374751"</f>
        <v>E000374751</v>
      </c>
      <c r="O2048" s="2">
        <v>1910.88</v>
      </c>
      <c r="P2048" t="str">
        <f>"$"</f>
        <v>$</v>
      </c>
      <c r="Q2048" t="str">
        <f>"117"</f>
        <v>117</v>
      </c>
      <c r="R2048" t="str">
        <f>"רתמות"</f>
        <v>רתמות</v>
      </c>
      <c r="S2048" t="str">
        <f>"040"</f>
        <v>040</v>
      </c>
      <c r="T2048" t="str">
        <f>"עמר ליגל"</f>
        <v>עמר ליגל</v>
      </c>
      <c r="U2048">
        <v>0</v>
      </c>
      <c r="V2048">
        <v>0</v>
      </c>
      <c r="W2048" s="2">
        <v>1910.88</v>
      </c>
      <c r="X2048" s="2">
        <v>3821.76</v>
      </c>
      <c r="Z2048" t="str">
        <f>"Y"</f>
        <v>Y</v>
      </c>
      <c r="AA2048">
        <v>0</v>
      </c>
      <c r="AC2048">
        <v>0</v>
      </c>
      <c r="AE2048">
        <v>0</v>
      </c>
      <c r="AF2048">
        <v>0</v>
      </c>
      <c r="AG2048" s="2">
        <v>6756.87</v>
      </c>
      <c r="AH2048">
        <v>0</v>
      </c>
      <c r="AI2048" s="2">
        <v>13513.74</v>
      </c>
      <c r="AJ2048" s="2">
        <v>3821.76</v>
      </c>
      <c r="AK2048" s="2">
        <v>3821.76</v>
      </c>
      <c r="AL2048" t="str">
        <f>"$"</f>
        <v>$</v>
      </c>
    </row>
    <row r="2049" spans="1:38" x14ac:dyDescent="0.3">
      <c r="A2049" t="str">
        <f>"SO22000371"</f>
        <v>SO22000371</v>
      </c>
      <c r="B2049" t="str">
        <f>"E000374751"</f>
        <v>E000374751</v>
      </c>
      <c r="C2049" t="str">
        <f>"הרכבה חלקית"</f>
        <v>הרכבה חלקית</v>
      </c>
      <c r="E2049" s="3">
        <v>44833</v>
      </c>
      <c r="F2049" s="3">
        <v>44985</v>
      </c>
      <c r="G2049" t="str">
        <f>"700065"</f>
        <v>700065</v>
      </c>
      <c r="H2049" t="str">
        <f>"אלתא מערכות בע""מ"</f>
        <v>אלתא מערכות בע"מ</v>
      </c>
      <c r="I2049" t="str">
        <f>"רחמים זרוק"</f>
        <v>רחמים זרוק</v>
      </c>
      <c r="J2049" t="str">
        <f>"OP-AR03347"</f>
        <v>OP-AR03347</v>
      </c>
      <c r="K2049" s="1" t="str">
        <f>"4047K523-001    HARNESS WK523 - FETX 2"</f>
        <v>4047K523-001    HARNESS WK523 - FETX 2</v>
      </c>
      <c r="L2049">
        <v>2</v>
      </c>
      <c r="M2049" t="str">
        <f>"PR22000631"</f>
        <v>PR22000631</v>
      </c>
      <c r="N2049" t="str">
        <f>"E000374751"</f>
        <v>E000374751</v>
      </c>
      <c r="O2049" s="2">
        <v>1910.88</v>
      </c>
      <c r="P2049" t="str">
        <f>"$"</f>
        <v>$</v>
      </c>
      <c r="Q2049" t="str">
        <f>"117"</f>
        <v>117</v>
      </c>
      <c r="R2049" t="str">
        <f>"רתמות"</f>
        <v>רתמות</v>
      </c>
      <c r="S2049" t="str">
        <f>"040"</f>
        <v>040</v>
      </c>
      <c r="T2049" t="str">
        <f>"עמר ליגל"</f>
        <v>עמר ליגל</v>
      </c>
      <c r="U2049">
        <v>0</v>
      </c>
      <c r="V2049">
        <v>0</v>
      </c>
      <c r="W2049" s="2">
        <v>1910.88</v>
      </c>
      <c r="X2049" s="2">
        <v>3821.76</v>
      </c>
      <c r="Z2049" t="str">
        <f>"Y"</f>
        <v>Y</v>
      </c>
      <c r="AA2049">
        <v>0</v>
      </c>
      <c r="AC2049">
        <v>0</v>
      </c>
      <c r="AE2049">
        <v>0</v>
      </c>
      <c r="AF2049">
        <v>0</v>
      </c>
      <c r="AG2049" s="2">
        <v>6756.87</v>
      </c>
      <c r="AH2049">
        <v>0</v>
      </c>
      <c r="AI2049" s="2">
        <v>13513.74</v>
      </c>
      <c r="AJ2049" s="2">
        <v>3821.76</v>
      </c>
      <c r="AK2049" s="2">
        <v>3821.76</v>
      </c>
      <c r="AL2049" t="str">
        <f>"$"</f>
        <v>$</v>
      </c>
    </row>
    <row r="2050" spans="1:38" x14ac:dyDescent="0.3">
      <c r="A2050" t="str">
        <f>"SO22000371"</f>
        <v>SO22000371</v>
      </c>
      <c r="B2050" t="str">
        <f>"E000374751"</f>
        <v>E000374751</v>
      </c>
      <c r="C2050" t="str">
        <f>"הרכבה חלקית"</f>
        <v>הרכבה חלקית</v>
      </c>
      <c r="E2050" s="3">
        <v>44833</v>
      </c>
      <c r="F2050" s="3">
        <v>45005</v>
      </c>
      <c r="G2050" t="str">
        <f>"700065"</f>
        <v>700065</v>
      </c>
      <c r="H2050" t="str">
        <f>"אלתא מערכות בע""מ"</f>
        <v>אלתא מערכות בע"מ</v>
      </c>
      <c r="I2050" t="str">
        <f>"רחמים זרוק"</f>
        <v>רחמים זרוק</v>
      </c>
      <c r="J2050" t="str">
        <f>"OP-AR03347"</f>
        <v>OP-AR03347</v>
      </c>
      <c r="K2050" s="1" t="str">
        <f>"4047K523-001    HARNESS WK523 - FETX 2"</f>
        <v>4047K523-001    HARNESS WK523 - FETX 2</v>
      </c>
      <c r="L2050">
        <v>2</v>
      </c>
      <c r="M2050" t="str">
        <f>"PR22000631"</f>
        <v>PR22000631</v>
      </c>
      <c r="N2050" t="str">
        <f>"E000374751"</f>
        <v>E000374751</v>
      </c>
      <c r="O2050" s="2">
        <v>1910.88</v>
      </c>
      <c r="P2050" t="str">
        <f>"$"</f>
        <v>$</v>
      </c>
      <c r="Q2050" t="str">
        <f>"117"</f>
        <v>117</v>
      </c>
      <c r="R2050" t="str">
        <f>"רתמות"</f>
        <v>רתמות</v>
      </c>
      <c r="S2050" t="str">
        <f>"040"</f>
        <v>040</v>
      </c>
      <c r="T2050" t="str">
        <f>"עמר ליגל"</f>
        <v>עמר ליגל</v>
      </c>
      <c r="U2050">
        <v>0</v>
      </c>
      <c r="V2050">
        <v>0</v>
      </c>
      <c r="W2050" s="2">
        <v>1910.88</v>
      </c>
      <c r="X2050" s="2">
        <v>3821.76</v>
      </c>
      <c r="Z2050" t="str">
        <f>"Y"</f>
        <v>Y</v>
      </c>
      <c r="AA2050">
        <v>0</v>
      </c>
      <c r="AC2050">
        <v>0</v>
      </c>
      <c r="AE2050">
        <v>0</v>
      </c>
      <c r="AF2050">
        <v>0</v>
      </c>
      <c r="AG2050" s="2">
        <v>6756.87</v>
      </c>
      <c r="AH2050">
        <v>0</v>
      </c>
      <c r="AI2050" s="2">
        <v>13513.74</v>
      </c>
      <c r="AJ2050" s="2">
        <v>3821.76</v>
      </c>
      <c r="AK2050" s="2">
        <v>3821.76</v>
      </c>
      <c r="AL2050" t="str">
        <f>"$"</f>
        <v>$</v>
      </c>
    </row>
    <row r="2051" spans="1:38" x14ac:dyDescent="0.3">
      <c r="A2051" t="str">
        <f>"SO22000371"</f>
        <v>SO22000371</v>
      </c>
      <c r="B2051" t="str">
        <f>"E000374751"</f>
        <v>E000374751</v>
      </c>
      <c r="C2051" t="str">
        <f>"הרכבה חלקית"</f>
        <v>הרכבה חלקית</v>
      </c>
      <c r="E2051" s="3">
        <v>44833</v>
      </c>
      <c r="F2051" s="3">
        <v>45088</v>
      </c>
      <c r="G2051" t="str">
        <f>"700065"</f>
        <v>700065</v>
      </c>
      <c r="H2051" t="str">
        <f>"אלתא מערכות בע""מ"</f>
        <v>אלתא מערכות בע"מ</v>
      </c>
      <c r="I2051" t="str">
        <f>"רחמים זרוק"</f>
        <v>רחמים זרוק</v>
      </c>
      <c r="J2051" t="str">
        <f>"OP-AR03347"</f>
        <v>OP-AR03347</v>
      </c>
      <c r="K2051" s="1" t="str">
        <f>"4047K523-001    HARNESS WK523 - FETX 2"</f>
        <v>4047K523-001    HARNESS WK523 - FETX 2</v>
      </c>
      <c r="L2051">
        <v>1</v>
      </c>
      <c r="M2051" t="str">
        <f>"PR22000631"</f>
        <v>PR22000631</v>
      </c>
      <c r="N2051" t="str">
        <f>"E000374751"</f>
        <v>E000374751</v>
      </c>
      <c r="O2051" s="2">
        <v>1910.88</v>
      </c>
      <c r="P2051" t="str">
        <f>"$"</f>
        <v>$</v>
      </c>
      <c r="Q2051" t="str">
        <f>"117"</f>
        <v>117</v>
      </c>
      <c r="R2051" t="str">
        <f>"רתמות"</f>
        <v>רתמות</v>
      </c>
      <c r="S2051" t="str">
        <f>"040"</f>
        <v>040</v>
      </c>
      <c r="T2051" t="str">
        <f>"עמר ליגל"</f>
        <v>עמר ליגל</v>
      </c>
      <c r="U2051">
        <v>0</v>
      </c>
      <c r="V2051">
        <v>0</v>
      </c>
      <c r="W2051" s="2">
        <v>1910.88</v>
      </c>
      <c r="X2051" s="2">
        <v>1910.88</v>
      </c>
      <c r="AA2051">
        <v>1</v>
      </c>
      <c r="AC2051">
        <v>0</v>
      </c>
      <c r="AE2051">
        <v>0</v>
      </c>
      <c r="AF2051">
        <v>0</v>
      </c>
      <c r="AG2051" s="2">
        <v>6756.87</v>
      </c>
      <c r="AH2051">
        <v>0</v>
      </c>
      <c r="AI2051" s="2">
        <v>6756.87</v>
      </c>
      <c r="AJ2051" s="2">
        <v>1910.88</v>
      </c>
      <c r="AK2051" s="2">
        <v>1910.88</v>
      </c>
      <c r="AL2051" t="str">
        <f>"$"</f>
        <v>$</v>
      </c>
    </row>
    <row r="2052" spans="1:38" x14ac:dyDescent="0.3">
      <c r="A2052" t="str">
        <f>"SO22000376"</f>
        <v>SO22000376</v>
      </c>
      <c r="B2052" t="str">
        <f>"E000375229"</f>
        <v>E000375229</v>
      </c>
      <c r="C2052" t="str">
        <f>"בוצעה"</f>
        <v>בוצעה</v>
      </c>
      <c r="E2052" s="3">
        <v>44847</v>
      </c>
      <c r="F2052" s="3">
        <v>44990</v>
      </c>
      <c r="G2052" t="str">
        <f>"700065"</f>
        <v>700065</v>
      </c>
      <c r="H2052" t="str">
        <f>"אלתא מערכות בע""מ"</f>
        <v>אלתא מערכות בע"מ</v>
      </c>
      <c r="I2052" t="str">
        <f>"רחמים זרוק"</f>
        <v>רחמים זרוק</v>
      </c>
      <c r="J2052" t="str">
        <f>"OP-AR03011"</f>
        <v>OP-AR03011</v>
      </c>
      <c r="K2052" s="1" t="str">
        <f>"2083B310-002   VPW2 CABLE ASSY"</f>
        <v>2083B310-002   VPW2 CABLE ASSY</v>
      </c>
      <c r="L2052">
        <v>2</v>
      </c>
      <c r="M2052" t="str">
        <f>"PR22000636"</f>
        <v>PR22000636</v>
      </c>
      <c r="N2052" t="str">
        <f>"E000375229"</f>
        <v>E000375229</v>
      </c>
      <c r="O2052" s="2">
        <v>1022.92</v>
      </c>
      <c r="P2052" t="str">
        <f>"$"</f>
        <v>$</v>
      </c>
      <c r="Q2052" t="str">
        <f>"117"</f>
        <v>117</v>
      </c>
      <c r="R2052" t="str">
        <f>"רתמות"</f>
        <v>רתמות</v>
      </c>
      <c r="S2052" t="str">
        <f>"040"</f>
        <v>040</v>
      </c>
      <c r="T2052" t="str">
        <f>"עמר ליגל"</f>
        <v>עמר ליגל</v>
      </c>
      <c r="U2052">
        <v>0</v>
      </c>
      <c r="V2052">
        <v>0</v>
      </c>
      <c r="W2052" s="2">
        <v>1022.92</v>
      </c>
      <c r="X2052" s="2">
        <v>2045.84</v>
      </c>
      <c r="Z2052" t="str">
        <f>"Y"</f>
        <v>Y</v>
      </c>
      <c r="AA2052">
        <v>0</v>
      </c>
      <c r="AC2052">
        <v>0</v>
      </c>
      <c r="AE2052">
        <v>0</v>
      </c>
      <c r="AF2052">
        <v>0</v>
      </c>
      <c r="AG2052" s="2">
        <v>3657.96</v>
      </c>
      <c r="AH2052">
        <v>0</v>
      </c>
      <c r="AI2052" s="2">
        <v>7315.92</v>
      </c>
      <c r="AJ2052" s="2">
        <v>2045.84</v>
      </c>
      <c r="AK2052" s="2">
        <v>2045.84</v>
      </c>
      <c r="AL2052" t="str">
        <f>"$"</f>
        <v>$</v>
      </c>
    </row>
    <row r="2053" spans="1:38" x14ac:dyDescent="0.3">
      <c r="A2053" t="str">
        <f>"SO22000376"</f>
        <v>SO22000376</v>
      </c>
      <c r="B2053" t="str">
        <f>"E000375229"</f>
        <v>E000375229</v>
      </c>
      <c r="C2053" t="str">
        <f>"בוצעה"</f>
        <v>בוצעה</v>
      </c>
      <c r="E2053" s="3">
        <v>44847</v>
      </c>
      <c r="F2053" s="3">
        <v>44990</v>
      </c>
      <c r="G2053" t="str">
        <f>"700065"</f>
        <v>700065</v>
      </c>
      <c r="H2053" t="str">
        <f>"אלתא מערכות בע""מ"</f>
        <v>אלתא מערכות בע"מ</v>
      </c>
      <c r="I2053" t="str">
        <f>"רחמים זרוק"</f>
        <v>רחמים זרוק</v>
      </c>
      <c r="J2053" t="str">
        <f>"OP-AR03356"</f>
        <v>OP-AR03356</v>
      </c>
      <c r="K2053" s="1" t="str">
        <f>"2120B015-001    AMP CONT. CABLE ASSY"</f>
        <v>2120B015-001    AMP CONT. CABLE ASSY</v>
      </c>
      <c r="L2053">
        <v>1</v>
      </c>
      <c r="M2053" t="str">
        <f>"PR22000636"</f>
        <v>PR22000636</v>
      </c>
      <c r="N2053" t="str">
        <f>"E000375229"</f>
        <v>E000375229</v>
      </c>
      <c r="O2053">
        <v>180.23</v>
      </c>
      <c r="P2053" t="str">
        <f>"$"</f>
        <v>$</v>
      </c>
      <c r="Q2053" t="str">
        <f>"117"</f>
        <v>117</v>
      </c>
      <c r="R2053" t="str">
        <f>"רתמות"</f>
        <v>רתמות</v>
      </c>
      <c r="S2053" t="str">
        <f>"040"</f>
        <v>040</v>
      </c>
      <c r="T2053" t="str">
        <f>"עמר ליגל"</f>
        <v>עמר ליגל</v>
      </c>
      <c r="U2053">
        <v>0</v>
      </c>
      <c r="V2053">
        <v>0</v>
      </c>
      <c r="W2053">
        <v>180.23</v>
      </c>
      <c r="X2053">
        <v>180.23</v>
      </c>
      <c r="Z2053" t="str">
        <f>"Y"</f>
        <v>Y</v>
      </c>
      <c r="AA2053">
        <v>0</v>
      </c>
      <c r="AC2053">
        <v>0</v>
      </c>
      <c r="AE2053">
        <v>0</v>
      </c>
      <c r="AF2053">
        <v>0</v>
      </c>
      <c r="AG2053">
        <v>644.5</v>
      </c>
      <c r="AH2053">
        <v>0</v>
      </c>
      <c r="AI2053">
        <v>644.5</v>
      </c>
      <c r="AJ2053">
        <v>180.23</v>
      </c>
      <c r="AK2053">
        <v>180.23</v>
      </c>
      <c r="AL2053" t="str">
        <f>"$"</f>
        <v>$</v>
      </c>
    </row>
    <row r="2054" spans="1:38" x14ac:dyDescent="0.3">
      <c r="A2054" t="str">
        <f>"SO22000376"</f>
        <v>SO22000376</v>
      </c>
      <c r="B2054" t="str">
        <f>"E000375229"</f>
        <v>E000375229</v>
      </c>
      <c r="C2054" t="str">
        <f>"בוצעה"</f>
        <v>בוצעה</v>
      </c>
      <c r="E2054" s="3">
        <v>44847</v>
      </c>
      <c r="F2054" s="3">
        <v>44990</v>
      </c>
      <c r="G2054" t="str">
        <f>"700065"</f>
        <v>700065</v>
      </c>
      <c r="H2054" t="str">
        <f>"אלתא מערכות בע""מ"</f>
        <v>אלתא מערכות בע"מ</v>
      </c>
      <c r="I2054" t="str">
        <f>"רחמים זרוק"</f>
        <v>רחמים זרוק</v>
      </c>
      <c r="J2054" t="str">
        <f>"OP-AR03357"</f>
        <v>OP-AR03357</v>
      </c>
      <c r="K2054" s="1" t="str">
        <f>"2120B058-001    CABLE ASSY WTRM-S"</f>
        <v>2120B058-001    CABLE ASSY WTRM-S</v>
      </c>
      <c r="L2054">
        <v>2</v>
      </c>
      <c r="M2054" t="str">
        <f>"PR22000636"</f>
        <v>PR22000636</v>
      </c>
      <c r="N2054" t="str">
        <f>"E000375229"</f>
        <v>E000375229</v>
      </c>
      <c r="O2054">
        <v>575.33000000000004</v>
      </c>
      <c r="P2054" t="str">
        <f>"$"</f>
        <v>$</v>
      </c>
      <c r="Q2054" t="str">
        <f>"117"</f>
        <v>117</v>
      </c>
      <c r="R2054" t="str">
        <f>"רתמות"</f>
        <v>רתמות</v>
      </c>
      <c r="S2054" t="str">
        <f>"040"</f>
        <v>040</v>
      </c>
      <c r="T2054" t="str">
        <f>"עמר ליגל"</f>
        <v>עמר ליגל</v>
      </c>
      <c r="U2054">
        <v>0</v>
      </c>
      <c r="V2054">
        <v>0</v>
      </c>
      <c r="W2054">
        <v>575.33000000000004</v>
      </c>
      <c r="X2054" s="2">
        <v>1150.6600000000001</v>
      </c>
      <c r="Z2054" t="str">
        <f>"Y"</f>
        <v>Y</v>
      </c>
      <c r="AA2054">
        <v>0</v>
      </c>
      <c r="AC2054">
        <v>0</v>
      </c>
      <c r="AE2054">
        <v>0</v>
      </c>
      <c r="AF2054">
        <v>0</v>
      </c>
      <c r="AG2054" s="2">
        <v>2057.38</v>
      </c>
      <c r="AH2054">
        <v>0</v>
      </c>
      <c r="AI2054" s="2">
        <v>4114.76</v>
      </c>
      <c r="AJ2054" s="2">
        <v>1150.6600000000001</v>
      </c>
      <c r="AK2054" s="2">
        <v>1150.6600000000001</v>
      </c>
      <c r="AL2054" t="str">
        <f>"$"</f>
        <v>$</v>
      </c>
    </row>
    <row r="2055" spans="1:38" x14ac:dyDescent="0.3">
      <c r="A2055" t="str">
        <f>"SO22000376"</f>
        <v>SO22000376</v>
      </c>
      <c r="B2055" t="str">
        <f>"E000375229"</f>
        <v>E000375229</v>
      </c>
      <c r="C2055" t="str">
        <f>"בוצעה"</f>
        <v>בוצעה</v>
      </c>
      <c r="E2055" s="3">
        <v>44847</v>
      </c>
      <c r="F2055" s="3">
        <v>44990</v>
      </c>
      <c r="G2055" t="str">
        <f>"700065"</f>
        <v>700065</v>
      </c>
      <c r="H2055" t="str">
        <f>"אלתא מערכות בע""מ"</f>
        <v>אלתא מערכות בע"מ</v>
      </c>
      <c r="I2055" t="str">
        <f>"רחמים זרוק"</f>
        <v>רחמים זרוק</v>
      </c>
      <c r="J2055" t="str">
        <f>"OP-AR03358"</f>
        <v>OP-AR03358</v>
      </c>
      <c r="K2055" s="1" t="str">
        <f>"2120B068-001    CABLE ASSY WDTRM-L"</f>
        <v>2120B068-001    CABLE ASSY WDTRM-L</v>
      </c>
      <c r="L2055">
        <v>2</v>
      </c>
      <c r="M2055" t="str">
        <f>"PR22000636"</f>
        <v>PR22000636</v>
      </c>
      <c r="N2055" t="str">
        <f>"E000375229"</f>
        <v>E000375229</v>
      </c>
      <c r="O2055">
        <v>575.33000000000004</v>
      </c>
      <c r="P2055" t="str">
        <f>"$"</f>
        <v>$</v>
      </c>
      <c r="Q2055" t="str">
        <f>"117"</f>
        <v>117</v>
      </c>
      <c r="R2055" t="str">
        <f>"רתמות"</f>
        <v>רתמות</v>
      </c>
      <c r="S2055" t="str">
        <f>"040"</f>
        <v>040</v>
      </c>
      <c r="T2055" t="str">
        <f>"עמר ליגל"</f>
        <v>עמר ליגל</v>
      </c>
      <c r="U2055">
        <v>0</v>
      </c>
      <c r="V2055">
        <v>0</v>
      </c>
      <c r="W2055">
        <v>575.33000000000004</v>
      </c>
      <c r="X2055" s="2">
        <v>1150.6600000000001</v>
      </c>
      <c r="Z2055" t="str">
        <f>"Y"</f>
        <v>Y</v>
      </c>
      <c r="AA2055">
        <v>0</v>
      </c>
      <c r="AC2055">
        <v>0</v>
      </c>
      <c r="AE2055">
        <v>0</v>
      </c>
      <c r="AF2055">
        <v>0</v>
      </c>
      <c r="AG2055" s="2">
        <v>2057.38</v>
      </c>
      <c r="AH2055">
        <v>0</v>
      </c>
      <c r="AI2055" s="2">
        <v>4114.76</v>
      </c>
      <c r="AJ2055" s="2">
        <v>1150.6600000000001</v>
      </c>
      <c r="AK2055" s="2">
        <v>1150.6600000000001</v>
      </c>
      <c r="AL2055" t="str">
        <f>"$"</f>
        <v>$</v>
      </c>
    </row>
    <row r="2056" spans="1:38" x14ac:dyDescent="0.3">
      <c r="A2056" t="str">
        <f>"SO22000376"</f>
        <v>SO22000376</v>
      </c>
      <c r="B2056" t="str">
        <f>"E000375229"</f>
        <v>E000375229</v>
      </c>
      <c r="C2056" t="str">
        <f>"בוצעה"</f>
        <v>בוצעה</v>
      </c>
      <c r="E2056" s="3">
        <v>44847</v>
      </c>
      <c r="F2056" s="3">
        <v>44990</v>
      </c>
      <c r="G2056" t="str">
        <f>"700065"</f>
        <v>700065</v>
      </c>
      <c r="H2056" t="str">
        <f>"אלתא מערכות בע""מ"</f>
        <v>אלתא מערכות בע"מ</v>
      </c>
      <c r="I2056" t="str">
        <f>"רחמים זרוק"</f>
        <v>רחמים זרוק</v>
      </c>
      <c r="J2056" t="str">
        <f>"OP-AR03359"</f>
        <v>OP-AR03359</v>
      </c>
      <c r="K2056" s="1" t="str">
        <f>"2120B090-001    CABLE ASSY FSA-S"</f>
        <v>2120B090-001    CABLE ASSY FSA-S</v>
      </c>
      <c r="L2056">
        <v>2</v>
      </c>
      <c r="M2056" t="str">
        <f>"PR22000636"</f>
        <v>PR22000636</v>
      </c>
      <c r="N2056" t="str">
        <f>"E000375229"</f>
        <v>E000375229</v>
      </c>
      <c r="O2056">
        <v>575.33000000000004</v>
      </c>
      <c r="P2056" t="str">
        <f>"$"</f>
        <v>$</v>
      </c>
      <c r="Q2056" t="str">
        <f>"117"</f>
        <v>117</v>
      </c>
      <c r="R2056" t="str">
        <f>"רתמות"</f>
        <v>רתמות</v>
      </c>
      <c r="S2056" t="str">
        <f>"040"</f>
        <v>040</v>
      </c>
      <c r="T2056" t="str">
        <f>"עמר ליגל"</f>
        <v>עמר ליגל</v>
      </c>
      <c r="U2056">
        <v>0</v>
      </c>
      <c r="V2056">
        <v>0</v>
      </c>
      <c r="W2056">
        <v>575.33000000000004</v>
      </c>
      <c r="X2056" s="2">
        <v>1150.6600000000001</v>
      </c>
      <c r="Z2056" t="str">
        <f>"Y"</f>
        <v>Y</v>
      </c>
      <c r="AA2056">
        <v>0</v>
      </c>
      <c r="AC2056">
        <v>0</v>
      </c>
      <c r="AE2056">
        <v>0</v>
      </c>
      <c r="AF2056">
        <v>0</v>
      </c>
      <c r="AG2056" s="2">
        <v>2057.38</v>
      </c>
      <c r="AH2056">
        <v>0</v>
      </c>
      <c r="AI2056" s="2">
        <v>4114.76</v>
      </c>
      <c r="AJ2056" s="2">
        <v>1150.6600000000001</v>
      </c>
      <c r="AK2056" s="2">
        <v>1150.6600000000001</v>
      </c>
      <c r="AL2056" t="str">
        <f>"$"</f>
        <v>$</v>
      </c>
    </row>
    <row r="2057" spans="1:38" x14ac:dyDescent="0.3">
      <c r="A2057" t="str">
        <f>"SO22000377"</f>
        <v>SO22000377</v>
      </c>
      <c r="B2057" t="str">
        <f>"E000375287"</f>
        <v>E000375287</v>
      </c>
      <c r="C2057" t="str">
        <f>"בסיום הרכבה"</f>
        <v>בסיום הרכבה</v>
      </c>
      <c r="E2057" s="3">
        <v>44847</v>
      </c>
      <c r="F2057" s="3">
        <v>44941</v>
      </c>
      <c r="G2057" t="str">
        <f>"700065"</f>
        <v>700065</v>
      </c>
      <c r="H2057" t="str">
        <f>"אלתא מערכות בע""מ"</f>
        <v>אלתא מערכות בע"מ</v>
      </c>
      <c r="I2057" t="str">
        <f>"רחמים זרוק"</f>
        <v>רחמים זרוק</v>
      </c>
      <c r="J2057" t="str">
        <f>"OP-AR03341"</f>
        <v>OP-AR03341</v>
      </c>
      <c r="K2057" s="1" t="str">
        <f>"1041M391-001    POWER CABLE WV091 - PDB1 TO RECTIFIER (L"</f>
        <v>1041M391-001    POWER CABLE WV091 - PDB1 TO RECTIFIER (L</v>
      </c>
      <c r="L2057">
        <v>6</v>
      </c>
      <c r="M2057" t="str">
        <f>"PR22000630"</f>
        <v>PR22000630</v>
      </c>
      <c r="N2057" t="str">
        <f>"E000375287"</f>
        <v>E000375287</v>
      </c>
      <c r="O2057">
        <v>192.73</v>
      </c>
      <c r="P2057" t="str">
        <f>"$"</f>
        <v>$</v>
      </c>
      <c r="Q2057" t="str">
        <f>"117"</f>
        <v>117</v>
      </c>
      <c r="R2057" t="str">
        <f>"רתמות"</f>
        <v>רתמות</v>
      </c>
      <c r="S2057" t="str">
        <f>"040"</f>
        <v>040</v>
      </c>
      <c r="T2057" t="str">
        <f>"עמר ליגל"</f>
        <v>עמר ליגל</v>
      </c>
      <c r="U2057">
        <v>0</v>
      </c>
      <c r="V2057">
        <v>0</v>
      </c>
      <c r="W2057">
        <v>192.73</v>
      </c>
      <c r="X2057" s="2">
        <v>1156.3800000000001</v>
      </c>
      <c r="Z2057" t="str">
        <f>"Y"</f>
        <v>Y</v>
      </c>
      <c r="AA2057">
        <v>0</v>
      </c>
      <c r="AC2057">
        <v>0</v>
      </c>
      <c r="AE2057">
        <v>0</v>
      </c>
      <c r="AF2057">
        <v>0</v>
      </c>
      <c r="AG2057">
        <v>689.2</v>
      </c>
      <c r="AH2057">
        <v>0</v>
      </c>
      <c r="AI2057" s="2">
        <v>4135.21</v>
      </c>
      <c r="AJ2057" s="2">
        <v>1156.3800000000001</v>
      </c>
      <c r="AK2057" s="2">
        <v>1156.3800000000001</v>
      </c>
      <c r="AL2057" t="str">
        <f>"$"</f>
        <v>$</v>
      </c>
    </row>
    <row r="2058" spans="1:38" x14ac:dyDescent="0.3">
      <c r="A2058" t="str">
        <f>"SO22000377"</f>
        <v>SO22000377</v>
      </c>
      <c r="B2058" t="str">
        <f>"E000375287"</f>
        <v>E000375287</v>
      </c>
      <c r="C2058" t="str">
        <f>"בסיום הרכבה"</f>
        <v>בסיום הרכבה</v>
      </c>
      <c r="E2058" s="3">
        <v>44847</v>
      </c>
      <c r="F2058" s="3">
        <v>44941</v>
      </c>
      <c r="G2058" t="str">
        <f>"700065"</f>
        <v>700065</v>
      </c>
      <c r="H2058" t="str">
        <f>"אלתא מערכות בע""מ"</f>
        <v>אלתא מערכות בע"מ</v>
      </c>
      <c r="I2058" t="str">
        <f>"רחמים זרוק"</f>
        <v>רחמים זרוק</v>
      </c>
      <c r="J2058" t="str">
        <f>"OP-AR03342"</f>
        <v>OP-AR03342</v>
      </c>
      <c r="K2058" s="1" t="str">
        <f>"1041M392-001    POWER CABLE WV092 - PDB1 TO RECTIFIER (L"</f>
        <v>1041M392-001    POWER CABLE WV092 - PDB1 TO RECTIFIER (L</v>
      </c>
      <c r="L2058">
        <v>6</v>
      </c>
      <c r="M2058" t="str">
        <f>"PR22000630"</f>
        <v>PR22000630</v>
      </c>
      <c r="N2058" t="str">
        <f>"E000375287"</f>
        <v>E000375287</v>
      </c>
      <c r="O2058">
        <v>192.73</v>
      </c>
      <c r="P2058" t="str">
        <f>"$"</f>
        <v>$</v>
      </c>
      <c r="Q2058" t="str">
        <f>"117"</f>
        <v>117</v>
      </c>
      <c r="R2058" t="str">
        <f>"רתמות"</f>
        <v>רתמות</v>
      </c>
      <c r="S2058" t="str">
        <f>"040"</f>
        <v>040</v>
      </c>
      <c r="T2058" t="str">
        <f>"עמר ליגל"</f>
        <v>עמר ליגל</v>
      </c>
      <c r="U2058">
        <v>0</v>
      </c>
      <c r="V2058">
        <v>0</v>
      </c>
      <c r="W2058">
        <v>192.73</v>
      </c>
      <c r="X2058" s="2">
        <v>1156.3800000000001</v>
      </c>
      <c r="Z2058" t="str">
        <f>"Y"</f>
        <v>Y</v>
      </c>
      <c r="AA2058">
        <v>0</v>
      </c>
      <c r="AC2058">
        <v>0</v>
      </c>
      <c r="AE2058">
        <v>0</v>
      </c>
      <c r="AF2058">
        <v>0</v>
      </c>
      <c r="AG2058">
        <v>689.2</v>
      </c>
      <c r="AH2058">
        <v>0</v>
      </c>
      <c r="AI2058" s="2">
        <v>4135.21</v>
      </c>
      <c r="AJ2058" s="2">
        <v>1156.3800000000001</v>
      </c>
      <c r="AK2058" s="2">
        <v>1156.3800000000001</v>
      </c>
      <c r="AL2058" t="str">
        <f>"$"</f>
        <v>$</v>
      </c>
    </row>
    <row r="2059" spans="1:38" x14ac:dyDescent="0.3">
      <c r="A2059" t="str">
        <f>"SO22000377"</f>
        <v>SO22000377</v>
      </c>
      <c r="B2059" t="str">
        <f>"E000375287"</f>
        <v>E000375287</v>
      </c>
      <c r="C2059" t="str">
        <f>"בסיום הרכבה"</f>
        <v>בסיום הרכבה</v>
      </c>
      <c r="E2059" s="3">
        <v>44847</v>
      </c>
      <c r="F2059" s="3">
        <v>44941</v>
      </c>
      <c r="G2059" t="str">
        <f>"700065"</f>
        <v>700065</v>
      </c>
      <c r="H2059" t="str">
        <f>"אלתא מערכות בע""מ"</f>
        <v>אלתא מערכות בע"מ</v>
      </c>
      <c r="I2059" t="str">
        <f>"רחמים זרוק"</f>
        <v>רחמים זרוק</v>
      </c>
      <c r="J2059" t="str">
        <f>"OP-AR03343"</f>
        <v>OP-AR03343</v>
      </c>
      <c r="K2059" s="1" t="str">
        <f>"1041M393-001    POWER CABLE WV093 - PDB1 TO RECTIFIER (L"</f>
        <v>1041M393-001    POWER CABLE WV093 - PDB1 TO RECTIFIER (L</v>
      </c>
      <c r="L2059">
        <v>6</v>
      </c>
      <c r="M2059" t="str">
        <f>"PR22000630"</f>
        <v>PR22000630</v>
      </c>
      <c r="N2059" t="str">
        <f>"E000375287"</f>
        <v>E000375287</v>
      </c>
      <c r="O2059">
        <v>192.73</v>
      </c>
      <c r="P2059" t="str">
        <f>"$"</f>
        <v>$</v>
      </c>
      <c r="Q2059" t="str">
        <f>"117"</f>
        <v>117</v>
      </c>
      <c r="R2059" t="str">
        <f>"רתמות"</f>
        <v>רתמות</v>
      </c>
      <c r="S2059" t="str">
        <f>"040"</f>
        <v>040</v>
      </c>
      <c r="T2059" t="str">
        <f>"עמר ליגל"</f>
        <v>עמר ליגל</v>
      </c>
      <c r="U2059">
        <v>0</v>
      </c>
      <c r="V2059">
        <v>0</v>
      </c>
      <c r="W2059">
        <v>192.73</v>
      </c>
      <c r="X2059" s="2">
        <v>1156.3800000000001</v>
      </c>
      <c r="Z2059" t="str">
        <f>"Y"</f>
        <v>Y</v>
      </c>
      <c r="AA2059">
        <v>0</v>
      </c>
      <c r="AC2059">
        <v>0</v>
      </c>
      <c r="AE2059">
        <v>0</v>
      </c>
      <c r="AF2059">
        <v>0</v>
      </c>
      <c r="AG2059">
        <v>689.2</v>
      </c>
      <c r="AH2059">
        <v>0</v>
      </c>
      <c r="AI2059" s="2">
        <v>4135.21</v>
      </c>
      <c r="AJ2059" s="2">
        <v>1156.3800000000001</v>
      </c>
      <c r="AK2059" s="2">
        <v>1156.3800000000001</v>
      </c>
      <c r="AL2059" t="str">
        <f>"$"</f>
        <v>$</v>
      </c>
    </row>
    <row r="2060" spans="1:38" x14ac:dyDescent="0.3">
      <c r="A2060" t="str">
        <f>"SO22000377"</f>
        <v>SO22000377</v>
      </c>
      <c r="B2060" t="str">
        <f>"E000375287"</f>
        <v>E000375287</v>
      </c>
      <c r="C2060" t="str">
        <f>"בסיום הרכבה"</f>
        <v>בסיום הרכבה</v>
      </c>
      <c r="E2060" s="3">
        <v>44847</v>
      </c>
      <c r="F2060" s="3">
        <v>44941</v>
      </c>
      <c r="G2060" t="str">
        <f>"700065"</f>
        <v>700065</v>
      </c>
      <c r="H2060" t="str">
        <f>"אלתא מערכות בע""מ"</f>
        <v>אלתא מערכות בע"מ</v>
      </c>
      <c r="I2060" t="str">
        <f>"רחמים זרוק"</f>
        <v>רחמים זרוק</v>
      </c>
      <c r="J2060" t="str">
        <f>"OP-AR03344"</f>
        <v>OP-AR03344</v>
      </c>
      <c r="K2060" s="1" t="str">
        <f>"1041M394-001    POWER CABLE WV094 - PDB1 TO RECTIFIER (N"</f>
        <v>1041M394-001    POWER CABLE WV094 - PDB1 TO RECTIFIER (N</v>
      </c>
      <c r="L2060">
        <v>6</v>
      </c>
      <c r="M2060" t="str">
        <f>"PR22000630"</f>
        <v>PR22000630</v>
      </c>
      <c r="N2060" t="str">
        <f>"E000375287"</f>
        <v>E000375287</v>
      </c>
      <c r="O2060">
        <v>192.73</v>
      </c>
      <c r="P2060" t="str">
        <f>"$"</f>
        <v>$</v>
      </c>
      <c r="Q2060" t="str">
        <f>"117"</f>
        <v>117</v>
      </c>
      <c r="R2060" t="str">
        <f>"רתמות"</f>
        <v>רתמות</v>
      </c>
      <c r="S2060" t="str">
        <f>"040"</f>
        <v>040</v>
      </c>
      <c r="T2060" t="str">
        <f>"עמר ליגל"</f>
        <v>עמר ליגל</v>
      </c>
      <c r="U2060">
        <v>0</v>
      </c>
      <c r="V2060">
        <v>0</v>
      </c>
      <c r="W2060">
        <v>192.73</v>
      </c>
      <c r="X2060" s="2">
        <v>1156.3800000000001</v>
      </c>
      <c r="Z2060" t="str">
        <f>"Y"</f>
        <v>Y</v>
      </c>
      <c r="AA2060">
        <v>0</v>
      </c>
      <c r="AC2060">
        <v>0</v>
      </c>
      <c r="AE2060">
        <v>0</v>
      </c>
      <c r="AF2060">
        <v>0</v>
      </c>
      <c r="AG2060">
        <v>689.2</v>
      </c>
      <c r="AH2060">
        <v>0</v>
      </c>
      <c r="AI2060" s="2">
        <v>4135.21</v>
      </c>
      <c r="AJ2060" s="2">
        <v>1156.3800000000001</v>
      </c>
      <c r="AK2060" s="2">
        <v>1156.3800000000001</v>
      </c>
      <c r="AL2060" t="str">
        <f>"$"</f>
        <v>$</v>
      </c>
    </row>
    <row r="2061" spans="1:38" x14ac:dyDescent="0.3">
      <c r="A2061" t="str">
        <f>"SO22000377"</f>
        <v>SO22000377</v>
      </c>
      <c r="B2061" t="str">
        <f>"E000375287"</f>
        <v>E000375287</v>
      </c>
      <c r="C2061" t="str">
        <f>"בסיום הרכבה"</f>
        <v>בסיום הרכבה</v>
      </c>
      <c r="E2061" s="3">
        <v>44847</v>
      </c>
      <c r="F2061" s="3">
        <v>44941</v>
      </c>
      <c r="G2061" t="str">
        <f>"700065"</f>
        <v>700065</v>
      </c>
      <c r="H2061" t="str">
        <f>"אלתא מערכות בע""מ"</f>
        <v>אלתא מערכות בע"מ</v>
      </c>
      <c r="I2061" t="str">
        <f>"רחמים זרוק"</f>
        <v>רחמים זרוק</v>
      </c>
      <c r="J2061" t="str">
        <f>"OP-AR03345"</f>
        <v>OP-AR03345</v>
      </c>
      <c r="K2061" s="1" t="str">
        <f>"1041M395-001    POWER CABLE WV095 - PDB1 TO RECTIFIER (G"</f>
        <v>1041M395-001    POWER CABLE WV095 - PDB1 TO RECTIFIER (G</v>
      </c>
      <c r="L2061">
        <v>6</v>
      </c>
      <c r="M2061" t="str">
        <f>"PR22000630"</f>
        <v>PR22000630</v>
      </c>
      <c r="N2061" t="str">
        <f>"E000375287"</f>
        <v>E000375287</v>
      </c>
      <c r="O2061">
        <v>212.01</v>
      </c>
      <c r="P2061" t="str">
        <f>"$"</f>
        <v>$</v>
      </c>
      <c r="Q2061" t="str">
        <f>"117"</f>
        <v>117</v>
      </c>
      <c r="R2061" t="str">
        <f>"רתמות"</f>
        <v>רתמות</v>
      </c>
      <c r="S2061" t="str">
        <f>"040"</f>
        <v>040</v>
      </c>
      <c r="T2061" t="str">
        <f>"עמר ליגל"</f>
        <v>עמר ליגל</v>
      </c>
      <c r="U2061">
        <v>0</v>
      </c>
      <c r="V2061">
        <v>0</v>
      </c>
      <c r="W2061">
        <v>212.01</v>
      </c>
      <c r="X2061" s="2">
        <v>1272.06</v>
      </c>
      <c r="Z2061" t="str">
        <f>"Y"</f>
        <v>Y</v>
      </c>
      <c r="AA2061">
        <v>0</v>
      </c>
      <c r="AC2061">
        <v>0</v>
      </c>
      <c r="AE2061">
        <v>0</v>
      </c>
      <c r="AF2061">
        <v>0</v>
      </c>
      <c r="AG2061">
        <v>758.15</v>
      </c>
      <c r="AH2061">
        <v>0</v>
      </c>
      <c r="AI2061" s="2">
        <v>4548.8900000000003</v>
      </c>
      <c r="AJ2061" s="2">
        <v>1272.06</v>
      </c>
      <c r="AK2061" s="2">
        <v>1272.06</v>
      </c>
      <c r="AL2061" t="str">
        <f>"$"</f>
        <v>$</v>
      </c>
    </row>
    <row r="2062" spans="1:38" x14ac:dyDescent="0.3">
      <c r="A2062" t="str">
        <f>"SO22000378"</f>
        <v>SO22000378</v>
      </c>
      <c r="B2062" t="str">
        <f>"E000374542"</f>
        <v>E000374542</v>
      </c>
      <c r="C2062" t="str">
        <f>"בוצעה"</f>
        <v>בוצעה</v>
      </c>
      <c r="E2062" s="3">
        <v>44847</v>
      </c>
      <c r="F2062" s="3">
        <v>44967</v>
      </c>
      <c r="G2062" t="str">
        <f>"700065"</f>
        <v>700065</v>
      </c>
      <c r="H2062" t="str">
        <f>"אלתא מערכות בע""מ"</f>
        <v>אלתא מערכות בע"מ</v>
      </c>
      <c r="I2062" t="str">
        <f>"רחמים זרוק"</f>
        <v>רחמים זרוק</v>
      </c>
      <c r="J2062" t="str">
        <f>"OP-AR03334"</f>
        <v>OP-AR03334</v>
      </c>
      <c r="K2062" s="1" t="str">
        <f>"1041G801-001    HARNESS W801 - CONTROL KVM C2"</f>
        <v>1041G801-001    HARNESS W801 - CONTROL KVM C2</v>
      </c>
      <c r="L2062">
        <v>4</v>
      </c>
      <c r="M2062" t="str">
        <f>"PR22000629"</f>
        <v>PR22000629</v>
      </c>
      <c r="N2062" t="str">
        <f>"E000374542"</f>
        <v>E000374542</v>
      </c>
      <c r="O2062">
        <v>565.75</v>
      </c>
      <c r="P2062" t="str">
        <f>"$"</f>
        <v>$</v>
      </c>
      <c r="Q2062" t="str">
        <f>"117"</f>
        <v>117</v>
      </c>
      <c r="R2062" t="str">
        <f>"רתמות"</f>
        <v>רתמות</v>
      </c>
      <c r="S2062" t="str">
        <f>"040"</f>
        <v>040</v>
      </c>
      <c r="T2062" t="str">
        <f>"עמר ליגל"</f>
        <v>עמר ליגל</v>
      </c>
      <c r="U2062">
        <v>0</v>
      </c>
      <c r="V2062">
        <v>0</v>
      </c>
      <c r="W2062">
        <v>565.75</v>
      </c>
      <c r="X2062" s="2">
        <v>2263</v>
      </c>
      <c r="Z2062" t="str">
        <f>"Y"</f>
        <v>Y</v>
      </c>
      <c r="AA2062">
        <v>0</v>
      </c>
      <c r="AC2062">
        <v>0</v>
      </c>
      <c r="AE2062">
        <v>0</v>
      </c>
      <c r="AF2062">
        <v>0</v>
      </c>
      <c r="AG2062" s="2">
        <v>2023.12</v>
      </c>
      <c r="AH2062">
        <v>0</v>
      </c>
      <c r="AI2062" s="2">
        <v>8092.49</v>
      </c>
      <c r="AJ2062" s="2">
        <v>2263</v>
      </c>
      <c r="AK2062" s="2">
        <v>2263</v>
      </c>
      <c r="AL2062" t="str">
        <f>"$"</f>
        <v>$</v>
      </c>
    </row>
    <row r="2063" spans="1:38" x14ac:dyDescent="0.3">
      <c r="A2063" t="str">
        <f>"SO22000378"</f>
        <v>SO22000378</v>
      </c>
      <c r="B2063" t="str">
        <f>"E000374542"</f>
        <v>E000374542</v>
      </c>
      <c r="C2063" t="str">
        <f>"בוצעה"</f>
        <v>בוצעה</v>
      </c>
      <c r="E2063" s="3">
        <v>44847</v>
      </c>
      <c r="F2063" s="3">
        <v>44967</v>
      </c>
      <c r="G2063" t="str">
        <f>"700065"</f>
        <v>700065</v>
      </c>
      <c r="H2063" t="str">
        <f>"אלתא מערכות בע""מ"</f>
        <v>אלתא מערכות בע"מ</v>
      </c>
      <c r="I2063" t="str">
        <f>"רחמים זרוק"</f>
        <v>רחמים זרוק</v>
      </c>
      <c r="J2063" t="str">
        <f>"OP-AR03335"</f>
        <v>OP-AR03335</v>
      </c>
      <c r="K2063" s="1" t="str">
        <f>"1041G802-001    CONTROL KVM NOVA (W802)"</f>
        <v>1041G802-001    CONTROL KVM NOVA (W802)</v>
      </c>
      <c r="L2063">
        <v>4</v>
      </c>
      <c r="M2063" t="str">
        <f>"PR22000629"</f>
        <v>PR22000629</v>
      </c>
      <c r="N2063" t="str">
        <f>"E000374542"</f>
        <v>E000374542</v>
      </c>
      <c r="O2063">
        <v>585.62</v>
      </c>
      <c r="P2063" t="str">
        <f>"$"</f>
        <v>$</v>
      </c>
      <c r="Q2063" t="str">
        <f>"117"</f>
        <v>117</v>
      </c>
      <c r="R2063" t="str">
        <f>"רתמות"</f>
        <v>רתמות</v>
      </c>
      <c r="S2063" t="str">
        <f>"040"</f>
        <v>040</v>
      </c>
      <c r="T2063" t="str">
        <f>"עמר ליגל"</f>
        <v>עמר ליגל</v>
      </c>
      <c r="U2063">
        <v>0</v>
      </c>
      <c r="V2063">
        <v>0</v>
      </c>
      <c r="W2063">
        <v>585.62</v>
      </c>
      <c r="X2063" s="2">
        <v>2342.48</v>
      </c>
      <c r="Z2063" t="str">
        <f>"Y"</f>
        <v>Y</v>
      </c>
      <c r="AA2063">
        <v>0</v>
      </c>
      <c r="AC2063">
        <v>0</v>
      </c>
      <c r="AE2063">
        <v>0</v>
      </c>
      <c r="AF2063">
        <v>0</v>
      </c>
      <c r="AG2063" s="2">
        <v>2094.1799999999998</v>
      </c>
      <c r="AH2063">
        <v>0</v>
      </c>
      <c r="AI2063" s="2">
        <v>8376.7099999999991</v>
      </c>
      <c r="AJ2063" s="2">
        <v>2342.48</v>
      </c>
      <c r="AK2063" s="2">
        <v>2342.48</v>
      </c>
      <c r="AL2063" t="str">
        <f>"$"</f>
        <v>$</v>
      </c>
    </row>
    <row r="2064" spans="1:38" x14ac:dyDescent="0.3">
      <c r="A2064" t="str">
        <f>"SO22000378"</f>
        <v>SO22000378</v>
      </c>
      <c r="B2064" t="str">
        <f>"E000374542"</f>
        <v>E000374542</v>
      </c>
      <c r="C2064" t="str">
        <f>"בוצעה"</f>
        <v>בוצעה</v>
      </c>
      <c r="E2064" s="3">
        <v>44847</v>
      </c>
      <c r="F2064" s="3">
        <v>44967</v>
      </c>
      <c r="G2064" t="str">
        <f>"700065"</f>
        <v>700065</v>
      </c>
      <c r="H2064" t="str">
        <f>"אלתא מערכות בע""מ"</f>
        <v>אלתא מערכות בע"מ</v>
      </c>
      <c r="I2064" t="str">
        <f>"רחמים זרוק"</f>
        <v>רחמים זרוק</v>
      </c>
      <c r="J2064" t="str">
        <f>"OP-AR03336"</f>
        <v>OP-AR03336</v>
      </c>
      <c r="K2064" s="1" t="str">
        <f>"1041G803-001    CONTROL CABLE WC064a"</f>
        <v>1041G803-001    CONTROL CABLE WC064a</v>
      </c>
      <c r="L2064">
        <v>4</v>
      </c>
      <c r="M2064" t="str">
        <f>"PR22000629"</f>
        <v>PR22000629</v>
      </c>
      <c r="N2064" t="str">
        <f>"E000374542"</f>
        <v>E000374542</v>
      </c>
      <c r="O2064">
        <v>634.75</v>
      </c>
      <c r="P2064" t="str">
        <f>"$"</f>
        <v>$</v>
      </c>
      <c r="Q2064" t="str">
        <f>"117"</f>
        <v>117</v>
      </c>
      <c r="R2064" t="str">
        <f>"רתמות"</f>
        <v>רתמות</v>
      </c>
      <c r="S2064" t="str">
        <f>"040"</f>
        <v>040</v>
      </c>
      <c r="T2064" t="str">
        <f>"עמר ליגל"</f>
        <v>עמר ליגל</v>
      </c>
      <c r="U2064">
        <v>0</v>
      </c>
      <c r="V2064">
        <v>0</v>
      </c>
      <c r="W2064">
        <v>634.75</v>
      </c>
      <c r="X2064" s="2">
        <v>2539</v>
      </c>
      <c r="Z2064" t="str">
        <f>"Y"</f>
        <v>Y</v>
      </c>
      <c r="AA2064">
        <v>0</v>
      </c>
      <c r="AC2064">
        <v>0</v>
      </c>
      <c r="AE2064">
        <v>0</v>
      </c>
      <c r="AF2064">
        <v>0</v>
      </c>
      <c r="AG2064" s="2">
        <v>2269.87</v>
      </c>
      <c r="AH2064">
        <v>0</v>
      </c>
      <c r="AI2064" s="2">
        <v>9079.4599999999991</v>
      </c>
      <c r="AJ2064" s="2">
        <v>2539</v>
      </c>
      <c r="AK2064" s="2">
        <v>2539</v>
      </c>
      <c r="AL2064" t="str">
        <f>"$"</f>
        <v>$</v>
      </c>
    </row>
    <row r="2065" spans="1:38" x14ac:dyDescent="0.3">
      <c r="A2065" t="str">
        <f>"SO22000378"</f>
        <v>SO22000378</v>
      </c>
      <c r="B2065" t="str">
        <f>"E000374542"</f>
        <v>E000374542</v>
      </c>
      <c r="C2065" t="str">
        <f>"בוצעה"</f>
        <v>בוצעה</v>
      </c>
      <c r="E2065" s="3">
        <v>44847</v>
      </c>
      <c r="F2065" s="3">
        <v>44967</v>
      </c>
      <c r="G2065" t="str">
        <f>"700065"</f>
        <v>700065</v>
      </c>
      <c r="H2065" t="str">
        <f>"אלתא מערכות בע""מ"</f>
        <v>אלתא מערכות בע"מ</v>
      </c>
      <c r="I2065" t="str">
        <f>"רחמים זרוק"</f>
        <v>רחמים זרוק</v>
      </c>
      <c r="J2065" t="str">
        <f>"OP-AR03337"</f>
        <v>OP-AR03337</v>
      </c>
      <c r="K2065" s="1" t="str">
        <f>"1041G804-001    POWER CABLE WP112 - INTERCOM AND SPEAKER"</f>
        <v>1041G804-001    POWER CABLE WP112 - INTERCOM AND SPEAKER</v>
      </c>
      <c r="L2065">
        <v>4</v>
      </c>
      <c r="M2065" t="str">
        <f>"PR22000629"</f>
        <v>PR22000629</v>
      </c>
      <c r="N2065" t="str">
        <f>"E000374542"</f>
        <v>E000374542</v>
      </c>
      <c r="O2065">
        <v>610.11</v>
      </c>
      <c r="P2065" t="str">
        <f>"$"</f>
        <v>$</v>
      </c>
      <c r="Q2065" t="str">
        <f>"117"</f>
        <v>117</v>
      </c>
      <c r="R2065" t="str">
        <f>"רתמות"</f>
        <v>רתמות</v>
      </c>
      <c r="S2065" t="str">
        <f>"040"</f>
        <v>040</v>
      </c>
      <c r="T2065" t="str">
        <f>"עמר ליגל"</f>
        <v>עמר ליגל</v>
      </c>
      <c r="U2065">
        <v>0</v>
      </c>
      <c r="V2065">
        <v>0</v>
      </c>
      <c r="W2065">
        <v>610.11</v>
      </c>
      <c r="X2065" s="2">
        <v>2440.44</v>
      </c>
      <c r="Z2065" t="str">
        <f>"Y"</f>
        <v>Y</v>
      </c>
      <c r="AA2065">
        <v>0</v>
      </c>
      <c r="AC2065">
        <v>0</v>
      </c>
      <c r="AE2065">
        <v>0</v>
      </c>
      <c r="AF2065">
        <v>0</v>
      </c>
      <c r="AG2065" s="2">
        <v>2181.75</v>
      </c>
      <c r="AH2065">
        <v>0</v>
      </c>
      <c r="AI2065" s="2">
        <v>8727.01</v>
      </c>
      <c r="AJ2065" s="2">
        <v>2440.44</v>
      </c>
      <c r="AK2065" s="2">
        <v>2440.44</v>
      </c>
      <c r="AL2065" t="str">
        <f>"$"</f>
        <v>$</v>
      </c>
    </row>
    <row r="2066" spans="1:38" x14ac:dyDescent="0.3">
      <c r="A2066" t="str">
        <f>"SO22000378"</f>
        <v>SO22000378</v>
      </c>
      <c r="B2066" t="str">
        <f>"E000374542"</f>
        <v>E000374542</v>
      </c>
      <c r="C2066" t="str">
        <f>"בוצעה"</f>
        <v>בוצעה</v>
      </c>
      <c r="E2066" s="3">
        <v>44847</v>
      </c>
      <c r="F2066" s="3">
        <v>44967</v>
      </c>
      <c r="G2066" t="str">
        <f>"700065"</f>
        <v>700065</v>
      </c>
      <c r="H2066" t="str">
        <f>"אלתא מערכות בע""מ"</f>
        <v>אלתא מערכות בע"מ</v>
      </c>
      <c r="I2066" t="str">
        <f>"רחמים זרוק"</f>
        <v>רחמים זרוק</v>
      </c>
      <c r="J2066" t="str">
        <f>"OP-AR03338"</f>
        <v>OP-AR03338</v>
      </c>
      <c r="K2066" s="1" t="str">
        <f>"1041G805-001   CONTROL CABLE WC064b"</f>
        <v>1041G805-001   CONTROL CABLE WC064b</v>
      </c>
      <c r="L2066">
        <v>4</v>
      </c>
      <c r="M2066" t="str">
        <f>"PR22000629"</f>
        <v>PR22000629</v>
      </c>
      <c r="N2066" t="str">
        <f>"E000374542"</f>
        <v>E000374542</v>
      </c>
      <c r="O2066">
        <v>606.66</v>
      </c>
      <c r="P2066" t="str">
        <f>"$"</f>
        <v>$</v>
      </c>
      <c r="Q2066" t="str">
        <f>"117"</f>
        <v>117</v>
      </c>
      <c r="R2066" t="str">
        <f>"רתמות"</f>
        <v>רתמות</v>
      </c>
      <c r="S2066" t="str">
        <f>"040"</f>
        <v>040</v>
      </c>
      <c r="T2066" t="str">
        <f>"עמר ליגל"</f>
        <v>עמר ליגל</v>
      </c>
      <c r="U2066">
        <v>0</v>
      </c>
      <c r="V2066">
        <v>0</v>
      </c>
      <c r="W2066">
        <v>606.66</v>
      </c>
      <c r="X2066" s="2">
        <v>2426.64</v>
      </c>
      <c r="Z2066" t="str">
        <f>"Y"</f>
        <v>Y</v>
      </c>
      <c r="AA2066">
        <v>0</v>
      </c>
      <c r="AC2066">
        <v>0</v>
      </c>
      <c r="AE2066">
        <v>0</v>
      </c>
      <c r="AF2066">
        <v>0</v>
      </c>
      <c r="AG2066" s="2">
        <v>2169.42</v>
      </c>
      <c r="AH2066">
        <v>0</v>
      </c>
      <c r="AI2066" s="2">
        <v>8677.66</v>
      </c>
      <c r="AJ2066" s="2">
        <v>2426.64</v>
      </c>
      <c r="AK2066" s="2">
        <v>2426.64</v>
      </c>
      <c r="AL2066" t="str">
        <f>"$"</f>
        <v>$</v>
      </c>
    </row>
    <row r="2067" spans="1:38" x14ac:dyDescent="0.3">
      <c r="A2067" t="str">
        <f>"SO22000378"</f>
        <v>SO22000378</v>
      </c>
      <c r="B2067" t="str">
        <f>"E000374542"</f>
        <v>E000374542</v>
      </c>
      <c r="C2067" t="str">
        <f>"בוצעה"</f>
        <v>בוצעה</v>
      </c>
      <c r="E2067" s="3">
        <v>44847</v>
      </c>
      <c r="F2067" s="3">
        <v>44887</v>
      </c>
      <c r="G2067" t="str">
        <f>"700065"</f>
        <v>700065</v>
      </c>
      <c r="H2067" t="str">
        <f>"אלתא מערכות בע""מ"</f>
        <v>אלתא מערכות בע"מ</v>
      </c>
      <c r="I2067" t="str">
        <f>"רחמים זרוק"</f>
        <v>רחמים זרוק</v>
      </c>
      <c r="J2067" t="str">
        <f>"000"</f>
        <v>000</v>
      </c>
      <c r="K2067" s="1" t="str">
        <f>"עלות תכנון של השרטוטים"</f>
        <v>עלות תכנון של השרטוטים</v>
      </c>
      <c r="L2067">
        <v>1</v>
      </c>
      <c r="M2067" t="str">
        <f>"PR22000629"</f>
        <v>PR22000629</v>
      </c>
      <c r="N2067" t="str">
        <f>"E000374542"</f>
        <v>E000374542</v>
      </c>
      <c r="O2067" s="2">
        <v>2550</v>
      </c>
      <c r="P2067" t="str">
        <f>"$"</f>
        <v>$</v>
      </c>
      <c r="Q2067" t="str">
        <f>"117"</f>
        <v>117</v>
      </c>
      <c r="R2067" t="str">
        <f>"רתמות"</f>
        <v>רתמות</v>
      </c>
      <c r="S2067" t="str">
        <f>"040"</f>
        <v>040</v>
      </c>
      <c r="T2067" t="str">
        <f>"עמר ליגל"</f>
        <v>עמר ליגל</v>
      </c>
      <c r="U2067">
        <v>0</v>
      </c>
      <c r="V2067">
        <v>0</v>
      </c>
      <c r="W2067" s="2">
        <v>2550</v>
      </c>
      <c r="X2067" s="2">
        <v>2550</v>
      </c>
      <c r="Z2067" t="str">
        <f>"Y"</f>
        <v>Y</v>
      </c>
      <c r="AA2067">
        <v>1</v>
      </c>
      <c r="AC2067">
        <v>0</v>
      </c>
      <c r="AE2067">
        <v>0</v>
      </c>
      <c r="AF2067">
        <v>0</v>
      </c>
      <c r="AG2067" s="2">
        <v>9118.7999999999993</v>
      </c>
      <c r="AH2067">
        <v>0</v>
      </c>
      <c r="AI2067" s="2">
        <v>9118.7999999999993</v>
      </c>
      <c r="AJ2067" s="2">
        <v>2550</v>
      </c>
      <c r="AK2067" s="2">
        <v>2550</v>
      </c>
      <c r="AL2067" t="str">
        <f>"$"</f>
        <v>$</v>
      </c>
    </row>
    <row r="2068" spans="1:38" x14ac:dyDescent="0.3">
      <c r="A2068" t="str">
        <f>"SO22000382"</f>
        <v>SO22000382</v>
      </c>
      <c r="B2068" t="str">
        <f>"E000376135"</f>
        <v>E000376135</v>
      </c>
      <c r="C2068" t="str">
        <f>"בוצעה"</f>
        <v>בוצעה</v>
      </c>
      <c r="E2068" s="3">
        <v>44857</v>
      </c>
      <c r="F2068" s="3">
        <v>44926</v>
      </c>
      <c r="G2068" t="str">
        <f>"700065"</f>
        <v>700065</v>
      </c>
      <c r="H2068" t="str">
        <f>"אלתא מערכות בע""מ"</f>
        <v>אלתא מערכות בע"מ</v>
      </c>
      <c r="I2068" t="str">
        <f>"ערן שלו"</f>
        <v>ערן שלו</v>
      </c>
      <c r="J2068" t="str">
        <f>"cust001446"</f>
        <v>cust001446</v>
      </c>
      <c r="K2068" s="1" t="str">
        <f>"ELTA 1031W180-001 PDB"</f>
        <v>ELTA 1031W180-001 PDB</v>
      </c>
      <c r="L2068">
        <v>1</v>
      </c>
      <c r="O2068">
        <v>0</v>
      </c>
      <c r="P2068" t="str">
        <f>"$"</f>
        <v>$</v>
      </c>
      <c r="Q2068" t="str">
        <f>"118"</f>
        <v>118</v>
      </c>
      <c r="R2068" t="str">
        <f>"מערכות"</f>
        <v>מערכות</v>
      </c>
      <c r="S2068" t="str">
        <f>"034"</f>
        <v>034</v>
      </c>
      <c r="T2068" t="str">
        <f>"עמר ליגל"</f>
        <v>עמר ליגל</v>
      </c>
      <c r="U2068">
        <v>0</v>
      </c>
      <c r="V2068">
        <v>0</v>
      </c>
      <c r="W2068">
        <v>0</v>
      </c>
      <c r="X2068">
        <v>0</v>
      </c>
      <c r="Z2068" t="str">
        <f>"Y"</f>
        <v>Y</v>
      </c>
      <c r="AA2068">
        <v>0</v>
      </c>
      <c r="AC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 t="str">
        <f>"$"</f>
        <v>$</v>
      </c>
    </row>
    <row r="2069" spans="1:38" x14ac:dyDescent="0.3">
      <c r="A2069" t="str">
        <f>"SO22000385"</f>
        <v>SO22000385</v>
      </c>
      <c r="B2069" t="str">
        <f>"E000374617"</f>
        <v>E000374617</v>
      </c>
      <c r="C2069" t="str">
        <f>"בוצעה"</f>
        <v>בוצעה</v>
      </c>
      <c r="E2069" s="3">
        <v>44860</v>
      </c>
      <c r="F2069" s="3">
        <v>45005</v>
      </c>
      <c r="G2069" t="str">
        <f>"700065"</f>
        <v>700065</v>
      </c>
      <c r="H2069" t="str">
        <f>"אלתא מערכות בע""מ"</f>
        <v>אלתא מערכות בע"מ</v>
      </c>
      <c r="I2069" t="str">
        <f>"רחמים זרוק"</f>
        <v>רחמים זרוק</v>
      </c>
      <c r="J2069" t="str">
        <f>"OP-AR03360"</f>
        <v>OP-AR03360</v>
      </c>
      <c r="K2069" s="1" t="str">
        <f>"1094U185-001    JTAG CABLE FOR ANTENNA"</f>
        <v>1094U185-001    JTAG CABLE FOR ANTENNA</v>
      </c>
      <c r="L2069">
        <v>5</v>
      </c>
      <c r="M2069" t="str">
        <f>"PR22000671"</f>
        <v>PR22000671</v>
      </c>
      <c r="N2069" t="str">
        <f>"E000374617"</f>
        <v>E000374617</v>
      </c>
      <c r="O2069">
        <v>560.55999999999995</v>
      </c>
      <c r="P2069" t="str">
        <f>"$"</f>
        <v>$</v>
      </c>
      <c r="Q2069" t="str">
        <f>"117"</f>
        <v>117</v>
      </c>
      <c r="R2069" t="str">
        <f>"רתמות"</f>
        <v>רתמות</v>
      </c>
      <c r="S2069" t="str">
        <f>"040"</f>
        <v>040</v>
      </c>
      <c r="T2069" t="str">
        <f>"עמר ליגל"</f>
        <v>עמר ליגל</v>
      </c>
      <c r="U2069">
        <v>0</v>
      </c>
      <c r="V2069">
        <v>0</v>
      </c>
      <c r="W2069">
        <v>560.55999999999995</v>
      </c>
      <c r="X2069" s="2">
        <v>2802.8</v>
      </c>
      <c r="Z2069" t="str">
        <f>"Y"</f>
        <v>Y</v>
      </c>
      <c r="AA2069">
        <v>0</v>
      </c>
      <c r="AC2069">
        <v>0</v>
      </c>
      <c r="AE2069">
        <v>0</v>
      </c>
      <c r="AF2069">
        <v>0</v>
      </c>
      <c r="AG2069" s="2">
        <v>1962.52</v>
      </c>
      <c r="AH2069">
        <v>0</v>
      </c>
      <c r="AI2069" s="2">
        <v>9812.6</v>
      </c>
      <c r="AJ2069" s="2">
        <v>2802.8</v>
      </c>
      <c r="AK2069" s="2">
        <v>2802.8</v>
      </c>
      <c r="AL2069" t="str">
        <f>"$"</f>
        <v>$</v>
      </c>
    </row>
    <row r="2070" spans="1:38" x14ac:dyDescent="0.3">
      <c r="A2070" t="str">
        <f>"SO22000385"</f>
        <v>SO22000385</v>
      </c>
      <c r="B2070" t="str">
        <f>"E000374617"</f>
        <v>E000374617</v>
      </c>
      <c r="C2070" t="str">
        <f>"בוצעה"</f>
        <v>בוצעה</v>
      </c>
      <c r="E2070" s="3">
        <v>44860</v>
      </c>
      <c r="F2070" s="3">
        <v>45005</v>
      </c>
      <c r="G2070" t="str">
        <f>"700065"</f>
        <v>700065</v>
      </c>
      <c r="H2070" t="str">
        <f>"אלתא מערכות בע""מ"</f>
        <v>אלתא מערכות בע"מ</v>
      </c>
      <c r="I2070" t="str">
        <f>"רחמים זרוק"</f>
        <v>רחמים זרוק</v>
      </c>
      <c r="J2070" t="str">
        <f>"OP-AR03361"</f>
        <v>OP-AR03361</v>
      </c>
      <c r="K2070" s="1" t="str">
        <f>"1097A822-001    ANTENNA TO NC2I TESTER CABLE"</f>
        <v>1097A822-001    ANTENNA TO NC2I TESTER CABLE</v>
      </c>
      <c r="L2070">
        <v>3</v>
      </c>
      <c r="M2070" t="str">
        <f>"PR22000671"</f>
        <v>PR22000671</v>
      </c>
      <c r="N2070" t="str">
        <f>"E000374617"</f>
        <v>E000374617</v>
      </c>
      <c r="O2070">
        <v>303.10000000000002</v>
      </c>
      <c r="P2070" t="str">
        <f>"$"</f>
        <v>$</v>
      </c>
      <c r="Q2070" t="str">
        <f>"117"</f>
        <v>117</v>
      </c>
      <c r="R2070" t="str">
        <f>"רתמות"</f>
        <v>רתמות</v>
      </c>
      <c r="S2070" t="str">
        <f>"040"</f>
        <v>040</v>
      </c>
      <c r="T2070" t="str">
        <f>"עמר ליגל"</f>
        <v>עמר ליגל</v>
      </c>
      <c r="U2070">
        <v>0</v>
      </c>
      <c r="V2070">
        <v>0</v>
      </c>
      <c r="W2070">
        <v>303.10000000000002</v>
      </c>
      <c r="X2070">
        <v>909.3</v>
      </c>
      <c r="Z2070" t="str">
        <f>"Y"</f>
        <v>Y</v>
      </c>
      <c r="AA2070">
        <v>0</v>
      </c>
      <c r="AC2070">
        <v>0</v>
      </c>
      <c r="AE2070">
        <v>0</v>
      </c>
      <c r="AF2070">
        <v>0</v>
      </c>
      <c r="AG2070" s="2">
        <v>1061.1500000000001</v>
      </c>
      <c r="AH2070">
        <v>0</v>
      </c>
      <c r="AI2070" s="2">
        <v>3183.46</v>
      </c>
      <c r="AJ2070">
        <v>909.3</v>
      </c>
      <c r="AK2070">
        <v>909.3</v>
      </c>
      <c r="AL2070" t="str">
        <f>"$"</f>
        <v>$</v>
      </c>
    </row>
    <row r="2071" spans="1:38" x14ac:dyDescent="0.3">
      <c r="A2071" t="str">
        <f>"SO22000385"</f>
        <v>SO22000385</v>
      </c>
      <c r="B2071" t="str">
        <f>"E000374617"</f>
        <v>E000374617</v>
      </c>
      <c r="C2071" t="str">
        <f>"בוצעה"</f>
        <v>בוצעה</v>
      </c>
      <c r="E2071" s="3">
        <v>44860</v>
      </c>
      <c r="F2071" s="3">
        <v>45005</v>
      </c>
      <c r="G2071" t="str">
        <f>"700065"</f>
        <v>700065</v>
      </c>
      <c r="H2071" t="str">
        <f>"אלתא מערכות בע""מ"</f>
        <v>אלתא מערכות בע"מ</v>
      </c>
      <c r="I2071" t="str">
        <f>"רחמים זרוק"</f>
        <v>רחמים זרוק</v>
      </c>
      <c r="J2071" t="str">
        <f>"OP-AR03361"</f>
        <v>OP-AR03361</v>
      </c>
      <c r="K2071" s="1" t="str">
        <f>"1097A822-001    ANTENNA TO NC2I TESTER CABLE"</f>
        <v>1097A822-001    ANTENNA TO NC2I TESTER CABLE</v>
      </c>
      <c r="L2071">
        <v>1</v>
      </c>
      <c r="M2071" t="str">
        <f>"PR22000671"</f>
        <v>PR22000671</v>
      </c>
      <c r="N2071" t="str">
        <f>"E000374617"</f>
        <v>E000374617</v>
      </c>
      <c r="O2071">
        <v>303.10000000000002</v>
      </c>
      <c r="P2071" t="str">
        <f>"$"</f>
        <v>$</v>
      </c>
      <c r="Q2071" t="str">
        <f>"117"</f>
        <v>117</v>
      </c>
      <c r="R2071" t="str">
        <f>"רתמות"</f>
        <v>רתמות</v>
      </c>
      <c r="S2071" t="str">
        <f>"040"</f>
        <v>040</v>
      </c>
      <c r="T2071" t="str">
        <f>"עמר ליגל"</f>
        <v>עמר ליגל</v>
      </c>
      <c r="U2071">
        <v>0</v>
      </c>
      <c r="V2071">
        <v>0</v>
      </c>
      <c r="W2071">
        <v>303.10000000000002</v>
      </c>
      <c r="X2071">
        <v>303.10000000000002</v>
      </c>
      <c r="Z2071" t="str">
        <f>"Y"</f>
        <v>Y</v>
      </c>
      <c r="AA2071">
        <v>0</v>
      </c>
      <c r="AC2071">
        <v>0</v>
      </c>
      <c r="AE2071">
        <v>0</v>
      </c>
      <c r="AF2071">
        <v>0</v>
      </c>
      <c r="AG2071" s="2">
        <v>1061.1500000000001</v>
      </c>
      <c r="AH2071">
        <v>0</v>
      </c>
      <c r="AI2071" s="2">
        <v>1061.1500000000001</v>
      </c>
      <c r="AJ2071">
        <v>303.10000000000002</v>
      </c>
      <c r="AK2071">
        <v>303.10000000000002</v>
      </c>
      <c r="AL2071" t="str">
        <f>"$"</f>
        <v>$</v>
      </c>
    </row>
    <row r="2072" spans="1:38" x14ac:dyDescent="0.3">
      <c r="A2072" t="str">
        <f>"SO22000385"</f>
        <v>SO22000385</v>
      </c>
      <c r="B2072" t="str">
        <f>"E000374617"</f>
        <v>E000374617</v>
      </c>
      <c r="C2072" t="str">
        <f>"בוצעה"</f>
        <v>בוצעה</v>
      </c>
      <c r="E2072" s="3">
        <v>44860</v>
      </c>
      <c r="F2072" s="3">
        <v>45005</v>
      </c>
      <c r="G2072" t="str">
        <f>"700065"</f>
        <v>700065</v>
      </c>
      <c r="H2072" t="str">
        <f>"אלתא מערכות בע""מ"</f>
        <v>אלתא מערכות בע"מ</v>
      </c>
      <c r="I2072" t="str">
        <f>"רחמים זרוק"</f>
        <v>רחמים זרוק</v>
      </c>
      <c r="J2072" t="str">
        <f>"OP-AR03362"</f>
        <v>OP-AR03362</v>
      </c>
      <c r="K2072" s="1" t="str">
        <f>"2081B122-001    CABLE ASSY W42-8 (RP POWER)"</f>
        <v>2081B122-001    CABLE ASSY W42-8 (RP POWER)</v>
      </c>
      <c r="L2072">
        <v>1</v>
      </c>
      <c r="M2072" t="str">
        <f>"PR22000671"</f>
        <v>PR22000671</v>
      </c>
      <c r="N2072" t="str">
        <f>"E000374617"</f>
        <v>E000374617</v>
      </c>
      <c r="O2072">
        <v>571.5</v>
      </c>
      <c r="P2072" t="str">
        <f>"$"</f>
        <v>$</v>
      </c>
      <c r="Q2072" t="str">
        <f>"117"</f>
        <v>117</v>
      </c>
      <c r="R2072" t="str">
        <f>"רתמות"</f>
        <v>רתמות</v>
      </c>
      <c r="S2072" t="str">
        <f>"040"</f>
        <v>040</v>
      </c>
      <c r="T2072" t="str">
        <f>"עמר ליגל"</f>
        <v>עמר ליגל</v>
      </c>
      <c r="U2072">
        <v>0</v>
      </c>
      <c r="V2072">
        <v>0</v>
      </c>
      <c r="W2072">
        <v>571.5</v>
      </c>
      <c r="X2072">
        <v>571.5</v>
      </c>
      <c r="Z2072" t="str">
        <f>"Y"</f>
        <v>Y</v>
      </c>
      <c r="AA2072">
        <v>0</v>
      </c>
      <c r="AC2072">
        <v>0</v>
      </c>
      <c r="AE2072">
        <v>0</v>
      </c>
      <c r="AF2072">
        <v>0</v>
      </c>
      <c r="AG2072" s="2">
        <v>2000.82</v>
      </c>
      <c r="AH2072">
        <v>0</v>
      </c>
      <c r="AI2072" s="2">
        <v>2000.82</v>
      </c>
      <c r="AJ2072">
        <v>571.5</v>
      </c>
      <c r="AK2072">
        <v>571.5</v>
      </c>
      <c r="AL2072" t="str">
        <f>"$"</f>
        <v>$</v>
      </c>
    </row>
    <row r="2073" spans="1:38" x14ac:dyDescent="0.3">
      <c r="A2073" t="str">
        <f>"SO22000385"</f>
        <v>SO22000385</v>
      </c>
      <c r="B2073" t="str">
        <f>"E000374617"</f>
        <v>E000374617</v>
      </c>
      <c r="C2073" t="str">
        <f>"בוצעה"</f>
        <v>בוצעה</v>
      </c>
      <c r="E2073" s="3">
        <v>44860</v>
      </c>
      <c r="F2073" s="3">
        <v>45005</v>
      </c>
      <c r="G2073" t="str">
        <f>"700065"</f>
        <v>700065</v>
      </c>
      <c r="H2073" t="str">
        <f>"אלתא מערכות בע""מ"</f>
        <v>אלתא מערכות בע"מ</v>
      </c>
      <c r="I2073" t="str">
        <f>"רחמים זרוק"</f>
        <v>רחמים זרוק</v>
      </c>
      <c r="J2073" t="str">
        <f>"OP-AR03363"</f>
        <v>OP-AR03363</v>
      </c>
      <c r="K2073" s="1" t="str">
        <f>"2135B066-002    CABLE ASSY MRW103"</f>
        <v>2135B066-002    CABLE ASSY MRW103</v>
      </c>
      <c r="L2073">
        <v>1</v>
      </c>
      <c r="M2073" t="str">
        <f>"PR22000671"</f>
        <v>PR22000671</v>
      </c>
      <c r="N2073" t="str">
        <f>"E000374617"</f>
        <v>E000374617</v>
      </c>
      <c r="O2073">
        <v>381.8</v>
      </c>
      <c r="P2073" t="str">
        <f>"$"</f>
        <v>$</v>
      </c>
      <c r="Q2073" t="str">
        <f>"117"</f>
        <v>117</v>
      </c>
      <c r="R2073" t="str">
        <f>"רתמות"</f>
        <v>רתמות</v>
      </c>
      <c r="S2073" t="str">
        <f>"040"</f>
        <v>040</v>
      </c>
      <c r="T2073" t="str">
        <f>"עמר ליגל"</f>
        <v>עמר ליגל</v>
      </c>
      <c r="U2073">
        <v>0</v>
      </c>
      <c r="V2073">
        <v>0</v>
      </c>
      <c r="W2073">
        <v>381.8</v>
      </c>
      <c r="X2073">
        <v>381.8</v>
      </c>
      <c r="Z2073" t="str">
        <f>"Y"</f>
        <v>Y</v>
      </c>
      <c r="AA2073">
        <v>0</v>
      </c>
      <c r="AC2073">
        <v>0</v>
      </c>
      <c r="AE2073">
        <v>0</v>
      </c>
      <c r="AF2073">
        <v>0</v>
      </c>
      <c r="AG2073" s="2">
        <v>1336.68</v>
      </c>
      <c r="AH2073">
        <v>0</v>
      </c>
      <c r="AI2073" s="2">
        <v>1336.68</v>
      </c>
      <c r="AJ2073">
        <v>381.8</v>
      </c>
      <c r="AK2073">
        <v>381.8</v>
      </c>
      <c r="AL2073" t="str">
        <f>"$"</f>
        <v>$</v>
      </c>
    </row>
    <row r="2074" spans="1:38" x14ac:dyDescent="0.3">
      <c r="A2074" t="str">
        <f>"SO22000385"</f>
        <v>SO22000385</v>
      </c>
      <c r="B2074" t="str">
        <f>"E000374617"</f>
        <v>E000374617</v>
      </c>
      <c r="C2074" t="str">
        <f>"בוצעה"</f>
        <v>בוצעה</v>
      </c>
      <c r="E2074" s="3">
        <v>44860</v>
      </c>
      <c r="F2074" s="3">
        <v>45005</v>
      </c>
      <c r="G2074" t="str">
        <f>"700065"</f>
        <v>700065</v>
      </c>
      <c r="H2074" t="str">
        <f>"אלתא מערכות בע""מ"</f>
        <v>אלתא מערכות בע"מ</v>
      </c>
      <c r="I2074" t="str">
        <f>"רחמים זרוק"</f>
        <v>רחמים זרוק</v>
      </c>
      <c r="J2074" t="str">
        <f>"OP-AR03364"</f>
        <v>OP-AR03364</v>
      </c>
      <c r="K2074" s="1" t="str">
        <f>"2210B770-001    W43 CABLE ASSY"</f>
        <v>2210B770-001    W43 CABLE ASSY</v>
      </c>
      <c r="L2074">
        <v>1</v>
      </c>
      <c r="M2074" t="str">
        <f>"PR22000671"</f>
        <v>PR22000671</v>
      </c>
      <c r="N2074" t="str">
        <f>"E000374617"</f>
        <v>E000374617</v>
      </c>
      <c r="O2074">
        <v>403.1</v>
      </c>
      <c r="P2074" t="str">
        <f>"$"</f>
        <v>$</v>
      </c>
      <c r="Q2074" t="str">
        <f>"117"</f>
        <v>117</v>
      </c>
      <c r="R2074" t="str">
        <f>"רתמות"</f>
        <v>רתמות</v>
      </c>
      <c r="S2074" t="str">
        <f>"040"</f>
        <v>040</v>
      </c>
      <c r="T2074" t="str">
        <f>"עמר ליגל"</f>
        <v>עמר ליגל</v>
      </c>
      <c r="U2074">
        <v>0</v>
      </c>
      <c r="V2074">
        <v>0</v>
      </c>
      <c r="W2074">
        <v>403.1</v>
      </c>
      <c r="X2074">
        <v>403.1</v>
      </c>
      <c r="Z2074" t="str">
        <f>"Y"</f>
        <v>Y</v>
      </c>
      <c r="AA2074">
        <v>0</v>
      </c>
      <c r="AC2074">
        <v>0</v>
      </c>
      <c r="AE2074">
        <v>0</v>
      </c>
      <c r="AF2074">
        <v>0</v>
      </c>
      <c r="AG2074" s="2">
        <v>1411.25</v>
      </c>
      <c r="AH2074">
        <v>0</v>
      </c>
      <c r="AI2074" s="2">
        <v>1411.25</v>
      </c>
      <c r="AJ2074">
        <v>403.1</v>
      </c>
      <c r="AK2074">
        <v>403.1</v>
      </c>
      <c r="AL2074" t="str">
        <f>"$"</f>
        <v>$</v>
      </c>
    </row>
    <row r="2075" spans="1:38" x14ac:dyDescent="0.3">
      <c r="A2075" t="str">
        <f>"SO22000385"</f>
        <v>SO22000385</v>
      </c>
      <c r="B2075" t="str">
        <f>"E000374617"</f>
        <v>E000374617</v>
      </c>
      <c r="C2075" t="str">
        <f>"בוצעה"</f>
        <v>בוצעה</v>
      </c>
      <c r="E2075" s="3">
        <v>44860</v>
      </c>
      <c r="F2075" s="3">
        <v>45005</v>
      </c>
      <c r="G2075" t="str">
        <f>"700065"</f>
        <v>700065</v>
      </c>
      <c r="H2075" t="str">
        <f>"אלתא מערכות בע""מ"</f>
        <v>אלתא מערכות בע"מ</v>
      </c>
      <c r="I2075" t="str">
        <f>"רחמים זרוק"</f>
        <v>רחמים זרוק</v>
      </c>
      <c r="J2075" t="str">
        <f>"OP-AR03365"</f>
        <v>OP-AR03365</v>
      </c>
      <c r="K2075" s="1" t="str">
        <f>"2210B776-001    CABLE ASSY W44 (BFU PWR)"</f>
        <v>2210B776-001    CABLE ASSY W44 (BFU PWR)</v>
      </c>
      <c r="L2075">
        <v>1</v>
      </c>
      <c r="M2075" t="str">
        <f>"PR22000671"</f>
        <v>PR22000671</v>
      </c>
      <c r="N2075" t="str">
        <f>"E000374617"</f>
        <v>E000374617</v>
      </c>
      <c r="O2075">
        <v>253.61</v>
      </c>
      <c r="P2075" t="str">
        <f>"$"</f>
        <v>$</v>
      </c>
      <c r="Q2075" t="str">
        <f>"117"</f>
        <v>117</v>
      </c>
      <c r="R2075" t="str">
        <f>"רתמות"</f>
        <v>רתמות</v>
      </c>
      <c r="S2075" t="str">
        <f>"040"</f>
        <v>040</v>
      </c>
      <c r="T2075" t="str">
        <f>"עמר ליגל"</f>
        <v>עמר ליגל</v>
      </c>
      <c r="U2075">
        <v>0</v>
      </c>
      <c r="V2075">
        <v>0</v>
      </c>
      <c r="W2075">
        <v>253.61</v>
      </c>
      <c r="X2075">
        <v>253.61</v>
      </c>
      <c r="Z2075" t="str">
        <f>"Y"</f>
        <v>Y</v>
      </c>
      <c r="AA2075">
        <v>0</v>
      </c>
      <c r="AC2075">
        <v>0</v>
      </c>
      <c r="AE2075">
        <v>0</v>
      </c>
      <c r="AF2075">
        <v>0</v>
      </c>
      <c r="AG2075">
        <v>887.89</v>
      </c>
      <c r="AH2075">
        <v>0</v>
      </c>
      <c r="AI2075">
        <v>887.89</v>
      </c>
      <c r="AJ2075">
        <v>253.61</v>
      </c>
      <c r="AK2075">
        <v>253.61</v>
      </c>
      <c r="AL2075" t="str">
        <f>"$"</f>
        <v>$</v>
      </c>
    </row>
    <row r="2076" spans="1:38" x14ac:dyDescent="0.3">
      <c r="A2076" t="str">
        <f>"SO22000385"</f>
        <v>SO22000385</v>
      </c>
      <c r="B2076" t="str">
        <f>"E000374617"</f>
        <v>E000374617</v>
      </c>
      <c r="C2076" t="str">
        <f>"בוצעה"</f>
        <v>בוצעה</v>
      </c>
      <c r="E2076" s="3">
        <v>44860</v>
      </c>
      <c r="F2076" s="3">
        <v>45005</v>
      </c>
      <c r="G2076" t="str">
        <f>"700065"</f>
        <v>700065</v>
      </c>
      <c r="H2076" t="str">
        <f>"אלתא מערכות בע""מ"</f>
        <v>אלתא מערכות בע"מ</v>
      </c>
      <c r="I2076" t="str">
        <f>"רחמים זרוק"</f>
        <v>רחמים זרוק</v>
      </c>
      <c r="J2076" t="str">
        <f>"OP-AR03366"</f>
        <v>OP-AR03366</v>
      </c>
      <c r="K2076" s="1" t="str">
        <f>"2210B800-001    HARNESS WS103 - RIG CONTROL"</f>
        <v>2210B800-001    HARNESS WS103 - RIG CONTROL</v>
      </c>
      <c r="L2076">
        <v>1</v>
      </c>
      <c r="M2076" t="str">
        <f>"PR22000671"</f>
        <v>PR22000671</v>
      </c>
      <c r="N2076" t="str">
        <f>"E000374617"</f>
        <v>E000374617</v>
      </c>
      <c r="O2076" s="2">
        <v>1060.02</v>
      </c>
      <c r="P2076" t="str">
        <f>"$"</f>
        <v>$</v>
      </c>
      <c r="Q2076" t="str">
        <f>"117"</f>
        <v>117</v>
      </c>
      <c r="R2076" t="str">
        <f>"רתמות"</f>
        <v>רתמות</v>
      </c>
      <c r="S2076" t="str">
        <f>"040"</f>
        <v>040</v>
      </c>
      <c r="T2076" t="str">
        <f>"עמר ליגל"</f>
        <v>עמר ליגל</v>
      </c>
      <c r="U2076">
        <v>0</v>
      </c>
      <c r="V2076">
        <v>0</v>
      </c>
      <c r="W2076" s="2">
        <v>1060.02</v>
      </c>
      <c r="X2076" s="2">
        <v>1060.02</v>
      </c>
      <c r="Z2076" t="str">
        <f>"Y"</f>
        <v>Y</v>
      </c>
      <c r="AA2076">
        <v>0</v>
      </c>
      <c r="AC2076">
        <v>0</v>
      </c>
      <c r="AE2076">
        <v>0</v>
      </c>
      <c r="AF2076">
        <v>0</v>
      </c>
      <c r="AG2076" s="2">
        <v>3711.13</v>
      </c>
      <c r="AH2076">
        <v>0</v>
      </c>
      <c r="AI2076" s="2">
        <v>3711.13</v>
      </c>
      <c r="AJ2076" s="2">
        <v>1060.02</v>
      </c>
      <c r="AK2076" s="2">
        <v>1060.02</v>
      </c>
      <c r="AL2076" t="str">
        <f>"$"</f>
        <v>$</v>
      </c>
    </row>
    <row r="2077" spans="1:38" x14ac:dyDescent="0.3">
      <c r="A2077" t="str">
        <f>"SO22000385"</f>
        <v>SO22000385</v>
      </c>
      <c r="B2077" t="str">
        <f>"E000374617"</f>
        <v>E000374617</v>
      </c>
      <c r="C2077" t="str">
        <f>"בוצעה"</f>
        <v>בוצעה</v>
      </c>
      <c r="E2077" s="3">
        <v>44860</v>
      </c>
      <c r="F2077" s="3">
        <v>45005</v>
      </c>
      <c r="G2077" t="str">
        <f>"700065"</f>
        <v>700065</v>
      </c>
      <c r="H2077" t="str">
        <f>"אלתא מערכות בע""מ"</f>
        <v>אלתא מערכות בע"מ</v>
      </c>
      <c r="I2077" t="str">
        <f>"רחמים זרוק"</f>
        <v>רחמים זרוק</v>
      </c>
      <c r="J2077" t="str">
        <f>"OP-AR03367"</f>
        <v>OP-AR03367</v>
      </c>
      <c r="K2077" s="1" t="str">
        <f>"2210B802-001    HARNESS WS116 - LVCS DC POWER"</f>
        <v>2210B802-001    HARNESS WS116 - LVCS DC POWER</v>
      </c>
      <c r="L2077">
        <v>3</v>
      </c>
      <c r="M2077" t="str">
        <f>"PR22000671"</f>
        <v>PR22000671</v>
      </c>
      <c r="N2077" t="str">
        <f>"E000374617"</f>
        <v>E000374617</v>
      </c>
      <c r="O2077">
        <v>839.71</v>
      </c>
      <c r="P2077" t="str">
        <f>"$"</f>
        <v>$</v>
      </c>
      <c r="Q2077" t="str">
        <f>"117"</f>
        <v>117</v>
      </c>
      <c r="R2077" t="str">
        <f>"רתמות"</f>
        <v>רתמות</v>
      </c>
      <c r="S2077" t="str">
        <f>"040"</f>
        <v>040</v>
      </c>
      <c r="T2077" t="str">
        <f>"עמר ליגל"</f>
        <v>עמר ליגל</v>
      </c>
      <c r="U2077">
        <v>0</v>
      </c>
      <c r="V2077">
        <v>0</v>
      </c>
      <c r="W2077">
        <v>839.71</v>
      </c>
      <c r="X2077" s="2">
        <v>2519.13</v>
      </c>
      <c r="Z2077" t="str">
        <f>"Y"</f>
        <v>Y</v>
      </c>
      <c r="AA2077">
        <v>0</v>
      </c>
      <c r="AC2077">
        <v>0</v>
      </c>
      <c r="AE2077">
        <v>0</v>
      </c>
      <c r="AF2077">
        <v>0</v>
      </c>
      <c r="AG2077" s="2">
        <v>2939.82</v>
      </c>
      <c r="AH2077">
        <v>0</v>
      </c>
      <c r="AI2077" s="2">
        <v>8819.4699999999993</v>
      </c>
      <c r="AJ2077" s="2">
        <v>2519.13</v>
      </c>
      <c r="AK2077" s="2">
        <v>2519.13</v>
      </c>
      <c r="AL2077" t="str">
        <f>"$"</f>
        <v>$</v>
      </c>
    </row>
    <row r="2078" spans="1:38" x14ac:dyDescent="0.3">
      <c r="A2078" t="str">
        <f>"SO22000385"</f>
        <v>SO22000385</v>
      </c>
      <c r="B2078" t="str">
        <f>"E000374617"</f>
        <v>E000374617</v>
      </c>
      <c r="C2078" t="str">
        <f>"בוצעה"</f>
        <v>בוצעה</v>
      </c>
      <c r="E2078" s="3">
        <v>44860</v>
      </c>
      <c r="F2078" s="3">
        <v>45005</v>
      </c>
      <c r="G2078" t="str">
        <f>"700065"</f>
        <v>700065</v>
      </c>
      <c r="H2078" t="str">
        <f>"אלתא מערכות בע""מ"</f>
        <v>אלתא מערכות בע"מ</v>
      </c>
      <c r="I2078" t="str">
        <f>"רחמים זרוק"</f>
        <v>רחמים זרוק</v>
      </c>
      <c r="J2078" t="str">
        <f>"OP-AR03368"</f>
        <v>OP-AR03368</v>
      </c>
      <c r="K2078" s="1" t="str">
        <f>"2210B804-001    HARNESS WS117 - LVCS DC POWER"</f>
        <v>2210B804-001    HARNESS WS117 - LVCS DC POWER</v>
      </c>
      <c r="L2078">
        <v>3</v>
      </c>
      <c r="M2078" t="str">
        <f>"PR22000671"</f>
        <v>PR22000671</v>
      </c>
      <c r="N2078" t="str">
        <f>"E000374617"</f>
        <v>E000374617</v>
      </c>
      <c r="O2078">
        <v>839.71</v>
      </c>
      <c r="P2078" t="str">
        <f>"$"</f>
        <v>$</v>
      </c>
      <c r="Q2078" t="str">
        <f>"117"</f>
        <v>117</v>
      </c>
      <c r="R2078" t="str">
        <f>"רתמות"</f>
        <v>רתמות</v>
      </c>
      <c r="S2078" t="str">
        <f>"040"</f>
        <v>040</v>
      </c>
      <c r="T2078" t="str">
        <f>"עמר ליגל"</f>
        <v>עמר ליגל</v>
      </c>
      <c r="U2078">
        <v>0</v>
      </c>
      <c r="V2078">
        <v>0</v>
      </c>
      <c r="W2078">
        <v>839.71</v>
      </c>
      <c r="X2078" s="2">
        <v>2519.13</v>
      </c>
      <c r="Z2078" t="str">
        <f>"Y"</f>
        <v>Y</v>
      </c>
      <c r="AA2078">
        <v>0</v>
      </c>
      <c r="AC2078">
        <v>0</v>
      </c>
      <c r="AE2078">
        <v>0</v>
      </c>
      <c r="AF2078">
        <v>0</v>
      </c>
      <c r="AG2078" s="2">
        <v>2939.82</v>
      </c>
      <c r="AH2078">
        <v>0</v>
      </c>
      <c r="AI2078" s="2">
        <v>8819.4699999999993</v>
      </c>
      <c r="AJ2078" s="2">
        <v>2519.13</v>
      </c>
      <c r="AK2078" s="2">
        <v>2519.13</v>
      </c>
      <c r="AL2078" t="str">
        <f>"$"</f>
        <v>$</v>
      </c>
    </row>
    <row r="2079" spans="1:38" x14ac:dyDescent="0.3">
      <c r="A2079" t="str">
        <f>"SO22000385"</f>
        <v>SO22000385</v>
      </c>
      <c r="B2079" t="str">
        <f>"E000374617"</f>
        <v>E000374617</v>
      </c>
      <c r="C2079" t="str">
        <f>"בוצעה"</f>
        <v>בוצעה</v>
      </c>
      <c r="E2079" s="3">
        <v>44860</v>
      </c>
      <c r="F2079" s="3">
        <v>45005</v>
      </c>
      <c r="G2079" t="str">
        <f>"700065"</f>
        <v>700065</v>
      </c>
      <c r="H2079" t="str">
        <f>"אלתא מערכות בע""מ"</f>
        <v>אלתא מערכות בע"מ</v>
      </c>
      <c r="I2079" t="str">
        <f>"רחמים זרוק"</f>
        <v>רחמים זרוק</v>
      </c>
      <c r="J2079" t="str">
        <f>"OP-AR03369"</f>
        <v>OP-AR03369</v>
      </c>
      <c r="K2079" s="1" t="str">
        <f>"2210B806-001    HARNESS WS118 - LVCS DC POWER"</f>
        <v>2210B806-001    HARNESS WS118 - LVCS DC POWER</v>
      </c>
      <c r="L2079">
        <v>3</v>
      </c>
      <c r="M2079" t="str">
        <f>"PR22000671"</f>
        <v>PR22000671</v>
      </c>
      <c r="N2079" t="str">
        <f>"E000374617"</f>
        <v>E000374617</v>
      </c>
      <c r="O2079">
        <v>839.71</v>
      </c>
      <c r="P2079" t="str">
        <f>"$"</f>
        <v>$</v>
      </c>
      <c r="Q2079" t="str">
        <f>"117"</f>
        <v>117</v>
      </c>
      <c r="R2079" t="str">
        <f>"רתמות"</f>
        <v>רתמות</v>
      </c>
      <c r="S2079" t="str">
        <f>"040"</f>
        <v>040</v>
      </c>
      <c r="T2079" t="str">
        <f>"עמר ליגל"</f>
        <v>עמר ליגל</v>
      </c>
      <c r="U2079">
        <v>0</v>
      </c>
      <c r="V2079">
        <v>0</v>
      </c>
      <c r="W2079">
        <v>839.71</v>
      </c>
      <c r="X2079" s="2">
        <v>2519.13</v>
      </c>
      <c r="Z2079" t="str">
        <f>"Y"</f>
        <v>Y</v>
      </c>
      <c r="AA2079">
        <v>0</v>
      </c>
      <c r="AC2079">
        <v>0</v>
      </c>
      <c r="AE2079">
        <v>0</v>
      </c>
      <c r="AF2079">
        <v>0</v>
      </c>
      <c r="AG2079" s="2">
        <v>2939.82</v>
      </c>
      <c r="AH2079">
        <v>0</v>
      </c>
      <c r="AI2079" s="2">
        <v>8819.4699999999993</v>
      </c>
      <c r="AJ2079" s="2">
        <v>2519.13</v>
      </c>
      <c r="AK2079" s="2">
        <v>2519.13</v>
      </c>
      <c r="AL2079" t="str">
        <f>"$"</f>
        <v>$</v>
      </c>
    </row>
    <row r="2080" spans="1:38" x14ac:dyDescent="0.3">
      <c r="A2080" t="str">
        <f>"SO22000385"</f>
        <v>SO22000385</v>
      </c>
      <c r="B2080" t="str">
        <f>"E000374617"</f>
        <v>E000374617</v>
      </c>
      <c r="C2080" t="str">
        <f>"בוצעה"</f>
        <v>בוצעה</v>
      </c>
      <c r="E2080" s="3">
        <v>44860</v>
      </c>
      <c r="F2080" s="3">
        <v>45005</v>
      </c>
      <c r="G2080" t="str">
        <f>"700065"</f>
        <v>700065</v>
      </c>
      <c r="H2080" t="str">
        <f>"אלתא מערכות בע""מ"</f>
        <v>אלתא מערכות בע"מ</v>
      </c>
      <c r="I2080" t="str">
        <f>"רחמים זרוק"</f>
        <v>רחמים זרוק</v>
      </c>
      <c r="J2080" t="str">
        <f>"OP-AR03370"</f>
        <v>OP-AR03370</v>
      </c>
      <c r="K2080" s="1" t="str">
        <f>"2210B808-001    HARNESS WS119 - LVCS DC POWER"</f>
        <v>2210B808-001    HARNESS WS119 - LVCS DC POWER</v>
      </c>
      <c r="L2080">
        <v>3</v>
      </c>
      <c r="M2080" t="str">
        <f>"PR22000671"</f>
        <v>PR22000671</v>
      </c>
      <c r="N2080" t="str">
        <f>"E000374617"</f>
        <v>E000374617</v>
      </c>
      <c r="O2080">
        <v>839.71</v>
      </c>
      <c r="P2080" t="str">
        <f>"$"</f>
        <v>$</v>
      </c>
      <c r="Q2080" t="str">
        <f>"117"</f>
        <v>117</v>
      </c>
      <c r="R2080" t="str">
        <f>"רתמות"</f>
        <v>רתמות</v>
      </c>
      <c r="S2080" t="str">
        <f>"040"</f>
        <v>040</v>
      </c>
      <c r="T2080" t="str">
        <f>"עמר ליגל"</f>
        <v>עמר ליגל</v>
      </c>
      <c r="U2080">
        <v>0</v>
      </c>
      <c r="V2080">
        <v>0</v>
      </c>
      <c r="W2080">
        <v>839.71</v>
      </c>
      <c r="X2080" s="2">
        <v>2519.13</v>
      </c>
      <c r="Z2080" t="str">
        <f>"Y"</f>
        <v>Y</v>
      </c>
      <c r="AA2080">
        <v>0</v>
      </c>
      <c r="AC2080">
        <v>0</v>
      </c>
      <c r="AE2080">
        <v>0</v>
      </c>
      <c r="AF2080">
        <v>0</v>
      </c>
      <c r="AG2080" s="2">
        <v>2939.82</v>
      </c>
      <c r="AH2080">
        <v>0</v>
      </c>
      <c r="AI2080" s="2">
        <v>8819.4699999999993</v>
      </c>
      <c r="AJ2080" s="2">
        <v>2519.13</v>
      </c>
      <c r="AK2080" s="2">
        <v>2519.13</v>
      </c>
      <c r="AL2080" t="str">
        <f>"$"</f>
        <v>$</v>
      </c>
    </row>
    <row r="2081" spans="1:38" x14ac:dyDescent="0.3">
      <c r="A2081" t="str">
        <f>"SO22000385"</f>
        <v>SO22000385</v>
      </c>
      <c r="B2081" t="str">
        <f>"E000374617"</f>
        <v>E000374617</v>
      </c>
      <c r="C2081" t="str">
        <f>"בוצעה"</f>
        <v>בוצעה</v>
      </c>
      <c r="E2081" s="3">
        <v>44860</v>
      </c>
      <c r="F2081" s="3">
        <v>45005</v>
      </c>
      <c r="G2081" t="str">
        <f>"700065"</f>
        <v>700065</v>
      </c>
      <c r="H2081" t="str">
        <f>"אלתא מערכות בע""מ"</f>
        <v>אלתא מערכות בע"מ</v>
      </c>
      <c r="I2081" t="str">
        <f>"רחמים זרוק"</f>
        <v>רחמים זרוק</v>
      </c>
      <c r="J2081" t="str">
        <f>"OP-AR03371"</f>
        <v>OP-AR03371</v>
      </c>
      <c r="K2081" s="1" t="str">
        <f>"2216B184-001    LVCS W28 CABLE ASSY"</f>
        <v>2216B184-001    LVCS W28 CABLE ASSY</v>
      </c>
      <c r="L2081">
        <v>2</v>
      </c>
      <c r="M2081" t="str">
        <f>"PR22000671"</f>
        <v>PR22000671</v>
      </c>
      <c r="N2081" t="str">
        <f>"E000374617"</f>
        <v>E000374617</v>
      </c>
      <c r="O2081">
        <v>392.97</v>
      </c>
      <c r="P2081" t="str">
        <f>"$"</f>
        <v>$</v>
      </c>
      <c r="Q2081" t="str">
        <f>"117"</f>
        <v>117</v>
      </c>
      <c r="R2081" t="str">
        <f>"רתמות"</f>
        <v>רתמות</v>
      </c>
      <c r="S2081" t="str">
        <f>"040"</f>
        <v>040</v>
      </c>
      <c r="T2081" t="str">
        <f>"עמר ליגל"</f>
        <v>עמר ליגל</v>
      </c>
      <c r="U2081">
        <v>0</v>
      </c>
      <c r="V2081">
        <v>0</v>
      </c>
      <c r="W2081">
        <v>392.97</v>
      </c>
      <c r="X2081">
        <v>785.94</v>
      </c>
      <c r="Z2081" t="str">
        <f>"Y"</f>
        <v>Y</v>
      </c>
      <c r="AA2081">
        <v>0</v>
      </c>
      <c r="AC2081">
        <v>0</v>
      </c>
      <c r="AE2081">
        <v>0</v>
      </c>
      <c r="AF2081">
        <v>0</v>
      </c>
      <c r="AG2081" s="2">
        <v>1375.79</v>
      </c>
      <c r="AH2081">
        <v>0</v>
      </c>
      <c r="AI2081" s="2">
        <v>2751.58</v>
      </c>
      <c r="AJ2081">
        <v>785.94</v>
      </c>
      <c r="AK2081">
        <v>785.94</v>
      </c>
      <c r="AL2081" t="str">
        <f>"$"</f>
        <v>$</v>
      </c>
    </row>
    <row r="2082" spans="1:38" x14ac:dyDescent="0.3">
      <c r="A2082" t="str">
        <f>"SO22000385"</f>
        <v>SO22000385</v>
      </c>
      <c r="B2082" t="str">
        <f>"E000374617"</f>
        <v>E000374617</v>
      </c>
      <c r="C2082" t="str">
        <f>"בוצעה"</f>
        <v>בוצעה</v>
      </c>
      <c r="E2082" s="3">
        <v>44860</v>
      </c>
      <c r="F2082" s="3">
        <v>45005</v>
      </c>
      <c r="G2082" t="str">
        <f>"700065"</f>
        <v>700065</v>
      </c>
      <c r="H2082" t="str">
        <f>"אלתא מערכות בע""מ"</f>
        <v>אלתא מערכות בע"מ</v>
      </c>
      <c r="I2082" t="str">
        <f>"רחמים זרוק"</f>
        <v>רחמים זרוק</v>
      </c>
      <c r="J2082" t="str">
        <f>"OP-AR03372"</f>
        <v>OP-AR03372</v>
      </c>
      <c r="K2082" s="1" t="str">
        <f>"2216B242-001    ANT CABLE ASSY"</f>
        <v>2216B242-001    ANT CABLE ASSY</v>
      </c>
      <c r="L2082">
        <v>2</v>
      </c>
      <c r="M2082" t="str">
        <f>"PR22000671"</f>
        <v>PR22000671</v>
      </c>
      <c r="N2082" t="str">
        <f>"E000374617"</f>
        <v>E000374617</v>
      </c>
      <c r="O2082">
        <v>290.89999999999998</v>
      </c>
      <c r="P2082" t="str">
        <f>"$"</f>
        <v>$</v>
      </c>
      <c r="Q2082" t="str">
        <f>"117"</f>
        <v>117</v>
      </c>
      <c r="R2082" t="str">
        <f>"רתמות"</f>
        <v>רתמות</v>
      </c>
      <c r="S2082" t="str">
        <f>"040"</f>
        <v>040</v>
      </c>
      <c r="T2082" t="str">
        <f>"עמר ליגל"</f>
        <v>עמר ליגל</v>
      </c>
      <c r="U2082">
        <v>0</v>
      </c>
      <c r="V2082">
        <v>0</v>
      </c>
      <c r="W2082">
        <v>290.89999999999998</v>
      </c>
      <c r="X2082">
        <v>581.79999999999995</v>
      </c>
      <c r="Z2082" t="str">
        <f>"Y"</f>
        <v>Y</v>
      </c>
      <c r="AA2082">
        <v>0</v>
      </c>
      <c r="AC2082">
        <v>0</v>
      </c>
      <c r="AE2082">
        <v>0</v>
      </c>
      <c r="AF2082">
        <v>0</v>
      </c>
      <c r="AG2082" s="2">
        <v>1018.44</v>
      </c>
      <c r="AH2082">
        <v>0</v>
      </c>
      <c r="AI2082" s="2">
        <v>2036.88</v>
      </c>
      <c r="AJ2082">
        <v>581.79999999999995</v>
      </c>
      <c r="AK2082">
        <v>581.79999999999995</v>
      </c>
      <c r="AL2082" t="str">
        <f>"$"</f>
        <v>$</v>
      </c>
    </row>
    <row r="2083" spans="1:38" x14ac:dyDescent="0.3">
      <c r="A2083" t="str">
        <f>"SO22000385"</f>
        <v>SO22000385</v>
      </c>
      <c r="B2083" t="str">
        <f>"E000374617"</f>
        <v>E000374617</v>
      </c>
      <c r="C2083" t="str">
        <f>"בוצעה"</f>
        <v>בוצעה</v>
      </c>
      <c r="E2083" s="3">
        <v>44860</v>
      </c>
      <c r="F2083" s="3">
        <v>45005</v>
      </c>
      <c r="G2083" t="str">
        <f>"700065"</f>
        <v>700065</v>
      </c>
      <c r="H2083" t="str">
        <f>"אלתא מערכות בע""מ"</f>
        <v>אלתא מערכות בע"מ</v>
      </c>
      <c r="I2083" t="str">
        <f>"רחמים זרוק"</f>
        <v>רחמים זרוק</v>
      </c>
      <c r="J2083" t="str">
        <f>"OP-AR03373"</f>
        <v>OP-AR03373</v>
      </c>
      <c r="K2083" s="1" t="str">
        <f>"2218B756-001    Power Cable ASSY"</f>
        <v>2218B756-001    Power Cable ASSY</v>
      </c>
      <c r="L2083">
        <v>5</v>
      </c>
      <c r="M2083" t="str">
        <f>"PR22000671"</f>
        <v>PR22000671</v>
      </c>
      <c r="N2083" t="str">
        <f>"E000374617"</f>
        <v>E000374617</v>
      </c>
      <c r="O2083">
        <v>342.45</v>
      </c>
      <c r="P2083" t="str">
        <f>"$"</f>
        <v>$</v>
      </c>
      <c r="Q2083" t="str">
        <f>"117"</f>
        <v>117</v>
      </c>
      <c r="R2083" t="str">
        <f>"רתמות"</f>
        <v>רתמות</v>
      </c>
      <c r="S2083" t="str">
        <f>"040"</f>
        <v>040</v>
      </c>
      <c r="T2083" t="str">
        <f>"עמר ליגל"</f>
        <v>עמר ליגל</v>
      </c>
      <c r="U2083">
        <v>0</v>
      </c>
      <c r="V2083">
        <v>0</v>
      </c>
      <c r="W2083">
        <v>342.45</v>
      </c>
      <c r="X2083" s="2">
        <v>1712.25</v>
      </c>
      <c r="Z2083" t="str">
        <f>"Y"</f>
        <v>Y</v>
      </c>
      <c r="AA2083">
        <v>0</v>
      </c>
      <c r="AC2083">
        <v>0</v>
      </c>
      <c r="AE2083">
        <v>0</v>
      </c>
      <c r="AF2083">
        <v>0</v>
      </c>
      <c r="AG2083" s="2">
        <v>1198.92</v>
      </c>
      <c r="AH2083">
        <v>0</v>
      </c>
      <c r="AI2083" s="2">
        <v>5994.59</v>
      </c>
      <c r="AJ2083" s="2">
        <v>1712.25</v>
      </c>
      <c r="AK2083" s="2">
        <v>1712.25</v>
      </c>
      <c r="AL2083" t="str">
        <f>"$"</f>
        <v>$</v>
      </c>
    </row>
    <row r="2084" spans="1:38" x14ac:dyDescent="0.3">
      <c r="A2084" t="str">
        <f>"SO22000385"</f>
        <v>SO22000385</v>
      </c>
      <c r="B2084" t="str">
        <f>"E000374617"</f>
        <v>E000374617</v>
      </c>
      <c r="C2084" t="str">
        <f>"בוצעה"</f>
        <v>בוצעה</v>
      </c>
      <c r="E2084" s="3">
        <v>44860</v>
      </c>
      <c r="F2084" s="3">
        <v>45005</v>
      </c>
      <c r="G2084" t="str">
        <f>"700065"</f>
        <v>700065</v>
      </c>
      <c r="H2084" t="str">
        <f>"אלתא מערכות בע""מ"</f>
        <v>אלתא מערכות בע"מ</v>
      </c>
      <c r="I2084" t="str">
        <f>"רחמים זרוק"</f>
        <v>רחמים זרוק</v>
      </c>
      <c r="J2084" t="str">
        <f>"OP-AR03374"</f>
        <v>OP-AR03374</v>
      </c>
      <c r="K2084" s="1" t="str">
        <f>"9001B822-001    HARNESS W1822 - LAB COOLING SYS. 115VAC"</f>
        <v>9001B822-001    HARNESS W1822 - LAB COOLING SYS. 115VAC</v>
      </c>
      <c r="L2084">
        <v>1</v>
      </c>
      <c r="M2084" t="str">
        <f>"PR22000671"</f>
        <v>PR22000671</v>
      </c>
      <c r="N2084" t="str">
        <f>"E000374617"</f>
        <v>E000374617</v>
      </c>
      <c r="O2084">
        <v>440.82</v>
      </c>
      <c r="P2084" t="str">
        <f>"$"</f>
        <v>$</v>
      </c>
      <c r="Q2084" t="str">
        <f>"117"</f>
        <v>117</v>
      </c>
      <c r="R2084" t="str">
        <f>"רתמות"</f>
        <v>רתמות</v>
      </c>
      <c r="S2084" t="str">
        <f>"040"</f>
        <v>040</v>
      </c>
      <c r="T2084" t="str">
        <f>"עמר ליגל"</f>
        <v>עמר ליגל</v>
      </c>
      <c r="U2084">
        <v>0</v>
      </c>
      <c r="V2084">
        <v>0</v>
      </c>
      <c r="W2084">
        <v>440.82</v>
      </c>
      <c r="X2084">
        <v>440.82</v>
      </c>
      <c r="Z2084" t="str">
        <f>"Y"</f>
        <v>Y</v>
      </c>
      <c r="AA2084">
        <v>0</v>
      </c>
      <c r="AC2084">
        <v>0</v>
      </c>
      <c r="AE2084">
        <v>0</v>
      </c>
      <c r="AF2084">
        <v>0</v>
      </c>
      <c r="AG2084" s="2">
        <v>1543.31</v>
      </c>
      <c r="AH2084">
        <v>0</v>
      </c>
      <c r="AI2084" s="2">
        <v>1543.31</v>
      </c>
      <c r="AJ2084">
        <v>440.82</v>
      </c>
      <c r="AK2084">
        <v>440.82</v>
      </c>
      <c r="AL2084" t="str">
        <f>"$"</f>
        <v>$</v>
      </c>
    </row>
    <row r="2085" spans="1:38" x14ac:dyDescent="0.3">
      <c r="A2085" t="str">
        <f>"SO22000386"</f>
        <v>SO22000386</v>
      </c>
      <c r="B2085" t="str">
        <f>"E000376982"</f>
        <v>E000376982</v>
      </c>
      <c r="C2085" t="str">
        <f>"בוצעה"</f>
        <v>בוצעה</v>
      </c>
      <c r="E2085" s="3">
        <v>44860</v>
      </c>
      <c r="F2085" s="3">
        <v>44944</v>
      </c>
      <c r="G2085" t="str">
        <f>"700065"</f>
        <v>700065</v>
      </c>
      <c r="H2085" t="str">
        <f>"אלתא מערכות בע""מ"</f>
        <v>אלתא מערכות בע"מ</v>
      </c>
      <c r="I2085" t="str">
        <f>"רחמים זרוק"</f>
        <v>רחמים זרוק</v>
      </c>
      <c r="J2085" t="str">
        <f>"OP-AR03203"</f>
        <v>OP-AR03203</v>
      </c>
      <c r="K2085" s="1" t="str">
        <f>"2083B312-001   VPW3 CABLE ASSY"</f>
        <v>2083B312-001   VPW3 CABLE ASSY</v>
      </c>
      <c r="L2085">
        <v>1</v>
      </c>
      <c r="M2085" t="str">
        <f>"PR22000672"</f>
        <v>PR22000672</v>
      </c>
      <c r="N2085" t="str">
        <f>"E000376982"</f>
        <v>E000376982</v>
      </c>
      <c r="O2085">
        <v>684.11</v>
      </c>
      <c r="P2085" t="str">
        <f>"$"</f>
        <v>$</v>
      </c>
      <c r="Q2085" t="str">
        <f>"117"</f>
        <v>117</v>
      </c>
      <c r="R2085" t="str">
        <f>"רתמות"</f>
        <v>רתמות</v>
      </c>
      <c r="S2085" t="str">
        <f>"040"</f>
        <v>040</v>
      </c>
      <c r="T2085" t="str">
        <f>"עמר ליגל"</f>
        <v>עמר ליגל</v>
      </c>
      <c r="U2085">
        <v>0</v>
      </c>
      <c r="V2085">
        <v>0</v>
      </c>
      <c r="W2085">
        <v>684.11</v>
      </c>
      <c r="X2085">
        <v>684.11</v>
      </c>
      <c r="Z2085" t="str">
        <f>"Y"</f>
        <v>Y</v>
      </c>
      <c r="AA2085">
        <v>0</v>
      </c>
      <c r="AC2085">
        <v>0</v>
      </c>
      <c r="AE2085">
        <v>0</v>
      </c>
      <c r="AF2085">
        <v>0</v>
      </c>
      <c r="AG2085" s="2">
        <v>2395.0700000000002</v>
      </c>
      <c r="AH2085">
        <v>0</v>
      </c>
      <c r="AI2085" s="2">
        <v>2395.0700000000002</v>
      </c>
      <c r="AJ2085">
        <v>684.11</v>
      </c>
      <c r="AK2085">
        <v>684.11</v>
      </c>
      <c r="AL2085" t="str">
        <f>"$"</f>
        <v>$</v>
      </c>
    </row>
    <row r="2086" spans="1:38" x14ac:dyDescent="0.3">
      <c r="A2086" t="str">
        <f>"SO22000387"</f>
        <v>SO22000387</v>
      </c>
      <c r="B2086" t="str">
        <f>"E000376687"</f>
        <v>E000376687</v>
      </c>
      <c r="C2086" t="str">
        <f>"בוצעה"</f>
        <v>בוצעה</v>
      </c>
      <c r="E2086" s="3">
        <v>44860</v>
      </c>
      <c r="F2086" s="3">
        <v>44864</v>
      </c>
      <c r="G2086" t="str">
        <f>"700065"</f>
        <v>700065</v>
      </c>
      <c r="H2086" t="str">
        <f>"אלתא מערכות בע""מ"</f>
        <v>אלתא מערכות בע"מ</v>
      </c>
      <c r="I2086" t="str">
        <f>"רוני דידי"</f>
        <v>רוני דידי</v>
      </c>
      <c r="J2086" t="str">
        <f>"000"</f>
        <v>000</v>
      </c>
      <c r="K2086" s="1" t="str">
        <f>"תשלום עבור אנליזה טרמית"</f>
        <v>תשלום עבור אנליזה טרמית</v>
      </c>
      <c r="L2086">
        <v>1</v>
      </c>
      <c r="O2086" s="2">
        <v>11000</v>
      </c>
      <c r="P2086" t="str">
        <f>"$"</f>
        <v>$</v>
      </c>
      <c r="Q2086" t="str">
        <f>"118"</f>
        <v>118</v>
      </c>
      <c r="R2086" t="str">
        <f>"מערכות"</f>
        <v>מערכות</v>
      </c>
      <c r="S2086" t="str">
        <f>"007"</f>
        <v>007</v>
      </c>
      <c r="T2086" t="str">
        <f>"עמר ליגל"</f>
        <v>עמר ליגל</v>
      </c>
      <c r="U2086">
        <v>0</v>
      </c>
      <c r="V2086">
        <v>0</v>
      </c>
      <c r="W2086" s="2">
        <v>11000</v>
      </c>
      <c r="X2086" s="2">
        <v>11000</v>
      </c>
      <c r="Z2086" t="str">
        <f>"Y"</f>
        <v>Y</v>
      </c>
      <c r="AA2086">
        <v>1</v>
      </c>
      <c r="AC2086">
        <v>0</v>
      </c>
      <c r="AE2086">
        <v>0</v>
      </c>
      <c r="AF2086">
        <v>0</v>
      </c>
      <c r="AG2086" s="2">
        <v>38511</v>
      </c>
      <c r="AH2086">
        <v>0</v>
      </c>
      <c r="AI2086" s="2">
        <v>38511</v>
      </c>
      <c r="AJ2086" s="2">
        <v>11000</v>
      </c>
      <c r="AK2086" s="2">
        <v>11000</v>
      </c>
      <c r="AL2086" t="str">
        <f>"$"</f>
        <v>$</v>
      </c>
    </row>
    <row r="2087" spans="1:38" x14ac:dyDescent="0.3">
      <c r="A2087" t="str">
        <f>"SO22000389"</f>
        <v>SO22000389</v>
      </c>
      <c r="B2087" t="str">
        <f>"E000377324"</f>
        <v>E000377324</v>
      </c>
      <c r="C2087" t="str">
        <f>"בוצעה"</f>
        <v>בוצעה</v>
      </c>
      <c r="E2087" s="3">
        <v>44864</v>
      </c>
      <c r="F2087" s="3">
        <v>45026</v>
      </c>
      <c r="G2087" t="str">
        <f>"700065"</f>
        <v>700065</v>
      </c>
      <c r="H2087" t="str">
        <f>"אלתא מערכות בע""מ"</f>
        <v>אלתא מערכות בע"מ</v>
      </c>
      <c r="I2087" t="str">
        <f>"רחמים זרוק"</f>
        <v>רחמים זרוק</v>
      </c>
      <c r="J2087" t="str">
        <f>"OP-AR02242"</f>
        <v>OP-AR02242</v>
      </c>
      <c r="K2087" s="1" t="str">
        <f>"1094F817-001   CABLE W7"</f>
        <v>1094F817-001   CABLE W7</v>
      </c>
      <c r="L2087">
        <v>1</v>
      </c>
      <c r="M2087" t="str">
        <f>"PR22000674"</f>
        <v>PR22000674</v>
      </c>
      <c r="N2087" t="str">
        <f>"E000377324"</f>
        <v>E000377324</v>
      </c>
      <c r="O2087">
        <v>791.52</v>
      </c>
      <c r="P2087" t="str">
        <f>"$"</f>
        <v>$</v>
      </c>
      <c r="Q2087" t="str">
        <f>"117"</f>
        <v>117</v>
      </c>
      <c r="R2087" t="str">
        <f>"רתמות"</f>
        <v>רתמות</v>
      </c>
      <c r="S2087" t="str">
        <f>"040"</f>
        <v>040</v>
      </c>
      <c r="T2087" t="str">
        <f>"עמר ליגל"</f>
        <v>עמר ליגל</v>
      </c>
      <c r="U2087">
        <v>0</v>
      </c>
      <c r="V2087">
        <v>0</v>
      </c>
      <c r="W2087">
        <v>791.52</v>
      </c>
      <c r="X2087">
        <v>791.52</v>
      </c>
      <c r="Z2087" t="str">
        <f>"Y"</f>
        <v>Y</v>
      </c>
      <c r="AA2087">
        <v>0</v>
      </c>
      <c r="AC2087">
        <v>0</v>
      </c>
      <c r="AE2087">
        <v>0</v>
      </c>
      <c r="AF2087">
        <v>0</v>
      </c>
      <c r="AG2087" s="2">
        <v>2805.15</v>
      </c>
      <c r="AH2087">
        <v>0</v>
      </c>
      <c r="AI2087" s="2">
        <v>2805.15</v>
      </c>
      <c r="AJ2087">
        <v>791.52</v>
      </c>
      <c r="AK2087">
        <v>791.52</v>
      </c>
      <c r="AL2087" t="str">
        <f>"$"</f>
        <v>$</v>
      </c>
    </row>
    <row r="2088" spans="1:38" x14ac:dyDescent="0.3">
      <c r="A2088" t="str">
        <f>"SO22000389"</f>
        <v>SO22000389</v>
      </c>
      <c r="B2088" t="str">
        <f>"E000377324"</f>
        <v>E000377324</v>
      </c>
      <c r="C2088" t="str">
        <f>"בוצעה"</f>
        <v>בוצעה</v>
      </c>
      <c r="E2088" s="3">
        <v>44864</v>
      </c>
      <c r="F2088" s="3">
        <v>45026</v>
      </c>
      <c r="G2088" t="str">
        <f>"700065"</f>
        <v>700065</v>
      </c>
      <c r="H2088" t="str">
        <f>"אלתא מערכות בע""מ"</f>
        <v>אלתא מערכות בע"מ</v>
      </c>
      <c r="I2088" t="str">
        <f>"רחמים זרוק"</f>
        <v>רחמים זרוק</v>
      </c>
      <c r="J2088" t="str">
        <f>"OP-AR03381"</f>
        <v>OP-AR03381</v>
      </c>
      <c r="K2088" s="1" t="str">
        <f>"1094F820-001    CABLE W10"</f>
        <v>1094F820-001    CABLE W10</v>
      </c>
      <c r="L2088">
        <v>1</v>
      </c>
      <c r="M2088" t="str">
        <f>"PR22000674"</f>
        <v>PR22000674</v>
      </c>
      <c r="N2088" t="str">
        <f>"E000377324"</f>
        <v>E000377324</v>
      </c>
      <c r="O2088">
        <v>784.23</v>
      </c>
      <c r="P2088" t="str">
        <f>"$"</f>
        <v>$</v>
      </c>
      <c r="Q2088" t="str">
        <f>"117"</f>
        <v>117</v>
      </c>
      <c r="R2088" t="str">
        <f>"רתמות"</f>
        <v>רתמות</v>
      </c>
      <c r="S2088" t="str">
        <f>"040"</f>
        <v>040</v>
      </c>
      <c r="T2088" t="str">
        <f>"עמר ליגל"</f>
        <v>עמר ליגל</v>
      </c>
      <c r="U2088">
        <v>0</v>
      </c>
      <c r="V2088">
        <v>0</v>
      </c>
      <c r="W2088">
        <v>784.23</v>
      </c>
      <c r="X2088">
        <v>784.23</v>
      </c>
      <c r="Z2088" t="str">
        <f>"Y"</f>
        <v>Y</v>
      </c>
      <c r="AA2088">
        <v>0</v>
      </c>
      <c r="AC2088">
        <v>0</v>
      </c>
      <c r="AE2088">
        <v>0</v>
      </c>
      <c r="AF2088">
        <v>0</v>
      </c>
      <c r="AG2088" s="2">
        <v>2779.31</v>
      </c>
      <c r="AH2088">
        <v>0</v>
      </c>
      <c r="AI2088" s="2">
        <v>2779.31</v>
      </c>
      <c r="AJ2088">
        <v>784.23</v>
      </c>
      <c r="AK2088">
        <v>784.23</v>
      </c>
      <c r="AL2088" t="str">
        <f>"$"</f>
        <v>$</v>
      </c>
    </row>
    <row r="2089" spans="1:38" x14ac:dyDescent="0.3">
      <c r="A2089" t="str">
        <f>"SO22000389"</f>
        <v>SO22000389</v>
      </c>
      <c r="B2089" t="str">
        <f>"E000377324"</f>
        <v>E000377324</v>
      </c>
      <c r="C2089" t="str">
        <f>"בוצעה"</f>
        <v>בוצעה</v>
      </c>
      <c r="E2089" s="3">
        <v>44864</v>
      </c>
      <c r="F2089" s="3">
        <v>45026</v>
      </c>
      <c r="G2089" t="str">
        <f>"700065"</f>
        <v>700065</v>
      </c>
      <c r="H2089" t="str">
        <f>"אלתא מערכות בע""מ"</f>
        <v>אלתא מערכות בע"מ</v>
      </c>
      <c r="I2089" t="str">
        <f>"רחמים זרוק"</f>
        <v>רחמים זרוק</v>
      </c>
      <c r="J2089" t="str">
        <f>"OP-AR03381"</f>
        <v>OP-AR03381</v>
      </c>
      <c r="K2089" s="1" t="str">
        <f>"1094F820-001    CABLE W10"</f>
        <v>1094F820-001    CABLE W10</v>
      </c>
      <c r="L2089">
        <v>1</v>
      </c>
      <c r="M2089" t="str">
        <f>"PR22000674"</f>
        <v>PR22000674</v>
      </c>
      <c r="N2089" t="str">
        <f>"E000377324"</f>
        <v>E000377324</v>
      </c>
      <c r="O2089">
        <v>784.23</v>
      </c>
      <c r="P2089" t="str">
        <f>"$"</f>
        <v>$</v>
      </c>
      <c r="Q2089" t="str">
        <f>"117"</f>
        <v>117</v>
      </c>
      <c r="R2089" t="str">
        <f>"רתמות"</f>
        <v>רתמות</v>
      </c>
      <c r="S2089" t="str">
        <f>"040"</f>
        <v>040</v>
      </c>
      <c r="T2089" t="str">
        <f>"עמר ליגל"</f>
        <v>עמר ליגל</v>
      </c>
      <c r="U2089">
        <v>0</v>
      </c>
      <c r="V2089">
        <v>0</v>
      </c>
      <c r="W2089">
        <v>784.23</v>
      </c>
      <c r="X2089">
        <v>784.23</v>
      </c>
      <c r="Z2089" t="str">
        <f>"Y"</f>
        <v>Y</v>
      </c>
      <c r="AA2089">
        <v>0</v>
      </c>
      <c r="AC2089">
        <v>0</v>
      </c>
      <c r="AE2089">
        <v>0</v>
      </c>
      <c r="AF2089">
        <v>0</v>
      </c>
      <c r="AG2089" s="2">
        <v>2779.31</v>
      </c>
      <c r="AH2089">
        <v>0</v>
      </c>
      <c r="AI2089" s="2">
        <v>2779.31</v>
      </c>
      <c r="AJ2089">
        <v>784.23</v>
      </c>
      <c r="AK2089">
        <v>784.23</v>
      </c>
      <c r="AL2089" t="str">
        <f>"$"</f>
        <v>$</v>
      </c>
    </row>
    <row r="2090" spans="1:38" x14ac:dyDescent="0.3">
      <c r="A2090" t="str">
        <f>"SO22000390"</f>
        <v>SO22000390</v>
      </c>
      <c r="B2090" t="str">
        <f>"E000377209"</f>
        <v>E000377209</v>
      </c>
      <c r="C2090" t="str">
        <f>"הרכבה חלקית"</f>
        <v>הרכבה חלקית</v>
      </c>
      <c r="E2090" s="3">
        <v>44864</v>
      </c>
      <c r="F2090" s="3">
        <v>44977</v>
      </c>
      <c r="G2090" t="str">
        <f>"700065"</f>
        <v>700065</v>
      </c>
      <c r="H2090" t="str">
        <f>"אלתא מערכות בע""מ"</f>
        <v>אלתא מערכות בע"מ</v>
      </c>
      <c r="I2090" t="str">
        <f>"רחמים זרוק"</f>
        <v>רחמים זרוק</v>
      </c>
      <c r="J2090" t="str">
        <f>"OP-AR01778"</f>
        <v>OP-AR01778</v>
      </c>
      <c r="K2090" s="1" t="str">
        <f>"2019F711-001 CONTROL BOX HARNESS"</f>
        <v>2019F711-001 CONTROL BOX HARNESS</v>
      </c>
      <c r="L2090">
        <v>4</v>
      </c>
      <c r="M2090" t="str">
        <f>"PR22000677"</f>
        <v>PR22000677</v>
      </c>
      <c r="N2090" t="str">
        <f>"E000377209"</f>
        <v>E000377209</v>
      </c>
      <c r="O2090" s="2">
        <v>2428.9899999999998</v>
      </c>
      <c r="P2090" t="str">
        <f>"$"</f>
        <v>$</v>
      </c>
      <c r="Q2090" t="str">
        <f>"117"</f>
        <v>117</v>
      </c>
      <c r="R2090" t="str">
        <f>"רתמות"</f>
        <v>רתמות</v>
      </c>
      <c r="S2090" t="str">
        <f>"040"</f>
        <v>040</v>
      </c>
      <c r="T2090" t="str">
        <f>"עמר ליגל"</f>
        <v>עמר ליגל</v>
      </c>
      <c r="U2090">
        <v>0</v>
      </c>
      <c r="V2090">
        <v>0</v>
      </c>
      <c r="W2090" s="2">
        <v>2428.9899999999998</v>
      </c>
      <c r="X2090" s="2">
        <v>9715.9599999999991</v>
      </c>
      <c r="Z2090" t="str">
        <f>"Y"</f>
        <v>Y</v>
      </c>
      <c r="AA2090">
        <v>0</v>
      </c>
      <c r="AC2090">
        <v>0</v>
      </c>
      <c r="AE2090">
        <v>0</v>
      </c>
      <c r="AF2090">
        <v>0</v>
      </c>
      <c r="AG2090" s="2">
        <v>8608.34</v>
      </c>
      <c r="AH2090">
        <v>0</v>
      </c>
      <c r="AI2090" s="2">
        <v>34433.360000000001</v>
      </c>
      <c r="AJ2090" s="2">
        <v>9715.9599999999991</v>
      </c>
      <c r="AK2090" s="2">
        <v>9715.9599999999991</v>
      </c>
      <c r="AL2090" t="str">
        <f>"$"</f>
        <v>$</v>
      </c>
    </row>
    <row r="2091" spans="1:38" x14ac:dyDescent="0.3">
      <c r="A2091" t="str">
        <f>"SO22000390"</f>
        <v>SO22000390</v>
      </c>
      <c r="B2091" t="str">
        <f>"E000377209"</f>
        <v>E000377209</v>
      </c>
      <c r="C2091" t="str">
        <f>"הרכבה חלקית"</f>
        <v>הרכבה חלקית</v>
      </c>
      <c r="E2091" s="3">
        <v>44864</v>
      </c>
      <c r="F2091" s="3">
        <v>44977</v>
      </c>
      <c r="G2091" t="str">
        <f>"700065"</f>
        <v>700065</v>
      </c>
      <c r="H2091" t="str">
        <f>"אלתא מערכות בע""מ"</f>
        <v>אלתא מערכות בע"מ</v>
      </c>
      <c r="I2091" t="str">
        <f>"רחמים זרוק"</f>
        <v>רחמים זרוק</v>
      </c>
      <c r="J2091" t="str">
        <f>"OP-AR01778"</f>
        <v>OP-AR01778</v>
      </c>
      <c r="K2091" s="1" t="str">
        <f>"2019F711-001 CONTROL BOX HARNESS"</f>
        <v>2019F711-001 CONTROL BOX HARNESS</v>
      </c>
      <c r="L2091">
        <v>1</v>
      </c>
      <c r="M2091" t="str">
        <f>"PR22000677"</f>
        <v>PR22000677</v>
      </c>
      <c r="N2091" t="str">
        <f>"E000377209"</f>
        <v>E000377209</v>
      </c>
      <c r="O2091" s="2">
        <v>2428.9899999999998</v>
      </c>
      <c r="P2091" t="str">
        <f>"$"</f>
        <v>$</v>
      </c>
      <c r="Q2091" t="str">
        <f>"117"</f>
        <v>117</v>
      </c>
      <c r="R2091" t="str">
        <f>"רתמות"</f>
        <v>רתמות</v>
      </c>
      <c r="S2091" t="str">
        <f>"040"</f>
        <v>040</v>
      </c>
      <c r="T2091" t="str">
        <f>"עמר ליגל"</f>
        <v>עמר ליגל</v>
      </c>
      <c r="U2091">
        <v>0</v>
      </c>
      <c r="V2091">
        <v>0</v>
      </c>
      <c r="W2091" s="2">
        <v>2428.9899999999998</v>
      </c>
      <c r="X2091" s="2">
        <v>2428.9899999999998</v>
      </c>
      <c r="Z2091" t="str">
        <f>"Y"</f>
        <v>Y</v>
      </c>
      <c r="AA2091">
        <v>0</v>
      </c>
      <c r="AC2091">
        <v>0</v>
      </c>
      <c r="AE2091">
        <v>0</v>
      </c>
      <c r="AF2091">
        <v>0</v>
      </c>
      <c r="AG2091" s="2">
        <v>8608.34</v>
      </c>
      <c r="AH2091">
        <v>0</v>
      </c>
      <c r="AI2091" s="2">
        <v>8608.34</v>
      </c>
      <c r="AJ2091" s="2">
        <v>2428.9899999999998</v>
      </c>
      <c r="AK2091" s="2">
        <v>2428.9899999999998</v>
      </c>
      <c r="AL2091" t="str">
        <f>"$"</f>
        <v>$</v>
      </c>
    </row>
    <row r="2092" spans="1:38" x14ac:dyDescent="0.3">
      <c r="A2092" t="str">
        <f>"SO22000390"</f>
        <v>SO22000390</v>
      </c>
      <c r="B2092" t="str">
        <f>"E000377209"</f>
        <v>E000377209</v>
      </c>
      <c r="C2092" t="str">
        <f>"הרכבה חלקית"</f>
        <v>הרכבה חלקית</v>
      </c>
      <c r="E2092" s="3">
        <v>44864</v>
      </c>
      <c r="F2092" s="3">
        <v>44977</v>
      </c>
      <c r="G2092" t="str">
        <f>"700065"</f>
        <v>700065</v>
      </c>
      <c r="H2092" t="str">
        <f>"אלתא מערכות בע""מ"</f>
        <v>אלתא מערכות בע"מ</v>
      </c>
      <c r="I2092" t="str">
        <f>"רחמים זרוק"</f>
        <v>רחמים זרוק</v>
      </c>
      <c r="J2092" t="str">
        <f>"OP-AR03379"</f>
        <v>OP-AR03379</v>
      </c>
      <c r="K2092" s="1" t="str">
        <f>"1031B122-001    HARNESS W0122 - CLUSTER 19 DSC TO MDU 18"</f>
        <v>1031B122-001    HARNESS W0122 - CLUSTER 19 DSC TO MDU 18</v>
      </c>
      <c r="L2092">
        <v>1</v>
      </c>
      <c r="M2092" t="str">
        <f>"PR22000677"</f>
        <v>PR22000677</v>
      </c>
      <c r="N2092" t="str">
        <f>"E000377209"</f>
        <v>E000377209</v>
      </c>
      <c r="O2092" s="2">
        <v>2785.94</v>
      </c>
      <c r="P2092" t="str">
        <f>"$"</f>
        <v>$</v>
      </c>
      <c r="Q2092" t="str">
        <f>"117"</f>
        <v>117</v>
      </c>
      <c r="R2092" t="str">
        <f>"רתמות"</f>
        <v>רתמות</v>
      </c>
      <c r="S2092" t="str">
        <f>"040"</f>
        <v>040</v>
      </c>
      <c r="T2092" t="str">
        <f>"עמר ליגל"</f>
        <v>עמר ליגל</v>
      </c>
      <c r="U2092">
        <v>0</v>
      </c>
      <c r="V2092">
        <v>0</v>
      </c>
      <c r="W2092" s="2">
        <v>2785.94</v>
      </c>
      <c r="X2092" s="2">
        <v>2785.94</v>
      </c>
      <c r="Z2092" t="str">
        <f>"Y"</f>
        <v>Y</v>
      </c>
      <c r="AA2092">
        <v>0</v>
      </c>
      <c r="AC2092">
        <v>0</v>
      </c>
      <c r="AE2092">
        <v>0</v>
      </c>
      <c r="AF2092">
        <v>0</v>
      </c>
      <c r="AG2092" s="2">
        <v>9873.3700000000008</v>
      </c>
      <c r="AH2092">
        <v>0</v>
      </c>
      <c r="AI2092" s="2">
        <v>9873.3700000000008</v>
      </c>
      <c r="AJ2092" s="2">
        <v>2785.94</v>
      </c>
      <c r="AK2092" s="2">
        <v>2785.94</v>
      </c>
      <c r="AL2092" t="str">
        <f>"$"</f>
        <v>$</v>
      </c>
    </row>
    <row r="2093" spans="1:38" x14ac:dyDescent="0.3">
      <c r="A2093" t="str">
        <f>"SO22000391"</f>
        <v>SO22000391</v>
      </c>
      <c r="B2093" t="str">
        <f>"E000377210"</f>
        <v>E000377210</v>
      </c>
      <c r="C2093" t="str">
        <f>"בוצעה"</f>
        <v>בוצעה</v>
      </c>
      <c r="E2093" s="3">
        <v>44864</v>
      </c>
      <c r="F2093" s="3">
        <v>44985</v>
      </c>
      <c r="G2093" t="str">
        <f>"700065"</f>
        <v>700065</v>
      </c>
      <c r="H2093" t="str">
        <f>"אלתא מערכות בע""מ"</f>
        <v>אלתא מערכות בע"מ</v>
      </c>
      <c r="I2093" t="str">
        <f>"רחמים זרוק"</f>
        <v>רחמים זרוק</v>
      </c>
      <c r="J2093" t="str">
        <f>"OP-AR03377"</f>
        <v>OP-AR03377</v>
      </c>
      <c r="K2093" s="1" t="str">
        <f>"1036F685-001    BFCU TEST AND CONTROL CABLE"</f>
        <v>1036F685-001    BFCU TEST AND CONTROL CABLE</v>
      </c>
      <c r="L2093">
        <v>2</v>
      </c>
      <c r="M2093" t="str">
        <f>"PR22000675"</f>
        <v>PR22000675</v>
      </c>
      <c r="N2093" t="str">
        <f>"E000377210"</f>
        <v>E000377210</v>
      </c>
      <c r="O2093">
        <v>572.11</v>
      </c>
      <c r="P2093" t="str">
        <f>"$"</f>
        <v>$</v>
      </c>
      <c r="Q2093" t="str">
        <f>"117"</f>
        <v>117</v>
      </c>
      <c r="R2093" t="str">
        <f>"רתמות"</f>
        <v>רתמות</v>
      </c>
      <c r="S2093" t="str">
        <f>"040"</f>
        <v>040</v>
      </c>
      <c r="T2093" t="str">
        <f>"עמר ליגל"</f>
        <v>עמר ליגל</v>
      </c>
      <c r="U2093">
        <v>0</v>
      </c>
      <c r="V2093">
        <v>0</v>
      </c>
      <c r="W2093">
        <v>572.11</v>
      </c>
      <c r="X2093" s="2">
        <v>1144.22</v>
      </c>
      <c r="Z2093" t="str">
        <f>"Y"</f>
        <v>Y</v>
      </c>
      <c r="AA2093">
        <v>0</v>
      </c>
      <c r="AC2093">
        <v>0</v>
      </c>
      <c r="AE2093">
        <v>0</v>
      </c>
      <c r="AF2093">
        <v>0</v>
      </c>
      <c r="AG2093" s="2">
        <v>2027.56</v>
      </c>
      <c r="AH2093">
        <v>0</v>
      </c>
      <c r="AI2093" s="2">
        <v>4055.12</v>
      </c>
      <c r="AJ2093" s="2">
        <v>1144.22</v>
      </c>
      <c r="AK2093" s="2">
        <v>1144.22</v>
      </c>
      <c r="AL2093" t="str">
        <f>"$"</f>
        <v>$</v>
      </c>
    </row>
    <row r="2094" spans="1:38" x14ac:dyDescent="0.3">
      <c r="A2094" t="str">
        <f>"SO22000391"</f>
        <v>SO22000391</v>
      </c>
      <c r="B2094" t="str">
        <f>"E000377210"</f>
        <v>E000377210</v>
      </c>
      <c r="C2094" t="str">
        <f>"בוצעה"</f>
        <v>בוצעה</v>
      </c>
      <c r="E2094" s="3">
        <v>44864</v>
      </c>
      <c r="F2094" s="3">
        <v>44936</v>
      </c>
      <c r="G2094" t="str">
        <f>"700065"</f>
        <v>700065</v>
      </c>
      <c r="H2094" t="str">
        <f>"אלתא מערכות בע""מ"</f>
        <v>אלתא מערכות בע"מ</v>
      </c>
      <c r="I2094" t="str">
        <f>"רחמים זרוק"</f>
        <v>רחמים זרוק</v>
      </c>
      <c r="J2094" t="str">
        <f>"OP-AR03378"</f>
        <v>OP-AR03378</v>
      </c>
      <c r="K2094" s="1" t="str">
        <f>"2222B722-001    COMM CABLE FOR MMR and RPA"</f>
        <v>2222B722-001    COMM CABLE FOR MMR and RPA</v>
      </c>
      <c r="L2094">
        <v>1</v>
      </c>
      <c r="M2094" t="str">
        <f>"PR22000675"</f>
        <v>PR22000675</v>
      </c>
      <c r="N2094" t="str">
        <f>"E000377210"</f>
        <v>E000377210</v>
      </c>
      <c r="O2094">
        <v>525.52</v>
      </c>
      <c r="P2094" t="str">
        <f>"$"</f>
        <v>$</v>
      </c>
      <c r="Q2094" t="str">
        <f>"117"</f>
        <v>117</v>
      </c>
      <c r="R2094" t="str">
        <f>"רתמות"</f>
        <v>רתמות</v>
      </c>
      <c r="S2094" t="str">
        <f>"040"</f>
        <v>040</v>
      </c>
      <c r="T2094" t="str">
        <f>"עמר ליגל"</f>
        <v>עמר ליגל</v>
      </c>
      <c r="U2094">
        <v>0</v>
      </c>
      <c r="V2094">
        <v>0</v>
      </c>
      <c r="W2094">
        <v>525.52</v>
      </c>
      <c r="X2094">
        <v>525.52</v>
      </c>
      <c r="Z2094" t="str">
        <f>"Y"</f>
        <v>Y</v>
      </c>
      <c r="AA2094">
        <v>0</v>
      </c>
      <c r="AC2094">
        <v>0</v>
      </c>
      <c r="AE2094">
        <v>0</v>
      </c>
      <c r="AF2094">
        <v>0</v>
      </c>
      <c r="AG2094" s="2">
        <v>1862.44</v>
      </c>
      <c r="AH2094">
        <v>0</v>
      </c>
      <c r="AI2094" s="2">
        <v>1862.44</v>
      </c>
      <c r="AJ2094">
        <v>525.52</v>
      </c>
      <c r="AK2094">
        <v>525.52</v>
      </c>
      <c r="AL2094" t="str">
        <f>"$"</f>
        <v>$</v>
      </c>
    </row>
    <row r="2095" spans="1:38" x14ac:dyDescent="0.3">
      <c r="A2095" t="str">
        <f>"SO22000392"</f>
        <v>SO22000392</v>
      </c>
      <c r="B2095" t="str">
        <f>"E000377208"</f>
        <v>E000377208</v>
      </c>
      <c r="C2095" t="str">
        <f>"בוצעה"</f>
        <v>בוצעה</v>
      </c>
      <c r="E2095" s="3">
        <v>44865</v>
      </c>
      <c r="F2095" s="3">
        <v>44977</v>
      </c>
      <c r="G2095" t="str">
        <f>"700065"</f>
        <v>700065</v>
      </c>
      <c r="H2095" t="str">
        <f>"אלתא מערכות בע""מ"</f>
        <v>אלתא מערכות בע"מ</v>
      </c>
      <c r="I2095" t="str">
        <f>"רחמים זרוק"</f>
        <v>רחמים זרוק</v>
      </c>
      <c r="J2095" t="str">
        <f>"OP-AR03382"</f>
        <v>OP-AR03382</v>
      </c>
      <c r="K2095" s="1" t="str">
        <f>"2227B346-001    BFN POWER CABLE ASSY"</f>
        <v>2227B346-001    BFN POWER CABLE ASSY</v>
      </c>
      <c r="L2095">
        <v>3</v>
      </c>
      <c r="M2095" t="str">
        <f>"PR22000682"</f>
        <v>PR22000682</v>
      </c>
      <c r="N2095" t="str">
        <f>"E000377208"</f>
        <v>E000377208</v>
      </c>
      <c r="O2095">
        <v>197.8</v>
      </c>
      <c r="P2095" t="str">
        <f>"$"</f>
        <v>$</v>
      </c>
      <c r="Q2095" t="str">
        <f>"117"</f>
        <v>117</v>
      </c>
      <c r="R2095" t="str">
        <f>"רתמות"</f>
        <v>רתמות</v>
      </c>
      <c r="S2095" t="str">
        <f>"040"</f>
        <v>040</v>
      </c>
      <c r="T2095" t="str">
        <f>"עמר ליגל"</f>
        <v>עמר ליגל</v>
      </c>
      <c r="U2095">
        <v>0</v>
      </c>
      <c r="V2095">
        <v>0</v>
      </c>
      <c r="W2095">
        <v>197.8</v>
      </c>
      <c r="X2095">
        <v>593.4</v>
      </c>
      <c r="Z2095" t="str">
        <f>"Y"</f>
        <v>Y</v>
      </c>
      <c r="AA2095">
        <v>0</v>
      </c>
      <c r="AC2095">
        <v>0</v>
      </c>
      <c r="AE2095">
        <v>0</v>
      </c>
      <c r="AF2095">
        <v>0</v>
      </c>
      <c r="AG2095">
        <v>698.23</v>
      </c>
      <c r="AH2095">
        <v>0</v>
      </c>
      <c r="AI2095" s="2">
        <v>2094.6999999999998</v>
      </c>
      <c r="AJ2095">
        <v>593.4</v>
      </c>
      <c r="AK2095">
        <v>593.4</v>
      </c>
      <c r="AL2095" t="str">
        <f>"$"</f>
        <v>$</v>
      </c>
    </row>
    <row r="2096" spans="1:38" x14ac:dyDescent="0.3">
      <c r="A2096" t="str">
        <f>"SO22000392"</f>
        <v>SO22000392</v>
      </c>
      <c r="B2096" t="str">
        <f>"E000377208"</f>
        <v>E000377208</v>
      </c>
      <c r="C2096" t="str">
        <f>"בוצעה"</f>
        <v>בוצעה</v>
      </c>
      <c r="E2096" s="3">
        <v>44865</v>
      </c>
      <c r="F2096" s="3">
        <v>44977</v>
      </c>
      <c r="G2096" t="str">
        <f>"700065"</f>
        <v>700065</v>
      </c>
      <c r="H2096" t="str">
        <f>"אלתא מערכות בע""מ"</f>
        <v>אלתא מערכות בע"מ</v>
      </c>
      <c r="I2096" t="str">
        <f>"רחמים זרוק"</f>
        <v>רחמים זרוק</v>
      </c>
      <c r="J2096" t="str">
        <f>"OP-AR03383"</f>
        <v>OP-AR03383</v>
      </c>
      <c r="K2096" s="1" t="str">
        <f>"2227B348-001    BFN CONTROL CABLE ASSY"</f>
        <v>2227B348-001    BFN CONTROL CABLE ASSY</v>
      </c>
      <c r="L2096">
        <v>3</v>
      </c>
      <c r="M2096" t="str">
        <f>"PR22000682"</f>
        <v>PR22000682</v>
      </c>
      <c r="N2096" t="str">
        <f>"E000377208"</f>
        <v>E000377208</v>
      </c>
      <c r="O2096">
        <v>532.11</v>
      </c>
      <c r="P2096" t="str">
        <f>"$"</f>
        <v>$</v>
      </c>
      <c r="Q2096" t="str">
        <f>"117"</f>
        <v>117</v>
      </c>
      <c r="R2096" t="str">
        <f>"רתמות"</f>
        <v>רתמות</v>
      </c>
      <c r="S2096" t="str">
        <f>"040"</f>
        <v>040</v>
      </c>
      <c r="T2096" t="str">
        <f>"עמר ליגל"</f>
        <v>עמר ליגל</v>
      </c>
      <c r="U2096">
        <v>0</v>
      </c>
      <c r="V2096">
        <v>0</v>
      </c>
      <c r="W2096">
        <v>532.11</v>
      </c>
      <c r="X2096" s="2">
        <v>1596.33</v>
      </c>
      <c r="Z2096" t="str">
        <f>"Y"</f>
        <v>Y</v>
      </c>
      <c r="AA2096">
        <v>0</v>
      </c>
      <c r="AC2096">
        <v>0</v>
      </c>
      <c r="AE2096">
        <v>0</v>
      </c>
      <c r="AF2096">
        <v>0</v>
      </c>
      <c r="AG2096" s="2">
        <v>1878.35</v>
      </c>
      <c r="AH2096">
        <v>0</v>
      </c>
      <c r="AI2096" s="2">
        <v>5635.04</v>
      </c>
      <c r="AJ2096" s="2">
        <v>1596.33</v>
      </c>
      <c r="AK2096" s="2">
        <v>1596.33</v>
      </c>
      <c r="AL2096" t="str">
        <f>"$"</f>
        <v>$</v>
      </c>
    </row>
    <row r="2097" spans="1:38" x14ac:dyDescent="0.3">
      <c r="A2097" t="str">
        <f>"SO22000392"</f>
        <v>SO22000392</v>
      </c>
      <c r="B2097" t="str">
        <f>"E000377208"</f>
        <v>E000377208</v>
      </c>
      <c r="C2097" t="str">
        <f>"בוצעה"</f>
        <v>בוצעה</v>
      </c>
      <c r="E2097" s="3">
        <v>44865</v>
      </c>
      <c r="F2097" s="3">
        <v>44977</v>
      </c>
      <c r="G2097" t="str">
        <f>"700065"</f>
        <v>700065</v>
      </c>
      <c r="H2097" t="str">
        <f>"אלתא מערכות בע""מ"</f>
        <v>אלתא מערכות בע"מ</v>
      </c>
      <c r="I2097" t="str">
        <f>"רחמים זרוק"</f>
        <v>רחמים זרוק</v>
      </c>
      <c r="J2097" t="str">
        <f>"OP-AR03384"</f>
        <v>OP-AR03384</v>
      </c>
      <c r="K2097" s="1" t="str">
        <f>"2227B386-001    ANTENNA TO NC2I TESTER CABLE"</f>
        <v>2227B386-001    ANTENNA TO NC2I TESTER CABLE</v>
      </c>
      <c r="L2097">
        <v>2</v>
      </c>
      <c r="M2097" t="str">
        <f>"PR22000682"</f>
        <v>PR22000682</v>
      </c>
      <c r="N2097" t="str">
        <f>"E000377208"</f>
        <v>E000377208</v>
      </c>
      <c r="O2097">
        <v>407.89</v>
      </c>
      <c r="P2097" t="str">
        <f>"$"</f>
        <v>$</v>
      </c>
      <c r="Q2097" t="str">
        <f>"117"</f>
        <v>117</v>
      </c>
      <c r="R2097" t="str">
        <f>"רתמות"</f>
        <v>רתמות</v>
      </c>
      <c r="S2097" t="str">
        <f>"040"</f>
        <v>040</v>
      </c>
      <c r="T2097" t="str">
        <f>"עמר ליגל"</f>
        <v>עמר ליגל</v>
      </c>
      <c r="U2097">
        <v>0</v>
      </c>
      <c r="V2097">
        <v>0</v>
      </c>
      <c r="W2097">
        <v>407.89</v>
      </c>
      <c r="X2097">
        <v>815.78</v>
      </c>
      <c r="Z2097" t="str">
        <f>"Y"</f>
        <v>Y</v>
      </c>
      <c r="AA2097">
        <v>0</v>
      </c>
      <c r="AC2097">
        <v>0</v>
      </c>
      <c r="AE2097">
        <v>0</v>
      </c>
      <c r="AF2097">
        <v>0</v>
      </c>
      <c r="AG2097" s="2">
        <v>1439.85</v>
      </c>
      <c r="AH2097">
        <v>0</v>
      </c>
      <c r="AI2097" s="2">
        <v>2879.7</v>
      </c>
      <c r="AJ2097">
        <v>815.78</v>
      </c>
      <c r="AK2097">
        <v>815.78</v>
      </c>
      <c r="AL2097" t="str">
        <f>"$"</f>
        <v>$</v>
      </c>
    </row>
    <row r="2098" spans="1:38" x14ac:dyDescent="0.3">
      <c r="A2098" t="str">
        <f>"SO22000393"</f>
        <v>SO22000393</v>
      </c>
      <c r="B2098" t="str">
        <f>"E000377452"</f>
        <v>E000377452</v>
      </c>
      <c r="C2098" t="str">
        <f>"בוצעה"</f>
        <v>בוצעה</v>
      </c>
      <c r="E2098" s="3">
        <v>44867</v>
      </c>
      <c r="F2098" s="3">
        <v>44972</v>
      </c>
      <c r="G2098" t="str">
        <f>"700065"</f>
        <v>700065</v>
      </c>
      <c r="H2098" t="str">
        <f>"אלתא מערכות בע""מ"</f>
        <v>אלתא מערכות בע"מ</v>
      </c>
      <c r="I2098" t="str">
        <f>"רחמים זרוק"</f>
        <v>רחמים זרוק</v>
      </c>
      <c r="J2098" t="str">
        <f>"OP-AR03385"</f>
        <v>OP-AR03385</v>
      </c>
      <c r="K2098" s="1" t="str">
        <f>"1032F358-001    HARNESS WB358 - LAB DEV - OTXU-P6 COMM"</f>
        <v>1032F358-001    HARNESS WB358 - LAB DEV - OTXU-P6 COMM</v>
      </c>
      <c r="L2098">
        <v>1</v>
      </c>
      <c r="M2098" t="str">
        <f>"PR22000683"</f>
        <v>PR22000683</v>
      </c>
      <c r="N2098" t="str">
        <f>"E000377452"</f>
        <v>E000377452</v>
      </c>
      <c r="O2098">
        <v>573.20000000000005</v>
      </c>
      <c r="P2098" t="str">
        <f>"$"</f>
        <v>$</v>
      </c>
      <c r="Q2098" t="str">
        <f>"117"</f>
        <v>117</v>
      </c>
      <c r="R2098" t="str">
        <f>"רתמות"</f>
        <v>רתמות</v>
      </c>
      <c r="S2098" t="str">
        <f>"040"</f>
        <v>040</v>
      </c>
      <c r="T2098" t="str">
        <f>"עמר ליגל"</f>
        <v>עמר ליגל</v>
      </c>
      <c r="U2098">
        <v>0</v>
      </c>
      <c r="V2098">
        <v>0</v>
      </c>
      <c r="W2098">
        <v>573.20000000000005</v>
      </c>
      <c r="X2098">
        <v>573.20000000000005</v>
      </c>
      <c r="Z2098" t="str">
        <f>"Y"</f>
        <v>Y</v>
      </c>
      <c r="AA2098">
        <v>0</v>
      </c>
      <c r="AC2098">
        <v>0</v>
      </c>
      <c r="AE2098">
        <v>0</v>
      </c>
      <c r="AF2098">
        <v>0</v>
      </c>
      <c r="AG2098" s="2">
        <v>2029.13</v>
      </c>
      <c r="AH2098">
        <v>0</v>
      </c>
      <c r="AI2098" s="2">
        <v>2029.13</v>
      </c>
      <c r="AJ2098">
        <v>573.20000000000005</v>
      </c>
      <c r="AK2098">
        <v>573.20000000000005</v>
      </c>
      <c r="AL2098" t="str">
        <f>"$"</f>
        <v>$</v>
      </c>
    </row>
    <row r="2099" spans="1:38" x14ac:dyDescent="0.3">
      <c r="A2099" t="str">
        <f>"SO22000393"</f>
        <v>SO22000393</v>
      </c>
      <c r="B2099" t="str">
        <f>"E000377452"</f>
        <v>E000377452</v>
      </c>
      <c r="C2099" t="str">
        <f>"בוצעה"</f>
        <v>בוצעה</v>
      </c>
      <c r="E2099" s="3">
        <v>44867</v>
      </c>
      <c r="F2099" s="3">
        <v>44972</v>
      </c>
      <c r="G2099" t="str">
        <f>"700065"</f>
        <v>700065</v>
      </c>
      <c r="H2099" t="str">
        <f>"אלתא מערכות בע""מ"</f>
        <v>אלתא מערכות בע"מ</v>
      </c>
      <c r="I2099" t="str">
        <f>"רחמים זרוק"</f>
        <v>רחמים זרוק</v>
      </c>
      <c r="J2099" t="str">
        <f>"OP-AR03385"</f>
        <v>OP-AR03385</v>
      </c>
      <c r="K2099" s="1" t="str">
        <f>"1032F358-001    HARNESS WB358 - LAB DEV - OTXU-P6 COMM"</f>
        <v>1032F358-001    HARNESS WB358 - LAB DEV - OTXU-P6 COMM</v>
      </c>
      <c r="L2099">
        <v>1</v>
      </c>
      <c r="M2099" t="str">
        <f>"PR22000683"</f>
        <v>PR22000683</v>
      </c>
      <c r="N2099" t="str">
        <f>"E000377452"</f>
        <v>E000377452</v>
      </c>
      <c r="O2099">
        <v>573.20000000000005</v>
      </c>
      <c r="P2099" t="str">
        <f>"$"</f>
        <v>$</v>
      </c>
      <c r="Q2099" t="str">
        <f>"117"</f>
        <v>117</v>
      </c>
      <c r="R2099" t="str">
        <f>"רתמות"</f>
        <v>רתמות</v>
      </c>
      <c r="S2099" t="str">
        <f>"040"</f>
        <v>040</v>
      </c>
      <c r="T2099" t="str">
        <f>"עמר ליגל"</f>
        <v>עמר ליגל</v>
      </c>
      <c r="U2099">
        <v>0</v>
      </c>
      <c r="V2099">
        <v>0</v>
      </c>
      <c r="W2099">
        <v>573.20000000000005</v>
      </c>
      <c r="X2099">
        <v>573.20000000000005</v>
      </c>
      <c r="Z2099" t="str">
        <f>"Y"</f>
        <v>Y</v>
      </c>
      <c r="AA2099">
        <v>0</v>
      </c>
      <c r="AC2099">
        <v>0</v>
      </c>
      <c r="AE2099">
        <v>0</v>
      </c>
      <c r="AF2099">
        <v>0</v>
      </c>
      <c r="AG2099" s="2">
        <v>2029.13</v>
      </c>
      <c r="AH2099">
        <v>0</v>
      </c>
      <c r="AI2099" s="2">
        <v>2029.13</v>
      </c>
      <c r="AJ2099">
        <v>573.20000000000005</v>
      </c>
      <c r="AK2099">
        <v>573.20000000000005</v>
      </c>
      <c r="AL2099" t="str">
        <f>"$"</f>
        <v>$</v>
      </c>
    </row>
    <row r="2100" spans="1:38" x14ac:dyDescent="0.3">
      <c r="A2100" t="str">
        <f>"SO22000394"</f>
        <v>SO22000394</v>
      </c>
      <c r="B2100" t="str">
        <f>"E000377420"</f>
        <v>E000377420</v>
      </c>
      <c r="C2100" t="str">
        <f>"מאושרת לבצוע"</f>
        <v>מאושרת לבצוע</v>
      </c>
      <c r="E2100" s="3">
        <v>44867</v>
      </c>
      <c r="F2100" s="3">
        <v>44880</v>
      </c>
      <c r="G2100" t="str">
        <f>"700065"</f>
        <v>700065</v>
      </c>
      <c r="H2100" t="str">
        <f>"אלתא מערכות בע""מ"</f>
        <v>אלתא מערכות בע"מ</v>
      </c>
      <c r="I2100" t="str">
        <f>"רוני דידי"</f>
        <v>רוני דידי</v>
      </c>
      <c r="J2100" t="str">
        <f>"PS9900047"</f>
        <v>PS9900047</v>
      </c>
      <c r="K2100" s="1" t="str">
        <f>"Flatpack 2 380/3000 HE"</f>
        <v>Flatpack 2 380/3000 HE</v>
      </c>
      <c r="L2100">
        <v>16</v>
      </c>
      <c r="M2100" t="str">
        <f>"PR22000680"</f>
        <v>PR22000680</v>
      </c>
      <c r="N2100" t="str">
        <f>"Flatpack 2 380/3000 HE"</f>
        <v>Flatpack 2 380/3000 HE</v>
      </c>
      <c r="O2100">
        <v>617.4</v>
      </c>
      <c r="P2100" t="str">
        <f>"$"</f>
        <v>$</v>
      </c>
      <c r="Q2100" t="str">
        <f>"111"</f>
        <v>111</v>
      </c>
      <c r="R2100" t="str">
        <f>"מכירה"</f>
        <v>מכירה</v>
      </c>
      <c r="S2100" t="str">
        <f>"007"</f>
        <v>007</v>
      </c>
      <c r="T2100" t="str">
        <f>"עמר ליגל"</f>
        <v>עמר ליגל</v>
      </c>
      <c r="U2100">
        <v>0</v>
      </c>
      <c r="V2100">
        <v>0</v>
      </c>
      <c r="W2100">
        <v>617.4</v>
      </c>
      <c r="X2100" s="2">
        <v>9878.4</v>
      </c>
      <c r="AA2100">
        <v>0</v>
      </c>
      <c r="AC2100">
        <v>0</v>
      </c>
      <c r="AE2100">
        <v>0</v>
      </c>
      <c r="AF2100">
        <v>0</v>
      </c>
      <c r="AG2100" s="2">
        <v>2185.6</v>
      </c>
      <c r="AH2100">
        <v>0</v>
      </c>
      <c r="AI2100" s="2">
        <v>34969.54</v>
      </c>
      <c r="AJ2100" s="2">
        <v>9878.4</v>
      </c>
      <c r="AK2100" s="2">
        <v>9878.4</v>
      </c>
      <c r="AL2100" t="str">
        <f>"$"</f>
        <v>$</v>
      </c>
    </row>
    <row r="2101" spans="1:38" x14ac:dyDescent="0.3">
      <c r="A2101" t="str">
        <f>"SO22000401"</f>
        <v>SO22000401</v>
      </c>
      <c r="B2101" t="str">
        <f>"אתלא תימינפ"</f>
        <v>אתלא תימינפ</v>
      </c>
      <c r="C2101" t="str">
        <f>"מאושרת לחיוב"</f>
        <v>מאושרת לחיוב</v>
      </c>
      <c r="E2101" s="3">
        <v>44871</v>
      </c>
      <c r="F2101" s="3">
        <v>44871</v>
      </c>
      <c r="G2101" t="str">
        <f>"700065"</f>
        <v>700065</v>
      </c>
      <c r="H2101" t="str">
        <f>"אלתא מערכות בע""מ"</f>
        <v>אלתא מערכות בע"מ</v>
      </c>
      <c r="I2101" t="str">
        <f>"ערן שלו"</f>
        <v>ערן שלו</v>
      </c>
      <c r="J2101" t="str">
        <f>"PA1002334"</f>
        <v>PA1002334</v>
      </c>
      <c r="K2101" s="1" t="str">
        <f>"בולם זעזועים GGTC3.2-28/36/10L"</f>
        <v>בולם זעזועים GGTC3.2-28/36/10L</v>
      </c>
      <c r="L2101">
        <v>50</v>
      </c>
      <c r="O2101">
        <v>0</v>
      </c>
      <c r="P2101" t="str">
        <f>"$"</f>
        <v>$</v>
      </c>
      <c r="Q2101" t="str">
        <f>"118"</f>
        <v>118</v>
      </c>
      <c r="R2101" t="str">
        <f>"מערכות"</f>
        <v>מערכות</v>
      </c>
      <c r="S2101" t="str">
        <f>"034"</f>
        <v>034</v>
      </c>
      <c r="T2101" t="str">
        <f>"עמר ליגל"</f>
        <v>עמר ליגל</v>
      </c>
      <c r="U2101">
        <v>0</v>
      </c>
      <c r="V2101">
        <v>0</v>
      </c>
      <c r="W2101">
        <v>0</v>
      </c>
      <c r="X2101">
        <v>0</v>
      </c>
      <c r="Z2101" t="str">
        <f>"Y"</f>
        <v>Y</v>
      </c>
      <c r="AA2101">
        <v>0</v>
      </c>
      <c r="AC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 t="str">
        <f>"$"</f>
        <v>$</v>
      </c>
    </row>
    <row r="2102" spans="1:38" x14ac:dyDescent="0.3">
      <c r="A2102" t="str">
        <f>"SO22000401"</f>
        <v>SO22000401</v>
      </c>
      <c r="B2102" t="str">
        <f>"אתלא תימינפ"</f>
        <v>אתלא תימינפ</v>
      </c>
      <c r="C2102" t="str">
        <f>"מאושרת לחיוב"</f>
        <v>מאושרת לחיוב</v>
      </c>
      <c r="E2102" s="3">
        <v>44871</v>
      </c>
      <c r="F2102" s="3">
        <v>44871</v>
      </c>
      <c r="G2102" t="str">
        <f>"700065"</f>
        <v>700065</v>
      </c>
      <c r="H2102" t="str">
        <f>"אלתא מערכות בע""מ"</f>
        <v>אלתא מערכות בע"מ</v>
      </c>
      <c r="I2102" t="str">
        <f>"ערן שלו"</f>
        <v>ערן שלו</v>
      </c>
      <c r="J2102" t="str">
        <f>"000"</f>
        <v>000</v>
      </c>
      <c r="K2102" s="1" t="str">
        <f>"אספקה לאלתא - ללא עלות לטובת מארזים"</f>
        <v>אספקה לאלתא - ללא עלות לטובת מארזים</v>
      </c>
      <c r="L2102">
        <v>1</v>
      </c>
      <c r="O2102">
        <v>0</v>
      </c>
      <c r="P2102" t="str">
        <f>"$"</f>
        <v>$</v>
      </c>
      <c r="Q2102" t="str">
        <f>"118"</f>
        <v>118</v>
      </c>
      <c r="R2102" t="str">
        <f>"מערכות"</f>
        <v>מערכות</v>
      </c>
      <c r="S2102" t="str">
        <f>"034"</f>
        <v>034</v>
      </c>
      <c r="T2102" t="str">
        <f>"עמר ליגל"</f>
        <v>עמר ליגל</v>
      </c>
      <c r="U2102">
        <v>0</v>
      </c>
      <c r="V2102">
        <v>0</v>
      </c>
      <c r="W2102">
        <v>0</v>
      </c>
      <c r="X2102">
        <v>0</v>
      </c>
      <c r="AA2102">
        <v>1</v>
      </c>
      <c r="AC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 t="str">
        <f>"$"</f>
        <v>$</v>
      </c>
    </row>
    <row r="2103" spans="1:38" x14ac:dyDescent="0.3">
      <c r="A2103" t="str">
        <f>"SO22000407"</f>
        <v>SO22000407</v>
      </c>
      <c r="B2103" t="str">
        <f>"ליטא מתוקנת"</f>
        <v>ליטא מתוקנת</v>
      </c>
      <c r="C2103" t="str">
        <f>"בוצעה"</f>
        <v>בוצעה</v>
      </c>
      <c r="E2103" s="3">
        <v>44874</v>
      </c>
      <c r="F2103" s="3">
        <v>44874</v>
      </c>
      <c r="G2103" t="str">
        <f>"700065"</f>
        <v>700065</v>
      </c>
      <c r="H2103" t="str">
        <f>"אלתא מערכות בע""מ"</f>
        <v>אלתא מערכות בע"מ</v>
      </c>
      <c r="I2103" t="str">
        <f>"כללי"</f>
        <v>כללי</v>
      </c>
      <c r="J2103" t="str">
        <f>"000"</f>
        <v>000</v>
      </c>
      <c r="K2103" s="1" t="str">
        <f>"ליטא 104 - מתוקנת"</f>
        <v>ליטא 104 - מתוקנת</v>
      </c>
      <c r="L2103">
        <v>1</v>
      </c>
      <c r="O2103">
        <v>0</v>
      </c>
      <c r="P2103" t="str">
        <f>"$"</f>
        <v>$</v>
      </c>
      <c r="Q2103" t="str">
        <f>"118"</f>
        <v>118</v>
      </c>
      <c r="R2103" t="str">
        <f>"מערכות"</f>
        <v>מערכות</v>
      </c>
      <c r="S2103" t="str">
        <f>"000"</f>
        <v>000</v>
      </c>
      <c r="T2103" t="str">
        <f>"עמר ליגל"</f>
        <v>עמר ליגל</v>
      </c>
      <c r="U2103">
        <v>0</v>
      </c>
      <c r="V2103">
        <v>0</v>
      </c>
      <c r="W2103">
        <v>0</v>
      </c>
      <c r="X2103">
        <v>0</v>
      </c>
      <c r="Z2103" t="str">
        <f>"Y"</f>
        <v>Y</v>
      </c>
      <c r="AA2103">
        <v>0</v>
      </c>
      <c r="AC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 t="str">
        <f>"$"</f>
        <v>$</v>
      </c>
    </row>
    <row r="2104" spans="1:38" x14ac:dyDescent="0.3">
      <c r="A2104" t="str">
        <f>"SO22000414"</f>
        <v>SO22000414</v>
      </c>
      <c r="B2104" t="str">
        <f>"פנימת"</f>
        <v>פנימת</v>
      </c>
      <c r="C2104" t="str">
        <f>"בוצעה"</f>
        <v>בוצעה</v>
      </c>
      <c r="E2104" s="3">
        <v>44885</v>
      </c>
      <c r="F2104" s="3">
        <v>44885</v>
      </c>
      <c r="G2104" t="str">
        <f>"700065"</f>
        <v>700065</v>
      </c>
      <c r="H2104" t="str">
        <f>"אלתא מערכות בע""מ"</f>
        <v>אלתא מערכות בע"מ</v>
      </c>
      <c r="I2104" t="str">
        <f>"רוני דידי"</f>
        <v>רוני דידי</v>
      </c>
      <c r="J2104" t="str">
        <f>"PA1000254"</f>
        <v>PA1000254</v>
      </c>
      <c r="K2104" s="1" t="str">
        <f>"פד טרמי דגם FUJIPOLY GR25A-00-50 GY"</f>
        <v>פד טרמי דגם FUJIPOLY GR25A-00-50 GY</v>
      </c>
      <c r="L2104">
        <v>2</v>
      </c>
      <c r="M2104" t="str">
        <f>"PR22000113"</f>
        <v>PR22000113</v>
      </c>
      <c r="N2104" t="str">
        <f>"תיקון קבלים בAUX"</f>
        <v>תיקון קבלים בAUX</v>
      </c>
      <c r="O2104">
        <v>0</v>
      </c>
      <c r="P2104" t="str">
        <f>"$"</f>
        <v>$</v>
      </c>
      <c r="Q2104" t="str">
        <f>"070"</f>
        <v>070</v>
      </c>
      <c r="R2104" t="str">
        <f>"הזמנה פנימית"</f>
        <v>הזמנה פנימית</v>
      </c>
      <c r="S2104" t="str">
        <f>"007"</f>
        <v>007</v>
      </c>
      <c r="T2104" t="str">
        <f>"גנם הודיה"</f>
        <v>גנם הודיה</v>
      </c>
      <c r="U2104">
        <v>0</v>
      </c>
      <c r="V2104">
        <v>0</v>
      </c>
      <c r="W2104">
        <v>0</v>
      </c>
      <c r="X2104">
        <v>0</v>
      </c>
      <c r="Z2104" t="str">
        <f>"Y"</f>
        <v>Y</v>
      </c>
      <c r="AA2104">
        <v>0</v>
      </c>
      <c r="AC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 t="str">
        <f>"$"</f>
        <v>$</v>
      </c>
    </row>
    <row r="2105" spans="1:38" x14ac:dyDescent="0.3">
      <c r="A2105" t="str">
        <f>"SO22000414"</f>
        <v>SO22000414</v>
      </c>
      <c r="B2105" t="str">
        <f>"פנימת"</f>
        <v>פנימת</v>
      </c>
      <c r="C2105" t="str">
        <f>"בוצעה"</f>
        <v>בוצעה</v>
      </c>
      <c r="E2105" s="3">
        <v>44885</v>
      </c>
      <c r="F2105" s="3">
        <v>44885</v>
      </c>
      <c r="G2105" t="str">
        <f>"700065"</f>
        <v>700065</v>
      </c>
      <c r="H2105" t="str">
        <f>"אלתא מערכות בע""מ"</f>
        <v>אלתא מערכות בע"מ</v>
      </c>
      <c r="I2105" t="str">
        <f>"רוני דידי"</f>
        <v>רוני דידי</v>
      </c>
      <c r="J2105" t="str">
        <f>"BD0159711"</f>
        <v>BD0159711</v>
      </c>
      <c r="K2105" s="1" t="str">
        <f>"סיקפלקס 11FC שפופרת 310 מ""מ צבע אפור בהיר"</f>
        <v>סיקפלקס 11FC שפופרת 310 מ"מ צבע אפור בהיר</v>
      </c>
      <c r="L2105">
        <v>2</v>
      </c>
      <c r="M2105" t="str">
        <f>"PR22000113"</f>
        <v>PR22000113</v>
      </c>
      <c r="N2105" t="str">
        <f>"תיקון קבלים בAUX"</f>
        <v>תיקון קבלים בAUX</v>
      </c>
      <c r="O2105">
        <v>0</v>
      </c>
      <c r="P2105" t="str">
        <f>"$"</f>
        <v>$</v>
      </c>
      <c r="Q2105" t="str">
        <f>"070"</f>
        <v>070</v>
      </c>
      <c r="R2105" t="str">
        <f>"הזמנה פנימית"</f>
        <v>הזמנה פנימית</v>
      </c>
      <c r="S2105" t="str">
        <f>"007"</f>
        <v>007</v>
      </c>
      <c r="T2105" t="str">
        <f>"גנם הודיה"</f>
        <v>גנם הודיה</v>
      </c>
      <c r="U2105">
        <v>0</v>
      </c>
      <c r="V2105">
        <v>0</v>
      </c>
      <c r="W2105">
        <v>0</v>
      </c>
      <c r="X2105">
        <v>0</v>
      </c>
      <c r="Z2105" t="str">
        <f>"Y"</f>
        <v>Y</v>
      </c>
      <c r="AA2105">
        <v>0</v>
      </c>
      <c r="AC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 t="str">
        <f>"$"</f>
        <v>$</v>
      </c>
    </row>
    <row r="2106" spans="1:38" x14ac:dyDescent="0.3">
      <c r="A2106" t="str">
        <f>"SO22000416"</f>
        <v>SO22000416</v>
      </c>
      <c r="B2106" t="str">
        <f>"E000379575"</f>
        <v>E000379575</v>
      </c>
      <c r="C2106" t="str">
        <f>"בוצעה"</f>
        <v>בוצעה</v>
      </c>
      <c r="E2106" s="3">
        <v>44888</v>
      </c>
      <c r="F2106" s="3">
        <v>44895</v>
      </c>
      <c r="G2106" t="str">
        <f>"700065"</f>
        <v>700065</v>
      </c>
      <c r="H2106" t="str">
        <f>"אלתא מערכות בע""מ"</f>
        <v>אלתא מערכות בע"מ</v>
      </c>
      <c r="I2106" t="str">
        <f>"רוני דידי"</f>
        <v>רוני דידי</v>
      </c>
      <c r="J2106" t="str">
        <f>"PA1000943"</f>
        <v>PA1000943</v>
      </c>
      <c r="K2106" s="1" t="str">
        <f>"קוטב למצבר + 3534"</f>
        <v>קוטב למצבר + 3534</v>
      </c>
      <c r="L2106">
        <v>1</v>
      </c>
      <c r="M2106" t="str">
        <f>"PR21000189"</f>
        <v>PR21000189</v>
      </c>
      <c r="N2106" t="str">
        <f>"BATTERY BOX אפור"</f>
        <v>BATTERY BOX אפור</v>
      </c>
      <c r="O2106">
        <v>288</v>
      </c>
      <c r="P2106" t="str">
        <f>"$"</f>
        <v>$</v>
      </c>
      <c r="Q2106" t="str">
        <f>"111"</f>
        <v>111</v>
      </c>
      <c r="R2106" t="str">
        <f>"מכירה"</f>
        <v>מכירה</v>
      </c>
      <c r="S2106" t="str">
        <f>"007"</f>
        <v>007</v>
      </c>
      <c r="T2106" t="str">
        <f>"עמר ליגל"</f>
        <v>עמר ליגל</v>
      </c>
      <c r="U2106">
        <v>0</v>
      </c>
      <c r="V2106">
        <v>0</v>
      </c>
      <c r="W2106">
        <v>288</v>
      </c>
      <c r="X2106">
        <v>288</v>
      </c>
      <c r="Z2106" t="str">
        <f>"Y"</f>
        <v>Y</v>
      </c>
      <c r="AA2106">
        <v>1</v>
      </c>
      <c r="AC2106">
        <v>0</v>
      </c>
      <c r="AE2106">
        <v>0</v>
      </c>
      <c r="AF2106">
        <v>0</v>
      </c>
      <c r="AG2106">
        <v>994.46</v>
      </c>
      <c r="AH2106">
        <v>0</v>
      </c>
      <c r="AI2106">
        <v>994.46</v>
      </c>
      <c r="AJ2106">
        <v>288</v>
      </c>
      <c r="AK2106">
        <v>288</v>
      </c>
      <c r="AL2106" t="str">
        <f>"$"</f>
        <v>$</v>
      </c>
    </row>
    <row r="2107" spans="1:38" x14ac:dyDescent="0.3">
      <c r="A2107" t="str">
        <f>"SO22000416"</f>
        <v>SO22000416</v>
      </c>
      <c r="B2107" t="str">
        <f>"E000379575"</f>
        <v>E000379575</v>
      </c>
      <c r="C2107" t="str">
        <f>"בוצעה"</f>
        <v>בוצעה</v>
      </c>
      <c r="E2107" s="3">
        <v>44888</v>
      </c>
      <c r="F2107" s="3">
        <v>44895</v>
      </c>
      <c r="G2107" t="str">
        <f>"700065"</f>
        <v>700065</v>
      </c>
      <c r="H2107" t="str">
        <f>"אלתא מערכות בע""מ"</f>
        <v>אלתא מערכות בע"מ</v>
      </c>
      <c r="I2107" t="str">
        <f>"רוני דידי"</f>
        <v>רוני דידי</v>
      </c>
      <c r="J2107" t="str">
        <f>"PA1000944"</f>
        <v>PA1000944</v>
      </c>
      <c r="K2107" s="1" t="str">
        <f>"קוטב למצבר (-) 3535"</f>
        <v>קוטב למצבר (-) 3535</v>
      </c>
      <c r="L2107">
        <v>1</v>
      </c>
      <c r="M2107" t="str">
        <f>"PR21000189"</f>
        <v>PR21000189</v>
      </c>
      <c r="N2107" t="str">
        <f>"BATTERY BOX אפור"</f>
        <v>BATTERY BOX אפור</v>
      </c>
      <c r="O2107">
        <v>288</v>
      </c>
      <c r="P2107" t="str">
        <f>"$"</f>
        <v>$</v>
      </c>
      <c r="Q2107" t="str">
        <f>"111"</f>
        <v>111</v>
      </c>
      <c r="R2107" t="str">
        <f>"מכירה"</f>
        <v>מכירה</v>
      </c>
      <c r="S2107" t="str">
        <f>"007"</f>
        <v>007</v>
      </c>
      <c r="T2107" t="str">
        <f>"עמר ליגל"</f>
        <v>עמר ליגל</v>
      </c>
      <c r="U2107">
        <v>0</v>
      </c>
      <c r="V2107">
        <v>0</v>
      </c>
      <c r="W2107">
        <v>288</v>
      </c>
      <c r="X2107">
        <v>288</v>
      </c>
      <c r="Z2107" t="str">
        <f>"Y"</f>
        <v>Y</v>
      </c>
      <c r="AA2107">
        <v>1</v>
      </c>
      <c r="AC2107">
        <v>0</v>
      </c>
      <c r="AE2107">
        <v>0</v>
      </c>
      <c r="AF2107">
        <v>0</v>
      </c>
      <c r="AG2107">
        <v>994.46</v>
      </c>
      <c r="AH2107">
        <v>0</v>
      </c>
      <c r="AI2107">
        <v>994.46</v>
      </c>
      <c r="AJ2107">
        <v>288</v>
      </c>
      <c r="AK2107">
        <v>288</v>
      </c>
      <c r="AL2107" t="str">
        <f>"$"</f>
        <v>$</v>
      </c>
    </row>
    <row r="2108" spans="1:38" x14ac:dyDescent="0.3">
      <c r="A2108" t="str">
        <f>"SO22000421"</f>
        <v>SO22000421</v>
      </c>
      <c r="B2108" t="str">
        <f>"E000378946"</f>
        <v>E000378946</v>
      </c>
      <c r="C2108" t="str">
        <f>"הרכבה חלקית"</f>
        <v>הרכבה חלקית</v>
      </c>
      <c r="E2108" s="3">
        <v>44892</v>
      </c>
      <c r="F2108" s="3">
        <v>44977</v>
      </c>
      <c r="G2108" t="str">
        <f>"700065"</f>
        <v>700065</v>
      </c>
      <c r="H2108" t="str">
        <f>"אלתא מערכות בע""מ"</f>
        <v>אלתא מערכות בע"מ</v>
      </c>
      <c r="I2108" t="str">
        <f>"רחמים זרוק"</f>
        <v>רחמים זרוק</v>
      </c>
      <c r="J2108" t="str">
        <f>"OP-AR03414"</f>
        <v>OP-AR03414</v>
      </c>
      <c r="K2108" s="1" t="str">
        <f>"2219B550-001    AURA HP ELECTRONIC LOAD CABLE"</f>
        <v>2219B550-001    AURA HP ELECTRONIC LOAD CABLE</v>
      </c>
      <c r="L2108">
        <v>1</v>
      </c>
      <c r="M2108" t="str">
        <f>"PR22000828"</f>
        <v>PR22000828</v>
      </c>
      <c r="N2108" t="str">
        <f>"E000378946"</f>
        <v>E000378946</v>
      </c>
      <c r="O2108">
        <v>335.7</v>
      </c>
      <c r="P2108" t="str">
        <f>"$"</f>
        <v>$</v>
      </c>
      <c r="Q2108" t="str">
        <f>"117"</f>
        <v>117</v>
      </c>
      <c r="R2108" t="str">
        <f>"רתמות"</f>
        <v>רתמות</v>
      </c>
      <c r="S2108" t="str">
        <f>"040"</f>
        <v>040</v>
      </c>
      <c r="T2108" t="str">
        <f>"עמר ליגל"</f>
        <v>עמר ליגל</v>
      </c>
      <c r="U2108">
        <v>0</v>
      </c>
      <c r="V2108">
        <v>0</v>
      </c>
      <c r="W2108">
        <v>335.7</v>
      </c>
      <c r="X2108">
        <v>335.7</v>
      </c>
      <c r="Z2108" t="str">
        <f>"Y"</f>
        <v>Y</v>
      </c>
      <c r="AA2108">
        <v>0</v>
      </c>
      <c r="AC2108">
        <v>0</v>
      </c>
      <c r="AE2108">
        <v>0</v>
      </c>
      <c r="AF2108">
        <v>0</v>
      </c>
      <c r="AG2108" s="2">
        <v>1147.76</v>
      </c>
      <c r="AH2108">
        <v>0</v>
      </c>
      <c r="AI2108" s="2">
        <v>1147.76</v>
      </c>
      <c r="AJ2108">
        <v>335.7</v>
      </c>
      <c r="AK2108">
        <v>335.7</v>
      </c>
      <c r="AL2108" t="str">
        <f>"$"</f>
        <v>$</v>
      </c>
    </row>
    <row r="2109" spans="1:38" x14ac:dyDescent="0.3">
      <c r="A2109" t="str">
        <f>"SO22000421"</f>
        <v>SO22000421</v>
      </c>
      <c r="B2109" t="str">
        <f>"E000378946"</f>
        <v>E000378946</v>
      </c>
      <c r="C2109" t="str">
        <f>"הרכבה חלקית"</f>
        <v>הרכבה חלקית</v>
      </c>
      <c r="E2109" s="3">
        <v>44892</v>
      </c>
      <c r="F2109" s="3">
        <v>44977</v>
      </c>
      <c r="G2109" t="str">
        <f>"700065"</f>
        <v>700065</v>
      </c>
      <c r="H2109" t="str">
        <f>"אלתא מערכות בע""מ"</f>
        <v>אלתא מערכות בע"מ</v>
      </c>
      <c r="I2109" t="str">
        <f>"רחמים זרוק"</f>
        <v>רחמים זרוק</v>
      </c>
      <c r="J2109" t="str">
        <f>"OP-AR03415"</f>
        <v>OP-AR03415</v>
      </c>
      <c r="K2109" s="1" t="str">
        <f>"2219B552-001    AURA ELECTRONIC LOAD CABLE"</f>
        <v>2219B552-001    AURA ELECTRONIC LOAD CABLE</v>
      </c>
      <c r="L2109">
        <v>1</v>
      </c>
      <c r="M2109" t="str">
        <f>"PR22000828"</f>
        <v>PR22000828</v>
      </c>
      <c r="N2109" t="str">
        <f>"E000378946"</f>
        <v>E000378946</v>
      </c>
      <c r="O2109">
        <v>315.70999999999998</v>
      </c>
      <c r="P2109" t="str">
        <f>"$"</f>
        <v>$</v>
      </c>
      <c r="Q2109" t="str">
        <f>"117"</f>
        <v>117</v>
      </c>
      <c r="R2109" t="str">
        <f>"רתמות"</f>
        <v>רתמות</v>
      </c>
      <c r="S2109" t="str">
        <f>"040"</f>
        <v>040</v>
      </c>
      <c r="T2109" t="str">
        <f>"עמר ליגל"</f>
        <v>עמר ליגל</v>
      </c>
      <c r="U2109">
        <v>0</v>
      </c>
      <c r="V2109">
        <v>0</v>
      </c>
      <c r="W2109">
        <v>315.70999999999998</v>
      </c>
      <c r="X2109">
        <v>315.70999999999998</v>
      </c>
      <c r="Z2109" t="str">
        <f>"Y"</f>
        <v>Y</v>
      </c>
      <c r="AA2109">
        <v>0</v>
      </c>
      <c r="AC2109">
        <v>0</v>
      </c>
      <c r="AE2109">
        <v>0</v>
      </c>
      <c r="AF2109">
        <v>0</v>
      </c>
      <c r="AG2109" s="2">
        <v>1079.4100000000001</v>
      </c>
      <c r="AH2109">
        <v>0</v>
      </c>
      <c r="AI2109" s="2">
        <v>1079.4100000000001</v>
      </c>
      <c r="AJ2109">
        <v>315.70999999999998</v>
      </c>
      <c r="AK2109">
        <v>315.70999999999998</v>
      </c>
      <c r="AL2109" t="str">
        <f>"$"</f>
        <v>$</v>
      </c>
    </row>
    <row r="2110" spans="1:38" x14ac:dyDescent="0.3">
      <c r="A2110" t="str">
        <f>"SO22000421"</f>
        <v>SO22000421</v>
      </c>
      <c r="B2110" t="str">
        <f>"E000378946"</f>
        <v>E000378946</v>
      </c>
      <c r="C2110" t="str">
        <f>"הרכבה חלקית"</f>
        <v>הרכבה חלקית</v>
      </c>
      <c r="E2110" s="3">
        <v>44892</v>
      </c>
      <c r="F2110" s="3">
        <v>44977</v>
      </c>
      <c r="G2110" t="str">
        <f>"700065"</f>
        <v>700065</v>
      </c>
      <c r="H2110" t="str">
        <f>"אלתא מערכות בע""מ"</f>
        <v>אלתא מערכות בע"מ</v>
      </c>
      <c r="I2110" t="str">
        <f>"רחמים זרוק"</f>
        <v>רחמים זרוק</v>
      </c>
      <c r="J2110" t="str">
        <f>"OP-AR03416"</f>
        <v>OP-AR03416</v>
      </c>
      <c r="K2110" s="1" t="str">
        <f>"2219B554-001    AURA PS CABLE"</f>
        <v>2219B554-001    AURA PS CABLE</v>
      </c>
      <c r="L2110">
        <v>1</v>
      </c>
      <c r="M2110" t="str">
        <f>"PR22000828"</f>
        <v>PR22000828</v>
      </c>
      <c r="N2110" t="str">
        <f>"E000378946"</f>
        <v>E000378946</v>
      </c>
      <c r="O2110">
        <v>557.83000000000004</v>
      </c>
      <c r="P2110" t="str">
        <f>"$"</f>
        <v>$</v>
      </c>
      <c r="Q2110" t="str">
        <f>"117"</f>
        <v>117</v>
      </c>
      <c r="R2110" t="str">
        <f>"רתמות"</f>
        <v>רתמות</v>
      </c>
      <c r="S2110" t="str">
        <f>"040"</f>
        <v>040</v>
      </c>
      <c r="T2110" t="str">
        <f>"עמר ליגל"</f>
        <v>עמר ליגל</v>
      </c>
      <c r="U2110">
        <v>0</v>
      </c>
      <c r="V2110">
        <v>0</v>
      </c>
      <c r="W2110">
        <v>557.83000000000004</v>
      </c>
      <c r="X2110">
        <v>557.83000000000004</v>
      </c>
      <c r="Z2110" t="str">
        <f>"Y"</f>
        <v>Y</v>
      </c>
      <c r="AA2110">
        <v>0</v>
      </c>
      <c r="AC2110">
        <v>0</v>
      </c>
      <c r="AE2110">
        <v>0</v>
      </c>
      <c r="AF2110">
        <v>0</v>
      </c>
      <c r="AG2110" s="2">
        <v>1907.22</v>
      </c>
      <c r="AH2110">
        <v>0</v>
      </c>
      <c r="AI2110" s="2">
        <v>1907.22</v>
      </c>
      <c r="AJ2110">
        <v>557.83000000000004</v>
      </c>
      <c r="AK2110">
        <v>557.83000000000004</v>
      </c>
      <c r="AL2110" t="str">
        <f>"$"</f>
        <v>$</v>
      </c>
    </row>
    <row r="2111" spans="1:38" x14ac:dyDescent="0.3">
      <c r="A2111" t="str">
        <f>"SO22000423"</f>
        <v>SO22000423</v>
      </c>
      <c r="B2111" t="str">
        <f>"E000378271"</f>
        <v>E000378271</v>
      </c>
      <c r="C2111" t="str">
        <f>"בוצעה"</f>
        <v>בוצעה</v>
      </c>
      <c r="E2111" s="3">
        <v>44892</v>
      </c>
      <c r="F2111" s="3">
        <v>44990</v>
      </c>
      <c r="G2111" t="str">
        <f>"700065"</f>
        <v>700065</v>
      </c>
      <c r="H2111" t="str">
        <f>"אלתא מערכות בע""מ"</f>
        <v>אלתא מערכות בע"מ</v>
      </c>
      <c r="I2111" t="str">
        <f>"רחמים זרוק"</f>
        <v>רחמים זרוק</v>
      </c>
      <c r="J2111" t="str">
        <f>"OP-AR03402"</f>
        <v>OP-AR03402</v>
      </c>
      <c r="K2111" s="1" t="str">
        <f>"6605R216-001    W216 - RSU SYSTEM BUNDLE - VELODYNE"</f>
        <v>6605R216-001    W216 - RSU SYSTEM BUNDLE - VELODYNE</v>
      </c>
      <c r="L2111">
        <v>1</v>
      </c>
      <c r="M2111" t="str">
        <f>"PR22000829"</f>
        <v>PR22000829</v>
      </c>
      <c r="N2111" t="str">
        <f>"E000378271"</f>
        <v>E000378271</v>
      </c>
      <c r="O2111">
        <v>492.32</v>
      </c>
      <c r="P2111" t="str">
        <f>"$"</f>
        <v>$</v>
      </c>
      <c r="Q2111" t="str">
        <f>"117"</f>
        <v>117</v>
      </c>
      <c r="R2111" t="str">
        <f>"רתמות"</f>
        <v>רתמות</v>
      </c>
      <c r="S2111" t="str">
        <f>"040"</f>
        <v>040</v>
      </c>
      <c r="T2111" t="str">
        <f>"עמר ליגל"</f>
        <v>עמר ליגל</v>
      </c>
      <c r="U2111">
        <v>0</v>
      </c>
      <c r="V2111">
        <v>0</v>
      </c>
      <c r="W2111">
        <v>492.32</v>
      </c>
      <c r="X2111">
        <v>492.32</v>
      </c>
      <c r="Z2111" t="str">
        <f>"Y"</f>
        <v>Y</v>
      </c>
      <c r="AA2111">
        <v>1</v>
      </c>
      <c r="AC2111">
        <v>0</v>
      </c>
      <c r="AE2111">
        <v>0</v>
      </c>
      <c r="AF2111">
        <v>0</v>
      </c>
      <c r="AG2111" s="2">
        <v>1683.24</v>
      </c>
      <c r="AH2111">
        <v>0</v>
      </c>
      <c r="AI2111" s="2">
        <v>1683.24</v>
      </c>
      <c r="AJ2111">
        <v>492.32</v>
      </c>
      <c r="AK2111">
        <v>492.32</v>
      </c>
      <c r="AL2111" t="str">
        <f>"$"</f>
        <v>$</v>
      </c>
    </row>
    <row r="2112" spans="1:38" x14ac:dyDescent="0.3">
      <c r="A2112" t="str">
        <f>"SO22000423"</f>
        <v>SO22000423</v>
      </c>
      <c r="B2112" t="str">
        <f>"E000378271"</f>
        <v>E000378271</v>
      </c>
      <c r="C2112" t="str">
        <f>"בוצעה"</f>
        <v>בוצעה</v>
      </c>
      <c r="E2112" s="3">
        <v>44892</v>
      </c>
      <c r="F2112" s="3">
        <v>44990</v>
      </c>
      <c r="G2112" t="str">
        <f>"700065"</f>
        <v>700065</v>
      </c>
      <c r="H2112" t="str">
        <f>"אלתא מערכות בע""מ"</f>
        <v>אלתא מערכות בע"מ</v>
      </c>
      <c r="I2112" t="str">
        <f>"רחמים זרוק"</f>
        <v>רחמים זרוק</v>
      </c>
      <c r="J2112" t="str">
        <f>"OP-AR03403"</f>
        <v>OP-AR03403</v>
      </c>
      <c r="K2112" s="1" t="str">
        <f>"6605R217-001    W217 - RSU SYSTEM BUNDLE - LLC/CNT"</f>
        <v>6605R217-001    W217 - RSU SYSTEM BUNDLE - LLC/CNT</v>
      </c>
      <c r="L2112">
        <v>1</v>
      </c>
      <c r="M2112" t="str">
        <f>"PR22000829"</f>
        <v>PR22000829</v>
      </c>
      <c r="N2112" t="str">
        <f>"E000378271"</f>
        <v>E000378271</v>
      </c>
      <c r="O2112" s="2">
        <v>1063.77</v>
      </c>
      <c r="P2112" t="str">
        <f>"$"</f>
        <v>$</v>
      </c>
      <c r="Q2112" t="str">
        <f>"117"</f>
        <v>117</v>
      </c>
      <c r="R2112" t="str">
        <f>"רתמות"</f>
        <v>רתמות</v>
      </c>
      <c r="S2112" t="str">
        <f>"040"</f>
        <v>040</v>
      </c>
      <c r="T2112" t="str">
        <f>"עמר ליגל"</f>
        <v>עמר ליגל</v>
      </c>
      <c r="U2112">
        <v>0</v>
      </c>
      <c r="V2112">
        <v>0</v>
      </c>
      <c r="W2112" s="2">
        <v>1063.77</v>
      </c>
      <c r="X2112" s="2">
        <v>1063.77</v>
      </c>
      <c r="Z2112" t="str">
        <f>"Y"</f>
        <v>Y</v>
      </c>
      <c r="AA2112">
        <v>0</v>
      </c>
      <c r="AC2112">
        <v>0</v>
      </c>
      <c r="AE2112">
        <v>0</v>
      </c>
      <c r="AF2112">
        <v>0</v>
      </c>
      <c r="AG2112" s="2">
        <v>3637.03</v>
      </c>
      <c r="AH2112">
        <v>0</v>
      </c>
      <c r="AI2112" s="2">
        <v>3637.03</v>
      </c>
      <c r="AJ2112" s="2">
        <v>1063.77</v>
      </c>
      <c r="AK2112" s="2">
        <v>1063.77</v>
      </c>
      <c r="AL2112" t="str">
        <f>"$"</f>
        <v>$</v>
      </c>
    </row>
    <row r="2113" spans="1:38" x14ac:dyDescent="0.3">
      <c r="A2113" t="str">
        <f>"SO22000423"</f>
        <v>SO22000423</v>
      </c>
      <c r="B2113" t="str">
        <f>"E000378271"</f>
        <v>E000378271</v>
      </c>
      <c r="C2113" t="str">
        <f>"בוצעה"</f>
        <v>בוצעה</v>
      </c>
      <c r="E2113" s="3">
        <v>44892</v>
      </c>
      <c r="F2113" s="3">
        <v>44990</v>
      </c>
      <c r="G2113" t="str">
        <f>"700065"</f>
        <v>700065</v>
      </c>
      <c r="H2113" t="str">
        <f>"אלתא מערכות בע""מ"</f>
        <v>אלתא מערכות בע"מ</v>
      </c>
      <c r="I2113" t="str">
        <f>"רחמים זרוק"</f>
        <v>רחמים זרוק</v>
      </c>
      <c r="J2113" t="str">
        <f>"OP-AR03404"</f>
        <v>OP-AR03404</v>
      </c>
      <c r="K2113" s="1" t="str">
        <f>"6605R231-001    W231 - ADAPTER BUNDLE FOR VELODYNE UP"</f>
        <v>6605R231-001    W231 - ADAPTER BUNDLE FOR VELODYNE UP</v>
      </c>
      <c r="L2113">
        <v>1</v>
      </c>
      <c r="M2113" t="str">
        <f>"PR22000829"</f>
        <v>PR22000829</v>
      </c>
      <c r="N2113" t="str">
        <f>"E000378271"</f>
        <v>E000378271</v>
      </c>
      <c r="O2113">
        <v>392.05</v>
      </c>
      <c r="P2113" t="str">
        <f>"$"</f>
        <v>$</v>
      </c>
      <c r="Q2113" t="str">
        <f>"117"</f>
        <v>117</v>
      </c>
      <c r="R2113" t="str">
        <f>"רתמות"</f>
        <v>רתמות</v>
      </c>
      <c r="S2113" t="str">
        <f>"040"</f>
        <v>040</v>
      </c>
      <c r="T2113" t="str">
        <f>"עמר ליגל"</f>
        <v>עמר ליגל</v>
      </c>
      <c r="U2113">
        <v>0</v>
      </c>
      <c r="V2113">
        <v>0</v>
      </c>
      <c r="W2113">
        <v>392.05</v>
      </c>
      <c r="X2113">
        <v>392.05</v>
      </c>
      <c r="Z2113" t="str">
        <f>"Y"</f>
        <v>Y</v>
      </c>
      <c r="AA2113">
        <v>0</v>
      </c>
      <c r="AC2113">
        <v>0</v>
      </c>
      <c r="AE2113">
        <v>0</v>
      </c>
      <c r="AF2113">
        <v>0</v>
      </c>
      <c r="AG2113" s="2">
        <v>1340.42</v>
      </c>
      <c r="AH2113">
        <v>0</v>
      </c>
      <c r="AI2113" s="2">
        <v>1340.42</v>
      </c>
      <c r="AJ2113">
        <v>392.05</v>
      </c>
      <c r="AK2113">
        <v>392.05</v>
      </c>
      <c r="AL2113" t="str">
        <f>"$"</f>
        <v>$</v>
      </c>
    </row>
    <row r="2114" spans="1:38" x14ac:dyDescent="0.3">
      <c r="A2114" t="str">
        <f>"SO22000423"</f>
        <v>SO22000423</v>
      </c>
      <c r="B2114" t="str">
        <f>"E000378271"</f>
        <v>E000378271</v>
      </c>
      <c r="C2114" t="str">
        <f>"בוצעה"</f>
        <v>בוצעה</v>
      </c>
      <c r="E2114" s="3">
        <v>44892</v>
      </c>
      <c r="F2114" s="3">
        <v>44990</v>
      </c>
      <c r="G2114" t="str">
        <f>"700065"</f>
        <v>700065</v>
      </c>
      <c r="H2114" t="str">
        <f>"אלתא מערכות בע""מ"</f>
        <v>אלתא מערכות בע"מ</v>
      </c>
      <c r="I2114" t="str">
        <f>"רחמים זרוק"</f>
        <v>רחמים זרוק</v>
      </c>
      <c r="J2114" t="str">
        <f>"OP-AR03405"</f>
        <v>OP-AR03405</v>
      </c>
      <c r="K2114" s="1" t="str">
        <f>"6660R251-001    W251 - ADSU 1 - MSH TO COMM BOX"</f>
        <v>6660R251-001    W251 - ADSU 1 - MSH TO COMM BOX</v>
      </c>
      <c r="L2114">
        <v>1</v>
      </c>
      <c r="M2114" t="str">
        <f>"PR22000829"</f>
        <v>PR22000829</v>
      </c>
      <c r="N2114" t="str">
        <f>"E000378271"</f>
        <v>E000378271</v>
      </c>
      <c r="O2114">
        <v>590.58000000000004</v>
      </c>
      <c r="P2114" t="str">
        <f>"$"</f>
        <v>$</v>
      </c>
      <c r="Q2114" t="str">
        <f>"117"</f>
        <v>117</v>
      </c>
      <c r="R2114" t="str">
        <f>"רתמות"</f>
        <v>רתמות</v>
      </c>
      <c r="S2114" t="str">
        <f>"040"</f>
        <v>040</v>
      </c>
      <c r="T2114" t="str">
        <f>"עמר ליגל"</f>
        <v>עמר ליגל</v>
      </c>
      <c r="U2114">
        <v>0</v>
      </c>
      <c r="V2114">
        <v>0</v>
      </c>
      <c r="W2114">
        <v>590.58000000000004</v>
      </c>
      <c r="X2114">
        <v>590.58000000000004</v>
      </c>
      <c r="Z2114" t="str">
        <f>"Y"</f>
        <v>Y</v>
      </c>
      <c r="AA2114">
        <v>0</v>
      </c>
      <c r="AC2114">
        <v>0</v>
      </c>
      <c r="AE2114">
        <v>0</v>
      </c>
      <c r="AF2114">
        <v>0</v>
      </c>
      <c r="AG2114" s="2">
        <v>2019.19</v>
      </c>
      <c r="AH2114">
        <v>0</v>
      </c>
      <c r="AI2114" s="2">
        <v>2019.19</v>
      </c>
      <c r="AJ2114">
        <v>590.58000000000004</v>
      </c>
      <c r="AK2114">
        <v>590.58000000000004</v>
      </c>
      <c r="AL2114" t="str">
        <f>"$"</f>
        <v>$</v>
      </c>
    </row>
    <row r="2115" spans="1:38" x14ac:dyDescent="0.3">
      <c r="A2115" t="str">
        <f>"SO22000423"</f>
        <v>SO22000423</v>
      </c>
      <c r="B2115" t="str">
        <f>"E000378271"</f>
        <v>E000378271</v>
      </c>
      <c r="C2115" t="str">
        <f>"בוצעה"</f>
        <v>בוצעה</v>
      </c>
      <c r="E2115" s="3">
        <v>44892</v>
      </c>
      <c r="F2115" s="3">
        <v>44990</v>
      </c>
      <c r="G2115" t="str">
        <f>"700065"</f>
        <v>700065</v>
      </c>
      <c r="H2115" t="str">
        <f>"אלתא מערכות בע""מ"</f>
        <v>אלתא מערכות בע"מ</v>
      </c>
      <c r="I2115" t="str">
        <f>"רחמים זרוק"</f>
        <v>רחמים זרוק</v>
      </c>
      <c r="J2115" t="str">
        <f>"OP-AR03406"</f>
        <v>OP-AR03406</v>
      </c>
      <c r="K2115" s="1" t="str">
        <f>"6660R252-001    W252 - ADSU 2 - MSH TO COMM BOX"</f>
        <v>6660R252-001    W252 - ADSU 2 - MSH TO COMM BOX</v>
      </c>
      <c r="L2115">
        <v>1</v>
      </c>
      <c r="M2115" t="str">
        <f>"PR22000829"</f>
        <v>PR22000829</v>
      </c>
      <c r="N2115" t="str">
        <f>"E000378271"</f>
        <v>E000378271</v>
      </c>
      <c r="O2115">
        <v>590.58000000000004</v>
      </c>
      <c r="P2115" t="str">
        <f>"$"</f>
        <v>$</v>
      </c>
      <c r="Q2115" t="str">
        <f>"117"</f>
        <v>117</v>
      </c>
      <c r="R2115" t="str">
        <f>"רתמות"</f>
        <v>רתמות</v>
      </c>
      <c r="S2115" t="str">
        <f>"040"</f>
        <v>040</v>
      </c>
      <c r="T2115" t="str">
        <f>"עמר ליגל"</f>
        <v>עמר ליגל</v>
      </c>
      <c r="U2115">
        <v>0</v>
      </c>
      <c r="V2115">
        <v>0</v>
      </c>
      <c r="W2115">
        <v>590.58000000000004</v>
      </c>
      <c r="X2115">
        <v>590.58000000000004</v>
      </c>
      <c r="Z2115" t="str">
        <f>"Y"</f>
        <v>Y</v>
      </c>
      <c r="AA2115">
        <v>0</v>
      </c>
      <c r="AC2115">
        <v>0</v>
      </c>
      <c r="AE2115">
        <v>0</v>
      </c>
      <c r="AF2115">
        <v>0</v>
      </c>
      <c r="AG2115" s="2">
        <v>2019.19</v>
      </c>
      <c r="AH2115">
        <v>0</v>
      </c>
      <c r="AI2115" s="2">
        <v>2019.19</v>
      </c>
      <c r="AJ2115">
        <v>590.58000000000004</v>
      </c>
      <c r="AK2115">
        <v>590.58000000000004</v>
      </c>
      <c r="AL2115" t="str">
        <f>"$"</f>
        <v>$</v>
      </c>
    </row>
    <row r="2116" spans="1:38" x14ac:dyDescent="0.3">
      <c r="A2116" t="str">
        <f>"SO22000423"</f>
        <v>SO22000423</v>
      </c>
      <c r="B2116" t="str">
        <f>"E000378271"</f>
        <v>E000378271</v>
      </c>
      <c r="C2116" t="str">
        <f>"בוצעה"</f>
        <v>בוצעה</v>
      </c>
      <c r="E2116" s="3">
        <v>44892</v>
      </c>
      <c r="F2116" s="3">
        <v>44990</v>
      </c>
      <c r="G2116" t="str">
        <f>"700065"</f>
        <v>700065</v>
      </c>
      <c r="H2116" t="str">
        <f>"אלתא מערכות בע""מ"</f>
        <v>אלתא מערכות בע"מ</v>
      </c>
      <c r="I2116" t="str">
        <f>"רחמים זרוק"</f>
        <v>רחמים זרוק</v>
      </c>
      <c r="J2116" t="str">
        <f>"OP-AR03407"</f>
        <v>OP-AR03407</v>
      </c>
      <c r="K2116" s="1" t="str">
        <f>"6660R253-001    W253 - ADSU 3 - MSH TO COMM BOX"</f>
        <v>6660R253-001    W253 - ADSU 3 - MSH TO COMM BOX</v>
      </c>
      <c r="L2116">
        <v>1</v>
      </c>
      <c r="M2116" t="str">
        <f>"PR22000829"</f>
        <v>PR22000829</v>
      </c>
      <c r="N2116" t="str">
        <f>"E000378271"</f>
        <v>E000378271</v>
      </c>
      <c r="O2116">
        <v>590.58000000000004</v>
      </c>
      <c r="P2116" t="str">
        <f>"$"</f>
        <v>$</v>
      </c>
      <c r="Q2116" t="str">
        <f>"117"</f>
        <v>117</v>
      </c>
      <c r="R2116" t="str">
        <f>"רתמות"</f>
        <v>רתמות</v>
      </c>
      <c r="S2116" t="str">
        <f>"040"</f>
        <v>040</v>
      </c>
      <c r="T2116" t="str">
        <f>"עמר ליגל"</f>
        <v>עמר ליגל</v>
      </c>
      <c r="U2116">
        <v>0</v>
      </c>
      <c r="V2116">
        <v>0</v>
      </c>
      <c r="W2116">
        <v>590.58000000000004</v>
      </c>
      <c r="X2116">
        <v>590.58000000000004</v>
      </c>
      <c r="Z2116" t="str">
        <f>"Y"</f>
        <v>Y</v>
      </c>
      <c r="AA2116">
        <v>0</v>
      </c>
      <c r="AC2116">
        <v>0</v>
      </c>
      <c r="AE2116">
        <v>0</v>
      </c>
      <c r="AF2116">
        <v>0</v>
      </c>
      <c r="AG2116" s="2">
        <v>2019.19</v>
      </c>
      <c r="AH2116">
        <v>0</v>
      </c>
      <c r="AI2116" s="2">
        <v>2019.19</v>
      </c>
      <c r="AJ2116">
        <v>590.58000000000004</v>
      </c>
      <c r="AK2116">
        <v>590.58000000000004</v>
      </c>
      <c r="AL2116" t="str">
        <f>"$"</f>
        <v>$</v>
      </c>
    </row>
    <row r="2117" spans="1:38" x14ac:dyDescent="0.3">
      <c r="A2117" t="str">
        <f>"SO22000423"</f>
        <v>SO22000423</v>
      </c>
      <c r="B2117" t="str">
        <f>"E000378271"</f>
        <v>E000378271</v>
      </c>
      <c r="C2117" t="str">
        <f>"בוצעה"</f>
        <v>בוצעה</v>
      </c>
      <c r="E2117" s="3">
        <v>44892</v>
      </c>
      <c r="F2117" s="3">
        <v>44990</v>
      </c>
      <c r="G2117" t="str">
        <f>"700065"</f>
        <v>700065</v>
      </c>
      <c r="H2117" t="str">
        <f>"אלתא מערכות בע""מ"</f>
        <v>אלתא מערכות בע"מ</v>
      </c>
      <c r="I2117" t="str">
        <f>"רחמים זרוק"</f>
        <v>רחמים זרוק</v>
      </c>
      <c r="J2117" t="str">
        <f>"OP-AR03408"</f>
        <v>OP-AR03408</v>
      </c>
      <c r="K2117" s="1" t="str">
        <f>"6660R254-001    W254 - ADSU 4 - MSH TO COMM BOX"</f>
        <v>6660R254-001    W254 - ADSU 4 - MSH TO COMM BOX</v>
      </c>
      <c r="L2117">
        <v>1</v>
      </c>
      <c r="M2117" t="str">
        <f>"PR22000829"</f>
        <v>PR22000829</v>
      </c>
      <c r="N2117" t="str">
        <f>"E000378271"</f>
        <v>E000378271</v>
      </c>
      <c r="O2117">
        <v>590.58000000000004</v>
      </c>
      <c r="P2117" t="str">
        <f>"$"</f>
        <v>$</v>
      </c>
      <c r="Q2117" t="str">
        <f>"117"</f>
        <v>117</v>
      </c>
      <c r="R2117" t="str">
        <f>"רתמות"</f>
        <v>רתמות</v>
      </c>
      <c r="S2117" t="str">
        <f>"040"</f>
        <v>040</v>
      </c>
      <c r="T2117" t="str">
        <f>"עמר ליגל"</f>
        <v>עמר ליגל</v>
      </c>
      <c r="U2117">
        <v>0</v>
      </c>
      <c r="V2117">
        <v>0</v>
      </c>
      <c r="W2117">
        <v>590.58000000000004</v>
      </c>
      <c r="X2117">
        <v>590.58000000000004</v>
      </c>
      <c r="Z2117" t="str">
        <f>"Y"</f>
        <v>Y</v>
      </c>
      <c r="AA2117">
        <v>0</v>
      </c>
      <c r="AC2117">
        <v>0</v>
      </c>
      <c r="AE2117">
        <v>0</v>
      </c>
      <c r="AF2117">
        <v>0</v>
      </c>
      <c r="AG2117" s="2">
        <v>2019.19</v>
      </c>
      <c r="AH2117">
        <v>0</v>
      </c>
      <c r="AI2117" s="2">
        <v>2019.19</v>
      </c>
      <c r="AJ2117">
        <v>590.58000000000004</v>
      </c>
      <c r="AK2117">
        <v>590.58000000000004</v>
      </c>
      <c r="AL2117" t="str">
        <f>"$"</f>
        <v>$</v>
      </c>
    </row>
    <row r="2118" spans="1:38" x14ac:dyDescent="0.3">
      <c r="A2118" t="str">
        <f>"SO22000423"</f>
        <v>SO22000423</v>
      </c>
      <c r="B2118" t="str">
        <f>"E000378271"</f>
        <v>E000378271</v>
      </c>
      <c r="C2118" t="str">
        <f>"בוצעה"</f>
        <v>בוצעה</v>
      </c>
      <c r="E2118" s="3">
        <v>44892</v>
      </c>
      <c r="F2118" s="3">
        <v>44990</v>
      </c>
      <c r="G2118" t="str">
        <f>"700065"</f>
        <v>700065</v>
      </c>
      <c r="H2118" t="str">
        <f>"אלתא מערכות בע""מ"</f>
        <v>אלתא מערכות בע"מ</v>
      </c>
      <c r="I2118" t="str">
        <f>"רחמים זרוק"</f>
        <v>רחמים זרוק</v>
      </c>
      <c r="J2118" t="str">
        <f>"OP-AR03409"</f>
        <v>OP-AR03409</v>
      </c>
      <c r="K2118" s="1" t="str">
        <f>"6660R255-001    W255 - ADSU 5 - MSH TO COMM BOX"</f>
        <v>6660R255-001    W255 - ADSU 5 - MSH TO COMM BOX</v>
      </c>
      <c r="L2118">
        <v>1</v>
      </c>
      <c r="M2118" t="str">
        <f>"PR22000829"</f>
        <v>PR22000829</v>
      </c>
      <c r="N2118" t="str">
        <f>"E000378271"</f>
        <v>E000378271</v>
      </c>
      <c r="O2118">
        <v>590.58000000000004</v>
      </c>
      <c r="P2118" t="str">
        <f>"$"</f>
        <v>$</v>
      </c>
      <c r="Q2118" t="str">
        <f>"117"</f>
        <v>117</v>
      </c>
      <c r="R2118" t="str">
        <f>"רתמות"</f>
        <v>רתמות</v>
      </c>
      <c r="S2118" t="str">
        <f>"040"</f>
        <v>040</v>
      </c>
      <c r="T2118" t="str">
        <f>"עמר ליגל"</f>
        <v>עמר ליגל</v>
      </c>
      <c r="U2118">
        <v>0</v>
      </c>
      <c r="V2118">
        <v>0</v>
      </c>
      <c r="W2118">
        <v>590.58000000000004</v>
      </c>
      <c r="X2118">
        <v>590.58000000000004</v>
      </c>
      <c r="Z2118" t="str">
        <f>"Y"</f>
        <v>Y</v>
      </c>
      <c r="AA2118">
        <v>0</v>
      </c>
      <c r="AC2118">
        <v>0</v>
      </c>
      <c r="AE2118">
        <v>0</v>
      </c>
      <c r="AF2118">
        <v>0</v>
      </c>
      <c r="AG2118" s="2">
        <v>2019.19</v>
      </c>
      <c r="AH2118">
        <v>0</v>
      </c>
      <c r="AI2118" s="2">
        <v>2019.19</v>
      </c>
      <c r="AJ2118">
        <v>590.58000000000004</v>
      </c>
      <c r="AK2118">
        <v>590.58000000000004</v>
      </c>
      <c r="AL2118" t="str">
        <f>"$"</f>
        <v>$</v>
      </c>
    </row>
    <row r="2119" spans="1:38" x14ac:dyDescent="0.3">
      <c r="A2119" t="str">
        <f>"SO22000423"</f>
        <v>SO22000423</v>
      </c>
      <c r="B2119" t="str">
        <f>"E000378271"</f>
        <v>E000378271</v>
      </c>
      <c r="C2119" t="str">
        <f>"בוצעה"</f>
        <v>בוצעה</v>
      </c>
      <c r="E2119" s="3">
        <v>44892</v>
      </c>
      <c r="F2119" s="3">
        <v>44990</v>
      </c>
      <c r="G2119" t="str">
        <f>"700065"</f>
        <v>700065</v>
      </c>
      <c r="H2119" t="str">
        <f>"אלתא מערכות בע""מ"</f>
        <v>אלתא מערכות בע"מ</v>
      </c>
      <c r="I2119" t="str">
        <f>"רחמים זרוק"</f>
        <v>רחמים זרוק</v>
      </c>
      <c r="J2119" t="str">
        <f>"OP-AR03410"</f>
        <v>OP-AR03410</v>
      </c>
      <c r="K2119" s="1" t="str">
        <f>"6660R260-001    W260 - MASTER ADSU - COMM BOX SPLITTER A"</f>
        <v>6660R260-001    W260 - MASTER ADSU - COMM BOX SPLITTER A</v>
      </c>
      <c r="L2119">
        <v>1</v>
      </c>
      <c r="M2119" t="str">
        <f>"PR22000829"</f>
        <v>PR22000829</v>
      </c>
      <c r="N2119" t="str">
        <f>"E000378271"</f>
        <v>E000378271</v>
      </c>
      <c r="O2119">
        <v>691.25</v>
      </c>
      <c r="P2119" t="str">
        <f>"$"</f>
        <v>$</v>
      </c>
      <c r="Q2119" t="str">
        <f>"117"</f>
        <v>117</v>
      </c>
      <c r="R2119" t="str">
        <f>"רתמות"</f>
        <v>רתמות</v>
      </c>
      <c r="S2119" t="str">
        <f>"040"</f>
        <v>040</v>
      </c>
      <c r="T2119" t="str">
        <f>"עמר ליגל"</f>
        <v>עמר ליגל</v>
      </c>
      <c r="U2119">
        <v>0</v>
      </c>
      <c r="V2119">
        <v>0</v>
      </c>
      <c r="W2119">
        <v>691.25</v>
      </c>
      <c r="X2119">
        <v>691.25</v>
      </c>
      <c r="Z2119" t="str">
        <f>"Y"</f>
        <v>Y</v>
      </c>
      <c r="AA2119">
        <v>0</v>
      </c>
      <c r="AC2119">
        <v>0</v>
      </c>
      <c r="AE2119">
        <v>0</v>
      </c>
      <c r="AF2119">
        <v>0</v>
      </c>
      <c r="AG2119" s="2">
        <v>2363.38</v>
      </c>
      <c r="AH2119">
        <v>0</v>
      </c>
      <c r="AI2119" s="2">
        <v>2363.38</v>
      </c>
      <c r="AJ2119">
        <v>691.25</v>
      </c>
      <c r="AK2119">
        <v>691.25</v>
      </c>
      <c r="AL2119" t="str">
        <f>"$"</f>
        <v>$</v>
      </c>
    </row>
    <row r="2120" spans="1:38" x14ac:dyDescent="0.3">
      <c r="A2120" t="str">
        <f>"SO22000423"</f>
        <v>SO22000423</v>
      </c>
      <c r="B2120" t="str">
        <f>"E000378271"</f>
        <v>E000378271</v>
      </c>
      <c r="C2120" t="str">
        <f>"בוצעה"</f>
        <v>בוצעה</v>
      </c>
      <c r="E2120" s="3">
        <v>44892</v>
      </c>
      <c r="F2120" s="3">
        <v>44990</v>
      </c>
      <c r="G2120" t="str">
        <f>"700065"</f>
        <v>700065</v>
      </c>
      <c r="H2120" t="str">
        <f>"אלתא מערכות בע""מ"</f>
        <v>אלתא מערכות בע"מ</v>
      </c>
      <c r="I2120" t="str">
        <f>"רחמים זרוק"</f>
        <v>רחמים זרוק</v>
      </c>
      <c r="J2120" t="str">
        <f>"OP-AR03411"</f>
        <v>OP-AR03411</v>
      </c>
      <c r="K2120" s="1" t="str">
        <f>"6660R261-001    W261 - MASTER ADSU - MASTER MSH EXTEDER"</f>
        <v>6660R261-001    W261 - MASTER ADSU - MASTER MSH EXTEDER</v>
      </c>
      <c r="L2120">
        <v>5</v>
      </c>
      <c r="M2120" t="str">
        <f>"PR22000829"</f>
        <v>PR22000829</v>
      </c>
      <c r="N2120" t="str">
        <f>"E000378271"</f>
        <v>E000378271</v>
      </c>
      <c r="O2120">
        <v>636.37</v>
      </c>
      <c r="P2120" t="str">
        <f>"$"</f>
        <v>$</v>
      </c>
      <c r="Q2120" t="str">
        <f>"117"</f>
        <v>117</v>
      </c>
      <c r="R2120" t="str">
        <f>"רתמות"</f>
        <v>רתמות</v>
      </c>
      <c r="S2120" t="str">
        <f>"040"</f>
        <v>040</v>
      </c>
      <c r="T2120" t="str">
        <f>"עמר ליגל"</f>
        <v>עמר ליגל</v>
      </c>
      <c r="U2120">
        <v>0</v>
      </c>
      <c r="V2120">
        <v>0</v>
      </c>
      <c r="W2120">
        <v>636.37</v>
      </c>
      <c r="X2120" s="2">
        <v>3181.85</v>
      </c>
      <c r="Z2120" t="str">
        <f>"Y"</f>
        <v>Y</v>
      </c>
      <c r="AA2120">
        <v>0</v>
      </c>
      <c r="AC2120">
        <v>0</v>
      </c>
      <c r="AE2120">
        <v>0</v>
      </c>
      <c r="AF2120">
        <v>0</v>
      </c>
      <c r="AG2120" s="2">
        <v>2175.75</v>
      </c>
      <c r="AH2120">
        <v>0</v>
      </c>
      <c r="AI2120" s="2">
        <v>10878.75</v>
      </c>
      <c r="AJ2120" s="2">
        <v>3181.85</v>
      </c>
      <c r="AK2120" s="2">
        <v>3181.85</v>
      </c>
      <c r="AL2120" t="str">
        <f>"$"</f>
        <v>$</v>
      </c>
    </row>
    <row r="2121" spans="1:38" x14ac:dyDescent="0.3">
      <c r="A2121" t="str">
        <f>"SO22000423"</f>
        <v>SO22000423</v>
      </c>
      <c r="B2121" t="str">
        <f>"E000378271"</f>
        <v>E000378271</v>
      </c>
      <c r="C2121" t="str">
        <f>"בוצעה"</f>
        <v>בוצעה</v>
      </c>
      <c r="E2121" s="3">
        <v>44892</v>
      </c>
      <c r="F2121" s="3">
        <v>44990</v>
      </c>
      <c r="G2121" t="str">
        <f>"700065"</f>
        <v>700065</v>
      </c>
      <c r="H2121" t="str">
        <f>"אלתא מערכות בע""מ"</f>
        <v>אלתא מערכות בע"מ</v>
      </c>
      <c r="I2121" t="str">
        <f>"רחמים זרוק"</f>
        <v>רחמים זרוק</v>
      </c>
      <c r="J2121" t="str">
        <f>"OP-AR03412"</f>
        <v>OP-AR03412</v>
      </c>
      <c r="K2121" s="1" t="str">
        <f>"6660R269-001    W269 - MASTER ADSU - SHORTER"</f>
        <v>6660R269-001    W269 - MASTER ADSU - SHORTER</v>
      </c>
      <c r="L2121">
        <v>5</v>
      </c>
      <c r="M2121" t="str">
        <f>"PR22000829"</f>
        <v>PR22000829</v>
      </c>
      <c r="N2121" t="str">
        <f>"E000378271"</f>
        <v>E000378271</v>
      </c>
      <c r="O2121">
        <v>111.14</v>
      </c>
      <c r="P2121" t="str">
        <f>"$"</f>
        <v>$</v>
      </c>
      <c r="Q2121" t="str">
        <f>"117"</f>
        <v>117</v>
      </c>
      <c r="R2121" t="str">
        <f>"רתמות"</f>
        <v>רתמות</v>
      </c>
      <c r="S2121" t="str">
        <f>"040"</f>
        <v>040</v>
      </c>
      <c r="T2121" t="str">
        <f>"עמר ליגל"</f>
        <v>עמר ליגל</v>
      </c>
      <c r="U2121">
        <v>0</v>
      </c>
      <c r="V2121">
        <v>0</v>
      </c>
      <c r="W2121">
        <v>111.14</v>
      </c>
      <c r="X2121">
        <v>555.70000000000005</v>
      </c>
      <c r="Z2121" t="str">
        <f>"Y"</f>
        <v>Y</v>
      </c>
      <c r="AA2121">
        <v>1</v>
      </c>
      <c r="AC2121">
        <v>0</v>
      </c>
      <c r="AE2121">
        <v>0</v>
      </c>
      <c r="AF2121">
        <v>0</v>
      </c>
      <c r="AG2121">
        <v>379.99</v>
      </c>
      <c r="AH2121">
        <v>0</v>
      </c>
      <c r="AI2121" s="2">
        <v>1899.94</v>
      </c>
      <c r="AJ2121">
        <v>555.70000000000005</v>
      </c>
      <c r="AK2121">
        <v>555.70000000000005</v>
      </c>
      <c r="AL2121" t="str">
        <f>"$"</f>
        <v>$</v>
      </c>
    </row>
    <row r="2122" spans="1:38" x14ac:dyDescent="0.3">
      <c r="A2122" t="str">
        <f>"SO22000424"</f>
        <v>SO22000424</v>
      </c>
      <c r="B2122" t="str">
        <f>"E000378274"</f>
        <v>E000378274</v>
      </c>
      <c r="C2122" t="str">
        <f>"הרכבה חלקית"</f>
        <v>הרכבה חלקית</v>
      </c>
      <c r="E2122" s="3">
        <v>44892</v>
      </c>
      <c r="F2122" s="3">
        <v>44957</v>
      </c>
      <c r="G2122" t="str">
        <f>"700065"</f>
        <v>700065</v>
      </c>
      <c r="H2122" t="str">
        <f>"אלתא מערכות בע""מ"</f>
        <v>אלתא מערכות בע"מ</v>
      </c>
      <c r="I2122" t="str">
        <f>"רחמים זרוק"</f>
        <v>רחמים זרוק</v>
      </c>
      <c r="J2122" t="str">
        <f>"OP-AR03393"</f>
        <v>OP-AR03393</v>
      </c>
      <c r="K2122" s="1" t="str">
        <f>"2212B620-001    WGNG2 CABLE ASSY"</f>
        <v>2212B620-001    WGNG2 CABLE ASSY</v>
      </c>
      <c r="L2122">
        <v>2</v>
      </c>
      <c r="M2122" t="str">
        <f>"PR22000824"</f>
        <v>PR22000824</v>
      </c>
      <c r="N2122" t="str">
        <f>"E000378274"</f>
        <v>E000378274</v>
      </c>
      <c r="O2122" s="2">
        <v>1272.83</v>
      </c>
      <c r="P2122" t="str">
        <f>"$"</f>
        <v>$</v>
      </c>
      <c r="Q2122" t="str">
        <f>"117"</f>
        <v>117</v>
      </c>
      <c r="R2122" t="str">
        <f>"רתמות"</f>
        <v>רתמות</v>
      </c>
      <c r="S2122" t="str">
        <f>"040"</f>
        <v>040</v>
      </c>
      <c r="T2122" t="str">
        <f>"עמר ליגל"</f>
        <v>עמר ליגל</v>
      </c>
      <c r="U2122">
        <v>0</v>
      </c>
      <c r="V2122">
        <v>0</v>
      </c>
      <c r="W2122" s="2">
        <v>1272.83</v>
      </c>
      <c r="X2122" s="2">
        <v>2545.66</v>
      </c>
      <c r="Z2122" t="str">
        <f>"Y"</f>
        <v>Y</v>
      </c>
      <c r="AA2122">
        <v>0</v>
      </c>
      <c r="AC2122">
        <v>0</v>
      </c>
      <c r="AE2122">
        <v>0</v>
      </c>
      <c r="AF2122">
        <v>0</v>
      </c>
      <c r="AG2122" s="2">
        <v>4351.8100000000004</v>
      </c>
      <c r="AH2122">
        <v>0</v>
      </c>
      <c r="AI2122" s="2">
        <v>8703.61</v>
      </c>
      <c r="AJ2122" s="2">
        <v>2545.66</v>
      </c>
      <c r="AK2122" s="2">
        <v>2545.66</v>
      </c>
      <c r="AL2122" t="str">
        <f>"$"</f>
        <v>$</v>
      </c>
    </row>
    <row r="2123" spans="1:38" x14ac:dyDescent="0.3">
      <c r="A2123" t="str">
        <f>"SO22000424"</f>
        <v>SO22000424</v>
      </c>
      <c r="B2123" t="str">
        <f>"E000378274"</f>
        <v>E000378274</v>
      </c>
      <c r="C2123" t="str">
        <f>"הרכבה חלקית"</f>
        <v>הרכבה חלקית</v>
      </c>
      <c r="E2123" s="3">
        <v>44892</v>
      </c>
      <c r="F2123" s="3">
        <v>44957</v>
      </c>
      <c r="G2123" t="str">
        <f>"700065"</f>
        <v>700065</v>
      </c>
      <c r="H2123" t="str">
        <f>"אלתא מערכות בע""מ"</f>
        <v>אלתא מערכות בע"מ</v>
      </c>
      <c r="I2123" t="str">
        <f>"רחמים זרוק"</f>
        <v>רחמים זרוק</v>
      </c>
      <c r="J2123" t="str">
        <f>"OP-AR03394"</f>
        <v>OP-AR03394</v>
      </c>
      <c r="K2123" s="1" t="str">
        <f>"2227B392-001    HARNESS W392 - LVCS TO ANT POWER"</f>
        <v>2227B392-001    HARNESS W392 - LVCS TO ANT POWER</v>
      </c>
      <c r="L2123">
        <v>2</v>
      </c>
      <c r="M2123" t="str">
        <f>"PR22000824"</f>
        <v>PR22000824</v>
      </c>
      <c r="N2123" t="str">
        <f>"E000378274"</f>
        <v>E000378274</v>
      </c>
      <c r="O2123">
        <v>673.87</v>
      </c>
      <c r="P2123" t="str">
        <f>"$"</f>
        <v>$</v>
      </c>
      <c r="Q2123" t="str">
        <f>"117"</f>
        <v>117</v>
      </c>
      <c r="R2123" t="str">
        <f>"רתמות"</f>
        <v>רתמות</v>
      </c>
      <c r="S2123" t="str">
        <f>"040"</f>
        <v>040</v>
      </c>
      <c r="T2123" t="str">
        <f>"עמר ליגל"</f>
        <v>עמר ליגל</v>
      </c>
      <c r="U2123">
        <v>0</v>
      </c>
      <c r="V2123">
        <v>0</v>
      </c>
      <c r="W2123">
        <v>673.87</v>
      </c>
      <c r="X2123" s="2">
        <v>1347.74</v>
      </c>
      <c r="Z2123" t="str">
        <f>"Y"</f>
        <v>Y</v>
      </c>
      <c r="AA2123">
        <v>0</v>
      </c>
      <c r="AC2123">
        <v>0</v>
      </c>
      <c r="AE2123">
        <v>0</v>
      </c>
      <c r="AF2123">
        <v>0</v>
      </c>
      <c r="AG2123" s="2">
        <v>2303.96</v>
      </c>
      <c r="AH2123">
        <v>0</v>
      </c>
      <c r="AI2123" s="2">
        <v>4607.92</v>
      </c>
      <c r="AJ2123" s="2">
        <v>1347.74</v>
      </c>
      <c r="AK2123" s="2">
        <v>1347.74</v>
      </c>
      <c r="AL2123" t="str">
        <f>"$"</f>
        <v>$</v>
      </c>
    </row>
    <row r="2124" spans="1:38" x14ac:dyDescent="0.3">
      <c r="A2124" t="str">
        <f>"SO22000424"</f>
        <v>SO22000424</v>
      </c>
      <c r="B2124" t="str">
        <f>"E000378274"</f>
        <v>E000378274</v>
      </c>
      <c r="C2124" t="str">
        <f>"הרכבה חלקית"</f>
        <v>הרכבה חלקית</v>
      </c>
      <c r="E2124" s="3">
        <v>44892</v>
      </c>
      <c r="F2124" s="3">
        <v>44957</v>
      </c>
      <c r="G2124" t="str">
        <f>"700065"</f>
        <v>700065</v>
      </c>
      <c r="H2124" t="str">
        <f>"אלתא מערכות בע""מ"</f>
        <v>אלתא מערכות בע"מ</v>
      </c>
      <c r="I2124" t="str">
        <f>"רחמים זרוק"</f>
        <v>רחמים זרוק</v>
      </c>
      <c r="J2124" t="str">
        <f>"OP-AR03395"</f>
        <v>OP-AR03395</v>
      </c>
      <c r="K2124" s="1" t="str">
        <f>"2227B394-001    HARNESS W394 - LVCS TO ANT POWER"</f>
        <v>2227B394-001    HARNESS W394 - LVCS TO ANT POWER</v>
      </c>
      <c r="L2124">
        <v>2</v>
      </c>
      <c r="M2124" t="str">
        <f>"PR22000824"</f>
        <v>PR22000824</v>
      </c>
      <c r="N2124" t="str">
        <f>"E000378274"</f>
        <v>E000378274</v>
      </c>
      <c r="O2124">
        <v>673.87</v>
      </c>
      <c r="P2124" t="str">
        <f>"$"</f>
        <v>$</v>
      </c>
      <c r="Q2124" t="str">
        <f>"117"</f>
        <v>117</v>
      </c>
      <c r="R2124" t="str">
        <f>"רתמות"</f>
        <v>רתמות</v>
      </c>
      <c r="S2124" t="str">
        <f>"040"</f>
        <v>040</v>
      </c>
      <c r="T2124" t="str">
        <f>"עמר ליגל"</f>
        <v>עמר ליגל</v>
      </c>
      <c r="U2124">
        <v>0</v>
      </c>
      <c r="V2124">
        <v>0</v>
      </c>
      <c r="W2124">
        <v>673.87</v>
      </c>
      <c r="X2124" s="2">
        <v>1347.74</v>
      </c>
      <c r="Z2124" t="str">
        <f>"Y"</f>
        <v>Y</v>
      </c>
      <c r="AA2124">
        <v>0</v>
      </c>
      <c r="AC2124">
        <v>0</v>
      </c>
      <c r="AE2124">
        <v>0</v>
      </c>
      <c r="AF2124">
        <v>0</v>
      </c>
      <c r="AG2124" s="2">
        <v>2303.96</v>
      </c>
      <c r="AH2124">
        <v>0</v>
      </c>
      <c r="AI2124" s="2">
        <v>4607.92</v>
      </c>
      <c r="AJ2124" s="2">
        <v>1347.74</v>
      </c>
      <c r="AK2124" s="2">
        <v>1347.74</v>
      </c>
      <c r="AL2124" t="str">
        <f>"$"</f>
        <v>$</v>
      </c>
    </row>
    <row r="2125" spans="1:38" x14ac:dyDescent="0.3">
      <c r="A2125" t="str">
        <f>"SO22000424"</f>
        <v>SO22000424</v>
      </c>
      <c r="B2125" t="str">
        <f>"E000378274"</f>
        <v>E000378274</v>
      </c>
      <c r="C2125" t="str">
        <f>"הרכבה חלקית"</f>
        <v>הרכבה חלקית</v>
      </c>
      <c r="E2125" s="3">
        <v>44892</v>
      </c>
      <c r="F2125" s="3">
        <v>44957</v>
      </c>
      <c r="G2125" t="str">
        <f>"700065"</f>
        <v>700065</v>
      </c>
      <c r="H2125" t="str">
        <f>"אלתא מערכות בע""מ"</f>
        <v>אלתא מערכות בע"מ</v>
      </c>
      <c r="I2125" t="str">
        <f>"רחמים זרוק"</f>
        <v>רחמים זרוק</v>
      </c>
      <c r="J2125" t="str">
        <f>"OP-AR03396"</f>
        <v>OP-AR03396</v>
      </c>
      <c r="K2125" s="1" t="str">
        <f>"2227B396-001    HARNESS W396 - LVCS TO ANT POWER"</f>
        <v>2227B396-001    HARNESS W396 - LVCS TO ANT POWER</v>
      </c>
      <c r="L2125">
        <v>2</v>
      </c>
      <c r="M2125" t="str">
        <f>"PR22000824"</f>
        <v>PR22000824</v>
      </c>
      <c r="N2125" t="str">
        <f>"E000378274"</f>
        <v>E000378274</v>
      </c>
      <c r="O2125">
        <v>673.87</v>
      </c>
      <c r="P2125" t="str">
        <f>"$"</f>
        <v>$</v>
      </c>
      <c r="Q2125" t="str">
        <f>"117"</f>
        <v>117</v>
      </c>
      <c r="R2125" t="str">
        <f>"רתמות"</f>
        <v>רתמות</v>
      </c>
      <c r="S2125" t="str">
        <f>"040"</f>
        <v>040</v>
      </c>
      <c r="T2125" t="str">
        <f>"עמר ליגל"</f>
        <v>עמר ליגל</v>
      </c>
      <c r="U2125">
        <v>0</v>
      </c>
      <c r="V2125">
        <v>0</v>
      </c>
      <c r="W2125">
        <v>673.87</v>
      </c>
      <c r="X2125" s="2">
        <v>1347.74</v>
      </c>
      <c r="Z2125" t="str">
        <f>"Y"</f>
        <v>Y</v>
      </c>
      <c r="AA2125">
        <v>0</v>
      </c>
      <c r="AC2125">
        <v>0</v>
      </c>
      <c r="AE2125">
        <v>0</v>
      </c>
      <c r="AF2125">
        <v>0</v>
      </c>
      <c r="AG2125" s="2">
        <v>2303.96</v>
      </c>
      <c r="AH2125">
        <v>0</v>
      </c>
      <c r="AI2125" s="2">
        <v>4607.92</v>
      </c>
      <c r="AJ2125" s="2">
        <v>1347.74</v>
      </c>
      <c r="AK2125" s="2">
        <v>1347.74</v>
      </c>
      <c r="AL2125" t="str">
        <f>"$"</f>
        <v>$</v>
      </c>
    </row>
    <row r="2126" spans="1:38" x14ac:dyDescent="0.3">
      <c r="A2126" t="str">
        <f>"SO22000424"</f>
        <v>SO22000424</v>
      </c>
      <c r="B2126" t="str">
        <f>"E000378274"</f>
        <v>E000378274</v>
      </c>
      <c r="C2126" t="str">
        <f>"הרכבה חלקית"</f>
        <v>הרכבה חלקית</v>
      </c>
      <c r="E2126" s="3">
        <v>44892</v>
      </c>
      <c r="F2126" s="3">
        <v>44957</v>
      </c>
      <c r="G2126" t="str">
        <f>"700065"</f>
        <v>700065</v>
      </c>
      <c r="H2126" t="str">
        <f>"אלתא מערכות בע""מ"</f>
        <v>אלתא מערכות בע"מ</v>
      </c>
      <c r="I2126" t="str">
        <f>"רחמים זרוק"</f>
        <v>רחמים זרוק</v>
      </c>
      <c r="J2126" t="str">
        <f>"OP-AR03397"</f>
        <v>OP-AR03397</v>
      </c>
      <c r="K2126" s="1" t="str">
        <f>"2227B398-001    HARNESS W398 - LVCS TO ANT POWER"</f>
        <v>2227B398-001    HARNESS W398 - LVCS TO ANT POWER</v>
      </c>
      <c r="L2126">
        <v>2</v>
      </c>
      <c r="M2126" t="str">
        <f>"PR22000824"</f>
        <v>PR22000824</v>
      </c>
      <c r="N2126" t="str">
        <f>"E000378274"</f>
        <v>E000378274</v>
      </c>
      <c r="O2126">
        <v>673.87</v>
      </c>
      <c r="P2126" t="str">
        <f>"$"</f>
        <v>$</v>
      </c>
      <c r="Q2126" t="str">
        <f>"117"</f>
        <v>117</v>
      </c>
      <c r="R2126" t="str">
        <f>"רתמות"</f>
        <v>רתמות</v>
      </c>
      <c r="S2126" t="str">
        <f>"040"</f>
        <v>040</v>
      </c>
      <c r="T2126" t="str">
        <f>"עמר ליגל"</f>
        <v>עמר ליגל</v>
      </c>
      <c r="U2126">
        <v>0</v>
      </c>
      <c r="V2126">
        <v>0</v>
      </c>
      <c r="W2126">
        <v>673.87</v>
      </c>
      <c r="X2126" s="2">
        <v>1347.74</v>
      </c>
      <c r="Z2126" t="str">
        <f>"Y"</f>
        <v>Y</v>
      </c>
      <c r="AA2126">
        <v>0</v>
      </c>
      <c r="AC2126">
        <v>0</v>
      </c>
      <c r="AE2126">
        <v>0</v>
      </c>
      <c r="AF2126">
        <v>0</v>
      </c>
      <c r="AG2126" s="2">
        <v>2303.96</v>
      </c>
      <c r="AH2126">
        <v>0</v>
      </c>
      <c r="AI2126" s="2">
        <v>4607.92</v>
      </c>
      <c r="AJ2126" s="2">
        <v>1347.74</v>
      </c>
      <c r="AK2126" s="2">
        <v>1347.74</v>
      </c>
      <c r="AL2126" t="str">
        <f>"$"</f>
        <v>$</v>
      </c>
    </row>
    <row r="2127" spans="1:38" x14ac:dyDescent="0.3">
      <c r="A2127" t="str">
        <f>"SO22000425"</f>
        <v>SO22000425</v>
      </c>
      <c r="B2127" t="str">
        <f>"E000375293"</f>
        <v>E000375293</v>
      </c>
      <c r="C2127" t="str">
        <f>"הרכבה חלקית"</f>
        <v>הרכבה חלקית</v>
      </c>
      <c r="E2127" s="3">
        <v>44892</v>
      </c>
      <c r="F2127" s="3">
        <v>45015</v>
      </c>
      <c r="G2127" t="str">
        <f>"700065"</f>
        <v>700065</v>
      </c>
      <c r="H2127" t="str">
        <f>"אלתא מערכות בע""מ"</f>
        <v>אלתא מערכות בע"מ</v>
      </c>
      <c r="I2127" t="str">
        <f>"רחמים זרוק"</f>
        <v>רחמים זרוק</v>
      </c>
      <c r="J2127" t="str">
        <f>"OP-AR03398"</f>
        <v>OP-AR03398</v>
      </c>
      <c r="K2127" s="1" t="str">
        <f>"1032F134-001    HARNESS WL134 - RECTIFIER INPUT AC VOLT"</f>
        <v>1032F134-001    HARNESS WL134 - RECTIFIER INPUT AC VOLT</v>
      </c>
      <c r="L2127">
        <v>3</v>
      </c>
      <c r="M2127" t="str">
        <f>"PR22000823"</f>
        <v>PR22000823</v>
      </c>
      <c r="N2127" t="str">
        <f>"E000375293"</f>
        <v>E000375293</v>
      </c>
      <c r="O2127">
        <v>605.91</v>
      </c>
      <c r="P2127" t="str">
        <f>"$"</f>
        <v>$</v>
      </c>
      <c r="Q2127" t="str">
        <f>"117"</f>
        <v>117</v>
      </c>
      <c r="R2127" t="str">
        <f>"רתמות"</f>
        <v>רתמות</v>
      </c>
      <c r="S2127" t="str">
        <f>"040"</f>
        <v>040</v>
      </c>
      <c r="T2127" t="str">
        <f>"עמר ליגל"</f>
        <v>עמר ליגל</v>
      </c>
      <c r="U2127">
        <v>0</v>
      </c>
      <c r="V2127">
        <v>0</v>
      </c>
      <c r="W2127">
        <v>605.91</v>
      </c>
      <c r="X2127" s="2">
        <v>1817.73</v>
      </c>
      <c r="Z2127" t="str">
        <f>"Y"</f>
        <v>Y</v>
      </c>
      <c r="AA2127">
        <v>0</v>
      </c>
      <c r="AC2127">
        <v>0</v>
      </c>
      <c r="AE2127">
        <v>0</v>
      </c>
      <c r="AF2127">
        <v>0</v>
      </c>
      <c r="AG2127" s="2">
        <v>2071.61</v>
      </c>
      <c r="AH2127">
        <v>0</v>
      </c>
      <c r="AI2127" s="2">
        <v>6214.82</v>
      </c>
      <c r="AJ2127" s="2">
        <v>1817.73</v>
      </c>
      <c r="AK2127" s="2">
        <v>1817.73</v>
      </c>
      <c r="AL2127" t="str">
        <f>"$"</f>
        <v>$</v>
      </c>
    </row>
    <row r="2128" spans="1:38" x14ac:dyDescent="0.3">
      <c r="A2128" t="str">
        <f>"SO22000425"</f>
        <v>SO22000425</v>
      </c>
      <c r="B2128" t="str">
        <f>"E000375293"</f>
        <v>E000375293</v>
      </c>
      <c r="C2128" t="str">
        <f>"הרכבה חלקית"</f>
        <v>הרכבה חלקית</v>
      </c>
      <c r="E2128" s="3">
        <v>44892</v>
      </c>
      <c r="F2128" s="3">
        <v>45015</v>
      </c>
      <c r="G2128" t="str">
        <f>"700065"</f>
        <v>700065</v>
      </c>
      <c r="H2128" t="str">
        <f>"אלתא מערכות בע""מ"</f>
        <v>אלתא מערכות בע"מ</v>
      </c>
      <c r="I2128" t="str">
        <f>"רחמים זרוק"</f>
        <v>רחמים זרוק</v>
      </c>
      <c r="J2128" t="str">
        <f>"OP-AR03399"</f>
        <v>OP-AR03399</v>
      </c>
      <c r="K2128" s="1" t="str">
        <f>"1035C193-001    HARNESS 1W093-GND RU"</f>
        <v>1035C193-001    HARNESS 1W093-GND RU</v>
      </c>
      <c r="L2128">
        <v>2</v>
      </c>
      <c r="M2128" t="str">
        <f>"PR22000823"</f>
        <v>PR22000823</v>
      </c>
      <c r="N2128" t="str">
        <f>"E000375293"</f>
        <v>E000375293</v>
      </c>
      <c r="O2128">
        <v>121.36</v>
      </c>
      <c r="P2128" t="str">
        <f>"$"</f>
        <v>$</v>
      </c>
      <c r="Q2128" t="str">
        <f>"117"</f>
        <v>117</v>
      </c>
      <c r="R2128" t="str">
        <f>"רתמות"</f>
        <v>רתמות</v>
      </c>
      <c r="S2128" t="str">
        <f>"040"</f>
        <v>040</v>
      </c>
      <c r="T2128" t="str">
        <f>"עמר ליגל"</f>
        <v>עמר ליגל</v>
      </c>
      <c r="U2128">
        <v>0</v>
      </c>
      <c r="V2128">
        <v>0</v>
      </c>
      <c r="W2128">
        <v>121.36</v>
      </c>
      <c r="X2128">
        <v>242.72</v>
      </c>
      <c r="Z2128" t="str">
        <f>"Y"</f>
        <v>Y</v>
      </c>
      <c r="AA2128">
        <v>0</v>
      </c>
      <c r="AC2128">
        <v>0</v>
      </c>
      <c r="AE2128">
        <v>0</v>
      </c>
      <c r="AF2128">
        <v>0</v>
      </c>
      <c r="AG2128">
        <v>414.93</v>
      </c>
      <c r="AH2128">
        <v>0</v>
      </c>
      <c r="AI2128">
        <v>829.86</v>
      </c>
      <c r="AJ2128">
        <v>242.72</v>
      </c>
      <c r="AK2128">
        <v>242.72</v>
      </c>
      <c r="AL2128" t="str">
        <f>"$"</f>
        <v>$</v>
      </c>
    </row>
    <row r="2129" spans="1:38" x14ac:dyDescent="0.3">
      <c r="A2129" t="str">
        <f>"SO22000425"</f>
        <v>SO22000425</v>
      </c>
      <c r="B2129" t="str">
        <f>"E000375293"</f>
        <v>E000375293</v>
      </c>
      <c r="C2129" t="str">
        <f>"הרכבה חלקית"</f>
        <v>הרכבה חלקית</v>
      </c>
      <c r="E2129" s="3">
        <v>44892</v>
      </c>
      <c r="F2129" s="3">
        <v>45015</v>
      </c>
      <c r="G2129" t="str">
        <f>"700065"</f>
        <v>700065</v>
      </c>
      <c r="H2129" t="str">
        <f>"אלתא מערכות בע""מ"</f>
        <v>אלתא מערכות בע"מ</v>
      </c>
      <c r="I2129" t="str">
        <f>"רחמים זרוק"</f>
        <v>רחמים זרוק</v>
      </c>
      <c r="J2129" t="str">
        <f>"OP-AR02927"</f>
        <v>OP-AR02927</v>
      </c>
      <c r="K2129" s="1" t="str">
        <f>"2018E040-001   INS JTAG CABLE"</f>
        <v>2018E040-001   INS JTAG CABLE</v>
      </c>
      <c r="L2129">
        <v>1</v>
      </c>
      <c r="M2129" t="str">
        <f>"PR22000823"</f>
        <v>PR22000823</v>
      </c>
      <c r="N2129" t="str">
        <f>"E000375293"</f>
        <v>E000375293</v>
      </c>
      <c r="O2129">
        <v>215.04</v>
      </c>
      <c r="P2129" t="str">
        <f>"$"</f>
        <v>$</v>
      </c>
      <c r="Q2129" t="str">
        <f>"117"</f>
        <v>117</v>
      </c>
      <c r="R2129" t="str">
        <f>"רתמות"</f>
        <v>רתמות</v>
      </c>
      <c r="S2129" t="str">
        <f>"040"</f>
        <v>040</v>
      </c>
      <c r="T2129" t="str">
        <f>"עמר ליגל"</f>
        <v>עמר ליגל</v>
      </c>
      <c r="U2129">
        <v>0</v>
      </c>
      <c r="V2129">
        <v>0</v>
      </c>
      <c r="W2129">
        <v>215.04</v>
      </c>
      <c r="X2129">
        <v>215.04</v>
      </c>
      <c r="Z2129" t="str">
        <f>"Y"</f>
        <v>Y</v>
      </c>
      <c r="AA2129">
        <v>0</v>
      </c>
      <c r="AC2129">
        <v>0</v>
      </c>
      <c r="AE2129">
        <v>0</v>
      </c>
      <c r="AF2129">
        <v>0</v>
      </c>
      <c r="AG2129">
        <v>735.22</v>
      </c>
      <c r="AH2129">
        <v>0</v>
      </c>
      <c r="AI2129">
        <v>735.22</v>
      </c>
      <c r="AJ2129">
        <v>215.04</v>
      </c>
      <c r="AK2129">
        <v>215.04</v>
      </c>
      <c r="AL2129" t="str">
        <f>"$"</f>
        <v>$</v>
      </c>
    </row>
    <row r="2130" spans="1:38" x14ac:dyDescent="0.3">
      <c r="A2130" t="str">
        <f>"SO22000426"</f>
        <v>SO22000426</v>
      </c>
      <c r="B2130" t="str">
        <f>"E000378275"</f>
        <v>E000378275</v>
      </c>
      <c r="C2130" t="str">
        <f>"בוצעה"</f>
        <v>בוצעה</v>
      </c>
      <c r="E2130" s="3">
        <v>44892</v>
      </c>
      <c r="F2130" s="3">
        <v>44956</v>
      </c>
      <c r="G2130" t="str">
        <f>"700065"</f>
        <v>700065</v>
      </c>
      <c r="H2130" t="str">
        <f>"אלתא מערכות בע""מ"</f>
        <v>אלתא מערכות בע"מ</v>
      </c>
      <c r="I2130" t="str">
        <f>"רחמים זרוק"</f>
        <v>רחמים זרוק</v>
      </c>
      <c r="J2130" t="str">
        <f>"OP-AR03390"</f>
        <v>OP-AR03390</v>
      </c>
      <c r="K2130" s="1" t="str">
        <f>"6930C813-001    WX813 Rack1,Rack2 to Arsys,CU,Con box"</f>
        <v>6930C813-001    WX813 Rack1,Rack2 to Arsys,CU,Con box</v>
      </c>
      <c r="L2130">
        <v>1</v>
      </c>
      <c r="M2130" t="str">
        <f>"PR22000813"</f>
        <v>PR22000813</v>
      </c>
      <c r="N2130" t="str">
        <f>"E000378275"</f>
        <v>E000378275</v>
      </c>
      <c r="O2130" s="2">
        <v>2457.73</v>
      </c>
      <c r="P2130" t="str">
        <f>"$"</f>
        <v>$</v>
      </c>
      <c r="Q2130" t="str">
        <f>"117"</f>
        <v>117</v>
      </c>
      <c r="R2130" t="str">
        <f>"רתמות"</f>
        <v>רתמות</v>
      </c>
      <c r="S2130" t="str">
        <f>"040"</f>
        <v>040</v>
      </c>
      <c r="T2130" t="str">
        <f>"עמר ליגל"</f>
        <v>עמר ליגל</v>
      </c>
      <c r="U2130">
        <v>0</v>
      </c>
      <c r="V2130">
        <v>0</v>
      </c>
      <c r="W2130" s="2">
        <v>2457.73</v>
      </c>
      <c r="X2130" s="2">
        <v>2457.73</v>
      </c>
      <c r="Z2130" t="str">
        <f>"Y"</f>
        <v>Y</v>
      </c>
      <c r="AA2130">
        <v>0</v>
      </c>
      <c r="AC2130">
        <v>0</v>
      </c>
      <c r="AE2130">
        <v>0</v>
      </c>
      <c r="AF2130">
        <v>0</v>
      </c>
      <c r="AG2130" s="2">
        <v>8402.98</v>
      </c>
      <c r="AH2130">
        <v>0</v>
      </c>
      <c r="AI2130" s="2">
        <v>8402.98</v>
      </c>
      <c r="AJ2130" s="2">
        <v>2457.73</v>
      </c>
      <c r="AK2130" s="2">
        <v>2457.73</v>
      </c>
      <c r="AL2130" t="str">
        <f>"$"</f>
        <v>$</v>
      </c>
    </row>
    <row r="2131" spans="1:38" x14ac:dyDescent="0.3">
      <c r="A2131" t="str">
        <f>"SO22000426"</f>
        <v>SO22000426</v>
      </c>
      <c r="B2131" t="str">
        <f>"E000378275"</f>
        <v>E000378275</v>
      </c>
      <c r="C2131" t="str">
        <f>"בוצעה"</f>
        <v>בוצעה</v>
      </c>
      <c r="E2131" s="3">
        <v>44892</v>
      </c>
      <c r="F2131" s="3">
        <v>44956</v>
      </c>
      <c r="G2131" t="str">
        <f>"700065"</f>
        <v>700065</v>
      </c>
      <c r="H2131" t="str">
        <f>"אלתא מערכות בע""מ"</f>
        <v>אלתא מערכות בע"מ</v>
      </c>
      <c r="I2131" t="str">
        <f>"רחמים זרוק"</f>
        <v>רחמים זרוק</v>
      </c>
      <c r="J2131" t="str">
        <f>"OP-AR03391"</f>
        <v>OP-AR03391</v>
      </c>
      <c r="K2131" s="1" t="str">
        <f>"6930C814-001    HARNESS WX814 - POWER RACK 1 TO LAPTOP"</f>
        <v>6930C814-001    HARNESS WX814 - POWER RACK 1 TO LAPTOP</v>
      </c>
      <c r="L2131">
        <v>1</v>
      </c>
      <c r="M2131" t="str">
        <f>"PR22000813"</f>
        <v>PR22000813</v>
      </c>
      <c r="N2131" t="str">
        <f>"E000378275"</f>
        <v>E000378275</v>
      </c>
      <c r="O2131">
        <v>475.33</v>
      </c>
      <c r="P2131" t="str">
        <f>"$"</f>
        <v>$</v>
      </c>
      <c r="Q2131" t="str">
        <f>"117"</f>
        <v>117</v>
      </c>
      <c r="R2131" t="str">
        <f>"רתמות"</f>
        <v>רתמות</v>
      </c>
      <c r="S2131" t="str">
        <f>"040"</f>
        <v>040</v>
      </c>
      <c r="T2131" t="str">
        <f>"עמר ליגל"</f>
        <v>עמר ליגל</v>
      </c>
      <c r="U2131">
        <v>0</v>
      </c>
      <c r="V2131">
        <v>0</v>
      </c>
      <c r="W2131">
        <v>475.33</v>
      </c>
      <c r="X2131">
        <v>475.33</v>
      </c>
      <c r="Z2131" t="str">
        <f>"Y"</f>
        <v>Y</v>
      </c>
      <c r="AA2131">
        <v>0</v>
      </c>
      <c r="AC2131">
        <v>0</v>
      </c>
      <c r="AE2131">
        <v>0</v>
      </c>
      <c r="AF2131">
        <v>0</v>
      </c>
      <c r="AG2131" s="2">
        <v>1625.15</v>
      </c>
      <c r="AH2131">
        <v>0</v>
      </c>
      <c r="AI2131" s="2">
        <v>1625.15</v>
      </c>
      <c r="AJ2131">
        <v>475.33</v>
      </c>
      <c r="AK2131">
        <v>475.33</v>
      </c>
      <c r="AL2131" t="str">
        <f>"$"</f>
        <v>$</v>
      </c>
    </row>
    <row r="2132" spans="1:38" x14ac:dyDescent="0.3">
      <c r="A2132" t="str">
        <f>"SO22000427"</f>
        <v>SO22000427</v>
      </c>
      <c r="B2132" t="str">
        <f>"E000378382"</f>
        <v>E000378382</v>
      </c>
      <c r="C2132" t="str">
        <f>"בסיום הרכבה"</f>
        <v>בסיום הרכבה</v>
      </c>
      <c r="E2132" s="3">
        <v>44892</v>
      </c>
      <c r="F2132" s="3">
        <v>44984</v>
      </c>
      <c r="G2132" t="str">
        <f>"700065"</f>
        <v>700065</v>
      </c>
      <c r="H2132" t="str">
        <f>"אלתא מערכות בע""מ"</f>
        <v>אלתא מערכות בע"מ</v>
      </c>
      <c r="I2132" t="str">
        <f>"רחמים זרוק"</f>
        <v>רחמים זרוק</v>
      </c>
      <c r="J2132" t="str">
        <f>"OP-AR03387"</f>
        <v>OP-AR03387</v>
      </c>
      <c r="K2132" s="1" t="str">
        <f>"1023B353-001    CABLE ASSY 3W40 SENSOR BOX CONTROL"</f>
        <v>1023B353-001    CABLE ASSY 3W40 SENSOR BOX CONTROL</v>
      </c>
      <c r="L2132">
        <v>1</v>
      </c>
      <c r="M2132" t="str">
        <f>"PR22000812"</f>
        <v>PR22000812</v>
      </c>
      <c r="N2132" t="str">
        <f>"E000378382"</f>
        <v>E000378382</v>
      </c>
      <c r="O2132">
        <v>873.22</v>
      </c>
      <c r="P2132" t="str">
        <f>"$"</f>
        <v>$</v>
      </c>
      <c r="Q2132" t="str">
        <f>"117"</f>
        <v>117</v>
      </c>
      <c r="R2132" t="str">
        <f>"רתמות"</f>
        <v>רתמות</v>
      </c>
      <c r="S2132" t="str">
        <f>"040"</f>
        <v>040</v>
      </c>
      <c r="T2132" t="str">
        <f>"עמר ליגל"</f>
        <v>עמר ליגל</v>
      </c>
      <c r="U2132">
        <v>0</v>
      </c>
      <c r="V2132">
        <v>0</v>
      </c>
      <c r="W2132">
        <v>873.22</v>
      </c>
      <c r="X2132">
        <v>873.22</v>
      </c>
      <c r="Z2132" t="str">
        <f>"Y"</f>
        <v>Y</v>
      </c>
      <c r="AA2132">
        <v>0</v>
      </c>
      <c r="AC2132">
        <v>0</v>
      </c>
      <c r="AE2132">
        <v>0</v>
      </c>
      <c r="AF2132">
        <v>0</v>
      </c>
      <c r="AG2132" s="2">
        <v>2985.54</v>
      </c>
      <c r="AH2132">
        <v>0</v>
      </c>
      <c r="AI2132" s="2">
        <v>2985.54</v>
      </c>
      <c r="AJ2132">
        <v>873.22</v>
      </c>
      <c r="AK2132">
        <v>873.22</v>
      </c>
      <c r="AL2132" t="str">
        <f>"$"</f>
        <v>$</v>
      </c>
    </row>
    <row r="2133" spans="1:38" x14ac:dyDescent="0.3">
      <c r="A2133" t="str">
        <f>"SO22000427"</f>
        <v>SO22000427</v>
      </c>
      <c r="B2133" t="str">
        <f>"E000378382"</f>
        <v>E000378382</v>
      </c>
      <c r="C2133" t="str">
        <f>"בסיום הרכבה"</f>
        <v>בסיום הרכבה</v>
      </c>
      <c r="E2133" s="3">
        <v>44892</v>
      </c>
      <c r="F2133" s="3">
        <v>44984</v>
      </c>
      <c r="G2133" t="str">
        <f>"700065"</f>
        <v>700065</v>
      </c>
      <c r="H2133" t="str">
        <f>"אלתא מערכות בע""מ"</f>
        <v>אלתא מערכות בע"מ</v>
      </c>
      <c r="I2133" t="str">
        <f>"רחמים זרוק"</f>
        <v>רחמים זרוק</v>
      </c>
      <c r="J2133" t="str">
        <f>"OP-AR03388"</f>
        <v>OP-AR03388</v>
      </c>
      <c r="K2133" s="1" t="str">
        <f>"1031Y384-001    W0381 - P.S. 67 HIGH VOLTAGE TO TRU 131"</f>
        <v>1031Y384-001    W0381 - P.S. 67 HIGH VOLTAGE TO TRU 131</v>
      </c>
      <c r="L2133">
        <v>1</v>
      </c>
      <c r="M2133" t="str">
        <f>"PR22000812"</f>
        <v>PR22000812</v>
      </c>
      <c r="N2133" t="str">
        <f>"E000378382"</f>
        <v>E000378382</v>
      </c>
      <c r="O2133">
        <v>434.82</v>
      </c>
      <c r="P2133" t="str">
        <f>"$"</f>
        <v>$</v>
      </c>
      <c r="Q2133" t="str">
        <f>"117"</f>
        <v>117</v>
      </c>
      <c r="R2133" t="str">
        <f>"רתמות"</f>
        <v>רתמות</v>
      </c>
      <c r="S2133" t="str">
        <f>"040"</f>
        <v>040</v>
      </c>
      <c r="T2133" t="str">
        <f>"עמר ליגל"</f>
        <v>עמר ליגל</v>
      </c>
      <c r="U2133">
        <v>0</v>
      </c>
      <c r="V2133">
        <v>0</v>
      </c>
      <c r="W2133">
        <v>434.82</v>
      </c>
      <c r="X2133">
        <v>434.82</v>
      </c>
      <c r="Z2133" t="str">
        <f>"Y"</f>
        <v>Y</v>
      </c>
      <c r="AA2133">
        <v>0</v>
      </c>
      <c r="AC2133">
        <v>0</v>
      </c>
      <c r="AE2133">
        <v>0</v>
      </c>
      <c r="AF2133">
        <v>0</v>
      </c>
      <c r="AG2133" s="2">
        <v>1486.65</v>
      </c>
      <c r="AH2133">
        <v>0</v>
      </c>
      <c r="AI2133" s="2">
        <v>1486.65</v>
      </c>
      <c r="AJ2133">
        <v>434.82</v>
      </c>
      <c r="AK2133">
        <v>434.82</v>
      </c>
      <c r="AL2133" t="str">
        <f>"$"</f>
        <v>$</v>
      </c>
    </row>
    <row r="2134" spans="1:38" x14ac:dyDescent="0.3">
      <c r="A2134" t="str">
        <f>"SO22000436"</f>
        <v>SO22000436</v>
      </c>
      <c r="B2134" t="str">
        <f>"E000378114"</f>
        <v>E000378114</v>
      </c>
      <c r="C2134" t="str">
        <f>"בוצעה"</f>
        <v>בוצעה</v>
      </c>
      <c r="E2134" s="3">
        <v>44894</v>
      </c>
      <c r="F2134" s="3">
        <v>44895</v>
      </c>
      <c r="G2134" t="str">
        <f>"700065"</f>
        <v>700065</v>
      </c>
      <c r="H2134" t="str">
        <f>"אלתא מערכות בע""מ"</f>
        <v>אלתא מערכות בע"מ</v>
      </c>
      <c r="I2134" t="str">
        <f>"רוני דידי"</f>
        <v>רוני דידי</v>
      </c>
      <c r="J2134" t="str">
        <f>"000"</f>
        <v>000</v>
      </c>
      <c r="K2134" s="1" t="str">
        <f>"תשלום עבור רכישת בולמים למסדים"</f>
        <v>תשלום עבור רכישת בולמים למסדים</v>
      </c>
      <c r="L2134">
        <v>1</v>
      </c>
      <c r="O2134" s="2">
        <v>7000</v>
      </c>
      <c r="P2134" t="str">
        <f>"$"</f>
        <v>$</v>
      </c>
      <c r="Q2134" t="str">
        <f>"118"</f>
        <v>118</v>
      </c>
      <c r="R2134" t="str">
        <f>"מערכות"</f>
        <v>מערכות</v>
      </c>
      <c r="S2134" t="str">
        <f>"007"</f>
        <v>007</v>
      </c>
      <c r="T2134" t="str">
        <f>"עמר ליגל"</f>
        <v>עמר ליגל</v>
      </c>
      <c r="U2134">
        <v>0</v>
      </c>
      <c r="V2134">
        <v>0</v>
      </c>
      <c r="W2134" s="2">
        <v>7000</v>
      </c>
      <c r="X2134" s="2">
        <v>7000</v>
      </c>
      <c r="Z2134" t="str">
        <f>"Y"</f>
        <v>Y</v>
      </c>
      <c r="AA2134">
        <v>1</v>
      </c>
      <c r="AC2134">
        <v>0</v>
      </c>
      <c r="AE2134">
        <v>0</v>
      </c>
      <c r="AF2134">
        <v>0</v>
      </c>
      <c r="AG2134" s="2">
        <v>24017</v>
      </c>
      <c r="AH2134">
        <v>0</v>
      </c>
      <c r="AI2134" s="2">
        <v>24017</v>
      </c>
      <c r="AJ2134" s="2">
        <v>7000</v>
      </c>
      <c r="AK2134" s="2">
        <v>7000</v>
      </c>
      <c r="AL2134" t="str">
        <f>"$"</f>
        <v>$</v>
      </c>
    </row>
    <row r="2135" spans="1:38" x14ac:dyDescent="0.3">
      <c r="A2135" t="str">
        <f>"SO22000441"</f>
        <v>SO22000441</v>
      </c>
      <c r="B2135" t="str">
        <f>"E000377788"</f>
        <v>E000377788</v>
      </c>
      <c r="C2135" t="str">
        <f>"הרכבה חלקית"</f>
        <v>הרכבה חלקית</v>
      </c>
      <c r="E2135" s="3">
        <v>44900</v>
      </c>
      <c r="F2135" s="3">
        <v>44925</v>
      </c>
      <c r="G2135" t="str">
        <f>"700065"</f>
        <v>700065</v>
      </c>
      <c r="H2135" t="str">
        <f>"אלתא מערכות בע""מ"</f>
        <v>אלתא מערכות בע"מ</v>
      </c>
      <c r="I2135" t="str">
        <f>"ערן שלו"</f>
        <v>ערן שלו</v>
      </c>
      <c r="J2135" t="str">
        <f>"000"</f>
        <v>000</v>
      </c>
      <c r="K2135" s="1" t="str">
        <f>"תוספת ליצור יחידות PDB1 בודדו"</f>
        <v>תוספת ליצור יחידות PDB1 בודדו</v>
      </c>
      <c r="L2135">
        <v>1</v>
      </c>
      <c r="M2135" t="str">
        <f>"PR22000694"</f>
        <v>PR22000694</v>
      </c>
      <c r="N2135" t="str">
        <f>"תיקון תקלות בצכיה נובמבר 22"</f>
        <v>תיקון תקלות בצכיה נובמבר 22</v>
      </c>
      <c r="O2135" s="2">
        <v>4000</v>
      </c>
      <c r="P2135" t="str">
        <f>"$"</f>
        <v>$</v>
      </c>
      <c r="Q2135" t="str">
        <f>"118"</f>
        <v>118</v>
      </c>
      <c r="R2135" t="str">
        <f>"מערכות"</f>
        <v>מערכות</v>
      </c>
      <c r="S2135" t="str">
        <f>"034"</f>
        <v>034</v>
      </c>
      <c r="T2135" t="str">
        <f>"עמר ליגל"</f>
        <v>עמר ליגל</v>
      </c>
      <c r="U2135">
        <v>0</v>
      </c>
      <c r="V2135">
        <v>0</v>
      </c>
      <c r="W2135" s="2">
        <v>4000</v>
      </c>
      <c r="X2135" s="2">
        <v>4000</v>
      </c>
      <c r="Z2135" t="str">
        <f>"Y"</f>
        <v>Y</v>
      </c>
      <c r="AA2135">
        <v>1</v>
      </c>
      <c r="AC2135">
        <v>0</v>
      </c>
      <c r="AE2135">
        <v>0</v>
      </c>
      <c r="AF2135">
        <v>0</v>
      </c>
      <c r="AG2135" s="2">
        <v>13544</v>
      </c>
      <c r="AH2135">
        <v>0</v>
      </c>
      <c r="AI2135" s="2">
        <v>13544</v>
      </c>
      <c r="AJ2135" s="2">
        <v>4000</v>
      </c>
      <c r="AK2135" s="2">
        <v>4000</v>
      </c>
      <c r="AL2135" t="str">
        <f>"$"</f>
        <v>$</v>
      </c>
    </row>
    <row r="2136" spans="1:38" x14ac:dyDescent="0.3">
      <c r="A2136" t="str">
        <f>"SO22000441"</f>
        <v>SO22000441</v>
      </c>
      <c r="B2136" t="str">
        <f>"E000377788"</f>
        <v>E000377788</v>
      </c>
      <c r="C2136" t="str">
        <f>"הרכבה חלקית"</f>
        <v>הרכבה חלקית</v>
      </c>
      <c r="E2136" s="3">
        <v>44900</v>
      </c>
      <c r="F2136" s="3">
        <v>44925</v>
      </c>
      <c r="G2136" t="str">
        <f>"700065"</f>
        <v>700065</v>
      </c>
      <c r="H2136" t="str">
        <f>"אלתא מערכות בע""מ"</f>
        <v>אלתא מערכות בע"מ</v>
      </c>
      <c r="I2136" t="str">
        <f>"ערן שלו"</f>
        <v>ערן שלו</v>
      </c>
      <c r="J2136" t="str">
        <f>"OP-AR02847"</f>
        <v>OP-AR02847</v>
      </c>
      <c r="K2136" s="1" t="str">
        <f>"RPU ETH 60M CABLE"</f>
        <v>RPU ETH 60M CABLE</v>
      </c>
      <c r="L2136">
        <v>1</v>
      </c>
      <c r="M2136" t="str">
        <f>"PR22000694"</f>
        <v>PR22000694</v>
      </c>
      <c r="N2136" t="str">
        <f>"תיקון תקלות בצכיה נובמבר 22"</f>
        <v>תיקון תקלות בצכיה נובמבר 22</v>
      </c>
      <c r="O2136">
        <v>485</v>
      </c>
      <c r="P2136" t="str">
        <f>"$"</f>
        <v>$</v>
      </c>
      <c r="Q2136" t="str">
        <f>"118"</f>
        <v>118</v>
      </c>
      <c r="R2136" t="str">
        <f>"מערכות"</f>
        <v>מערכות</v>
      </c>
      <c r="S2136" t="str">
        <f>"034"</f>
        <v>034</v>
      </c>
      <c r="T2136" t="str">
        <f>"עמר ליגל"</f>
        <v>עמר ליגל</v>
      </c>
      <c r="U2136">
        <v>0</v>
      </c>
      <c r="V2136">
        <v>0</v>
      </c>
      <c r="W2136">
        <v>485</v>
      </c>
      <c r="X2136">
        <v>485</v>
      </c>
      <c r="Z2136" t="str">
        <f>"Y"</f>
        <v>Y</v>
      </c>
      <c r="AA2136">
        <v>0</v>
      </c>
      <c r="AC2136">
        <v>0</v>
      </c>
      <c r="AE2136">
        <v>0</v>
      </c>
      <c r="AF2136">
        <v>0</v>
      </c>
      <c r="AG2136" s="2">
        <v>1642.21</v>
      </c>
      <c r="AH2136">
        <v>0</v>
      </c>
      <c r="AI2136" s="2">
        <v>1642.21</v>
      </c>
      <c r="AJ2136">
        <v>485</v>
      </c>
      <c r="AK2136">
        <v>485</v>
      </c>
      <c r="AL2136" t="str">
        <f>"$"</f>
        <v>$</v>
      </c>
    </row>
    <row r="2137" spans="1:38" x14ac:dyDescent="0.3">
      <c r="A2137" t="str">
        <f>"SO22000441"</f>
        <v>SO22000441</v>
      </c>
      <c r="B2137" t="str">
        <f>"E000377788"</f>
        <v>E000377788</v>
      </c>
      <c r="C2137" t="str">
        <f>"הרכבה חלקית"</f>
        <v>הרכבה חלקית</v>
      </c>
      <c r="E2137" s="3">
        <v>44900</v>
      </c>
      <c r="F2137" s="3">
        <v>44925</v>
      </c>
      <c r="G2137" t="str">
        <f>"700065"</f>
        <v>700065</v>
      </c>
      <c r="H2137" t="str">
        <f>"אלתא מערכות בע""מ"</f>
        <v>אלתא מערכות בע"מ</v>
      </c>
      <c r="I2137" t="str">
        <f>"ערן שלו"</f>
        <v>ערן שלו</v>
      </c>
      <c r="J2137" t="str">
        <f>"999"</f>
        <v>999</v>
      </c>
      <c r="K2137" s="1" t="str">
        <f>"קיט שדרוג RPU רצועות + חבק לתורן"</f>
        <v>קיט שדרוג RPU רצועות + חבק לתורן</v>
      </c>
      <c r="L2137">
        <v>1</v>
      </c>
      <c r="M2137" t="str">
        <f>"PR22000694"</f>
        <v>PR22000694</v>
      </c>
      <c r="N2137" t="str">
        <f>"תיקון תקלות בצכיה נובמבר 22"</f>
        <v>תיקון תקלות בצכיה נובמבר 22</v>
      </c>
      <c r="O2137" s="2">
        <v>5432</v>
      </c>
      <c r="P2137" t="str">
        <f>"$"</f>
        <v>$</v>
      </c>
      <c r="Q2137" t="str">
        <f>"118"</f>
        <v>118</v>
      </c>
      <c r="R2137" t="str">
        <f>"מערכות"</f>
        <v>מערכות</v>
      </c>
      <c r="S2137" t="str">
        <f>"034"</f>
        <v>034</v>
      </c>
      <c r="T2137" t="str">
        <f>"עמר ליגל"</f>
        <v>עמר ליגל</v>
      </c>
      <c r="U2137">
        <v>0</v>
      </c>
      <c r="V2137">
        <v>0</v>
      </c>
      <c r="W2137" s="2">
        <v>5432</v>
      </c>
      <c r="X2137" s="2">
        <v>5432</v>
      </c>
      <c r="AA2137">
        <v>0.25</v>
      </c>
      <c r="AC2137">
        <v>0</v>
      </c>
      <c r="AE2137">
        <v>0</v>
      </c>
      <c r="AF2137">
        <v>0</v>
      </c>
      <c r="AG2137" s="2">
        <v>18392.75</v>
      </c>
      <c r="AH2137">
        <v>0</v>
      </c>
      <c r="AI2137" s="2">
        <v>18392.75</v>
      </c>
      <c r="AJ2137" s="2">
        <v>5432</v>
      </c>
      <c r="AK2137" s="2">
        <v>5432</v>
      </c>
      <c r="AL2137" t="str">
        <f>"$"</f>
        <v>$</v>
      </c>
    </row>
    <row r="2138" spans="1:38" x14ac:dyDescent="0.3">
      <c r="A2138" t="str">
        <f>"SO22000441"</f>
        <v>SO22000441</v>
      </c>
      <c r="B2138" t="str">
        <f>"E000377788"</f>
        <v>E000377788</v>
      </c>
      <c r="C2138" t="str">
        <f>"הרכבה חלקית"</f>
        <v>הרכבה חלקית</v>
      </c>
      <c r="E2138" s="3">
        <v>44900</v>
      </c>
      <c r="F2138" s="3">
        <v>44925</v>
      </c>
      <c r="G2138" t="str">
        <f>"700065"</f>
        <v>700065</v>
      </c>
      <c r="H2138" t="str">
        <f>"אלתא מערכות בע""מ"</f>
        <v>אלתא מערכות בע"מ</v>
      </c>
      <c r="I2138" t="str">
        <f>"ערן שלו"</f>
        <v>ערן שלו</v>
      </c>
      <c r="J2138" t="str">
        <f>"000"</f>
        <v>000</v>
      </c>
      <c r="K2138" s="1" t="str">
        <f>"ביצוע אנליזה תרמית ליחידת PDB1 1033H520"</f>
        <v>ביצוע אנליזה תרמית ליחידת PDB1 1033H520</v>
      </c>
      <c r="L2138">
        <v>1</v>
      </c>
      <c r="M2138" t="str">
        <f>"PR22000694"</f>
        <v>PR22000694</v>
      </c>
      <c r="N2138" t="str">
        <f>"תיקון תקלות בצכיה נובמבר 22"</f>
        <v>תיקון תקלות בצכיה נובמבר 22</v>
      </c>
      <c r="O2138" s="2">
        <v>7777.77</v>
      </c>
      <c r="P2138" t="str">
        <f>"$"</f>
        <v>$</v>
      </c>
      <c r="Q2138" t="str">
        <f>"118"</f>
        <v>118</v>
      </c>
      <c r="R2138" t="str">
        <f>"מערכות"</f>
        <v>מערכות</v>
      </c>
      <c r="S2138" t="str">
        <f>"034"</f>
        <v>034</v>
      </c>
      <c r="T2138" t="str">
        <f>"עמר ליגל"</f>
        <v>עמר ליגל</v>
      </c>
      <c r="U2138">
        <v>0</v>
      </c>
      <c r="V2138">
        <v>0</v>
      </c>
      <c r="W2138" s="2">
        <v>7777.77</v>
      </c>
      <c r="X2138" s="2">
        <v>7777.77</v>
      </c>
      <c r="Z2138" t="str">
        <f>"Y"</f>
        <v>Y</v>
      </c>
      <c r="AA2138">
        <v>1</v>
      </c>
      <c r="AC2138">
        <v>0</v>
      </c>
      <c r="AE2138">
        <v>0</v>
      </c>
      <c r="AF2138">
        <v>0</v>
      </c>
      <c r="AG2138" s="2">
        <v>26335.53</v>
      </c>
      <c r="AH2138">
        <v>0</v>
      </c>
      <c r="AI2138" s="2">
        <v>26335.53</v>
      </c>
      <c r="AJ2138" s="2">
        <v>7777.77</v>
      </c>
      <c r="AK2138" s="2">
        <v>7777.77</v>
      </c>
      <c r="AL2138" t="str">
        <f>"$"</f>
        <v>$</v>
      </c>
    </row>
    <row r="2139" spans="1:38" x14ac:dyDescent="0.3">
      <c r="A2139" t="str">
        <f>"SO22000441"</f>
        <v>SO22000441</v>
      </c>
      <c r="B2139" t="str">
        <f>"E000377788"</f>
        <v>E000377788</v>
      </c>
      <c r="C2139" t="str">
        <f>"הרכבה חלקית"</f>
        <v>הרכבה חלקית</v>
      </c>
      <c r="E2139" s="3">
        <v>44900</v>
      </c>
      <c r="F2139" s="3">
        <v>45122</v>
      </c>
      <c r="G2139" t="str">
        <f>"700065"</f>
        <v>700065</v>
      </c>
      <c r="H2139" t="str">
        <f>"אלתא מערכות בע""מ"</f>
        <v>אלתא מערכות בע"מ</v>
      </c>
      <c r="I2139" t="str">
        <f>"ערן שלו"</f>
        <v>ערן שלו</v>
      </c>
      <c r="J2139" t="str">
        <f>"OP-AR02918"</f>
        <v>OP-AR02918</v>
      </c>
      <c r="K2139" s="1" t="str">
        <f>"HU PDB1 1033H520-001"</f>
        <v>HU PDB1 1033H520-001</v>
      </c>
      <c r="L2139">
        <v>1</v>
      </c>
      <c r="M2139" t="str">
        <f>"PR22000156"</f>
        <v>PR22000156</v>
      </c>
      <c r="N2139" t="str">
        <f>"1033H520-001 PDB1 VICD"</f>
        <v>1033H520-001 PDB1 VICD</v>
      </c>
      <c r="O2139" s="2">
        <v>47360</v>
      </c>
      <c r="P2139" t="str">
        <f>"$"</f>
        <v>$</v>
      </c>
      <c r="Q2139" t="str">
        <f>"118"</f>
        <v>118</v>
      </c>
      <c r="R2139" t="str">
        <f>"מערכות"</f>
        <v>מערכות</v>
      </c>
      <c r="S2139" t="str">
        <f>"034"</f>
        <v>034</v>
      </c>
      <c r="T2139" t="str">
        <f>"עמר ליגל"</f>
        <v>עמר ליגל</v>
      </c>
      <c r="U2139">
        <v>0</v>
      </c>
      <c r="V2139">
        <v>0</v>
      </c>
      <c r="W2139" s="2">
        <v>47360</v>
      </c>
      <c r="X2139" s="2">
        <v>47360</v>
      </c>
      <c r="Z2139" t="str">
        <f>"Y"</f>
        <v>Y</v>
      </c>
      <c r="AA2139">
        <v>0</v>
      </c>
      <c r="AC2139">
        <v>0</v>
      </c>
      <c r="AE2139">
        <v>0</v>
      </c>
      <c r="AF2139">
        <v>0</v>
      </c>
      <c r="AG2139" s="2">
        <v>160360.95999999999</v>
      </c>
      <c r="AH2139">
        <v>0</v>
      </c>
      <c r="AI2139" s="2">
        <v>160360.95999999999</v>
      </c>
      <c r="AJ2139" s="2">
        <v>47360</v>
      </c>
      <c r="AK2139" s="2">
        <v>47360</v>
      </c>
      <c r="AL2139" t="str">
        <f>"$"</f>
        <v>$</v>
      </c>
    </row>
    <row r="2140" spans="1:38" x14ac:dyDescent="0.3">
      <c r="A2140" t="str">
        <f>"SO22000441"</f>
        <v>SO22000441</v>
      </c>
      <c r="B2140" t="str">
        <f>"E000377788"</f>
        <v>E000377788</v>
      </c>
      <c r="C2140" t="str">
        <f>"הרכבה חלקית"</f>
        <v>הרכבה חלקית</v>
      </c>
      <c r="E2140" s="3">
        <v>44900</v>
      </c>
      <c r="F2140" s="3">
        <v>44925</v>
      </c>
      <c r="G2140" t="str">
        <f>"700065"</f>
        <v>700065</v>
      </c>
      <c r="H2140" t="str">
        <f>"אלתא מערכות בע""מ"</f>
        <v>אלתא מערכות בע"מ</v>
      </c>
      <c r="I2140" t="str">
        <f>"ערן שלו"</f>
        <v>ערן שלו</v>
      </c>
      <c r="J2140" t="str">
        <f>"ZV9900138"</f>
        <v>ZV9900138</v>
      </c>
      <c r="K2140" s="1" t="str">
        <f>"יתד הארקה RPU"</f>
        <v>יתד הארקה RPU</v>
      </c>
      <c r="L2140">
        <v>1</v>
      </c>
      <c r="M2140" t="str">
        <f>"PR22000694"</f>
        <v>PR22000694</v>
      </c>
      <c r="N2140" t="str">
        <f>"תיקון תקלות בצכיה נובמבר 22"</f>
        <v>תיקון תקלות בצכיה נובמבר 22</v>
      </c>
      <c r="O2140">
        <v>0</v>
      </c>
      <c r="P2140" t="str">
        <f>"$"</f>
        <v>$</v>
      </c>
      <c r="Q2140" t="str">
        <f>"118"</f>
        <v>118</v>
      </c>
      <c r="R2140" t="str">
        <f>"מערכות"</f>
        <v>מערכות</v>
      </c>
      <c r="S2140" t="str">
        <f>"034"</f>
        <v>034</v>
      </c>
      <c r="T2140" t="str">
        <f>"עמר ליגל"</f>
        <v>עמר ליגל</v>
      </c>
      <c r="U2140">
        <v>0</v>
      </c>
      <c r="V2140">
        <v>0</v>
      </c>
      <c r="W2140">
        <v>0</v>
      </c>
      <c r="X2140">
        <v>0</v>
      </c>
      <c r="AA2140">
        <v>1</v>
      </c>
      <c r="AC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 t="str">
        <f>"$"</f>
        <v>$</v>
      </c>
    </row>
    <row r="2141" spans="1:38" x14ac:dyDescent="0.3">
      <c r="A2141" t="str">
        <f>"SO22000441"</f>
        <v>SO22000441</v>
      </c>
      <c r="B2141" t="str">
        <f>"E000377788"</f>
        <v>E000377788</v>
      </c>
      <c r="C2141" t="str">
        <f>"הרכבה חלקית"</f>
        <v>הרכבה חלקית</v>
      </c>
      <c r="E2141" s="3">
        <v>44900</v>
      </c>
      <c r="F2141" s="3">
        <v>44976</v>
      </c>
      <c r="G2141" t="str">
        <f>"700065"</f>
        <v>700065</v>
      </c>
      <c r="H2141" t="str">
        <f>"אלתא מערכות בע""מ"</f>
        <v>אלתא מערכות בע"מ</v>
      </c>
      <c r="I2141" t="str">
        <f>"ערן שלו"</f>
        <v>ערן שלו</v>
      </c>
      <c r="J2141" t="str">
        <f>"999"</f>
        <v>999</v>
      </c>
      <c r="K2141" s="1" t="str">
        <f>"יתד הארקה RPU"</f>
        <v>יתד הארקה RPU</v>
      </c>
      <c r="L2141">
        <v>1</v>
      </c>
      <c r="M2141" t="str">
        <f>"PR22000694"</f>
        <v>PR22000694</v>
      </c>
      <c r="N2141" t="str">
        <f>"תיקון תקלות בצכיה נובמבר 22"</f>
        <v>תיקון תקלות בצכיה נובמבר 22</v>
      </c>
      <c r="O2141" s="2">
        <v>13968</v>
      </c>
      <c r="P2141" t="str">
        <f>"$"</f>
        <v>$</v>
      </c>
      <c r="Q2141" t="str">
        <f>"118"</f>
        <v>118</v>
      </c>
      <c r="R2141" t="str">
        <f>"מערכות"</f>
        <v>מערכות</v>
      </c>
      <c r="S2141" t="str">
        <f>"034"</f>
        <v>034</v>
      </c>
      <c r="T2141" t="str">
        <f>"עמר ליגל"</f>
        <v>עמר ליגל</v>
      </c>
      <c r="U2141">
        <v>0</v>
      </c>
      <c r="V2141">
        <v>0</v>
      </c>
      <c r="W2141" s="2">
        <v>13968</v>
      </c>
      <c r="X2141" s="2">
        <v>13968</v>
      </c>
      <c r="Z2141" t="str">
        <f>"Y"</f>
        <v>Y</v>
      </c>
      <c r="AA2141">
        <v>0</v>
      </c>
      <c r="AC2141">
        <v>0</v>
      </c>
      <c r="AE2141">
        <v>0</v>
      </c>
      <c r="AF2141">
        <v>0</v>
      </c>
      <c r="AG2141" s="2">
        <v>47295.65</v>
      </c>
      <c r="AH2141">
        <v>0</v>
      </c>
      <c r="AI2141" s="2">
        <v>47295.65</v>
      </c>
      <c r="AJ2141" s="2">
        <v>13968</v>
      </c>
      <c r="AK2141" s="2">
        <v>13968</v>
      </c>
      <c r="AL2141" t="str">
        <f>"$"</f>
        <v>$</v>
      </c>
    </row>
    <row r="2142" spans="1:38" x14ac:dyDescent="0.3">
      <c r="A2142" t="str">
        <f>"SO22000441"</f>
        <v>SO22000441</v>
      </c>
      <c r="B2142" t="str">
        <f>"E000377788"</f>
        <v>E000377788</v>
      </c>
      <c r="C2142" t="str">
        <f>"הרכבה חלקית"</f>
        <v>הרכבה חלקית</v>
      </c>
      <c r="E2142" s="3">
        <v>44900</v>
      </c>
      <c r="F2142" s="3">
        <v>44925</v>
      </c>
      <c r="G2142" t="str">
        <f>"700065"</f>
        <v>700065</v>
      </c>
      <c r="H2142" t="str">
        <f>"אלתא מערכות בע""מ"</f>
        <v>אלתא מערכות בע"מ</v>
      </c>
      <c r="I2142" t="str">
        <f>"ערן שלו"</f>
        <v>ערן שלו</v>
      </c>
      <c r="J2142" t="str">
        <f>"000"</f>
        <v>000</v>
      </c>
      <c r="K2142" s="1" t="str">
        <f>"סט שלטים צבעוני אזהרה לPDB1+2"</f>
        <v>סט שלטים צבעוני אזהרה לPDB1+2</v>
      </c>
      <c r="L2142">
        <v>1</v>
      </c>
      <c r="M2142" t="str">
        <f>"PR22000694"</f>
        <v>PR22000694</v>
      </c>
      <c r="N2142" t="str">
        <f>"תיקון תקלות בצכיה נובמבר 22"</f>
        <v>תיקון תקלות בצכיה נובמבר 22</v>
      </c>
      <c r="O2142" s="2">
        <v>3880</v>
      </c>
      <c r="P2142" t="str">
        <f>"$"</f>
        <v>$</v>
      </c>
      <c r="Q2142" t="str">
        <f>"118"</f>
        <v>118</v>
      </c>
      <c r="R2142" t="str">
        <f>"מערכות"</f>
        <v>מערכות</v>
      </c>
      <c r="S2142" t="str">
        <f>"034"</f>
        <v>034</v>
      </c>
      <c r="T2142" t="str">
        <f>"עמר ליגל"</f>
        <v>עמר ליגל</v>
      </c>
      <c r="U2142">
        <v>0</v>
      </c>
      <c r="V2142">
        <v>0</v>
      </c>
      <c r="W2142" s="2">
        <v>3880</v>
      </c>
      <c r="X2142" s="2">
        <v>3880</v>
      </c>
      <c r="Z2142" t="str">
        <f>"Y"</f>
        <v>Y</v>
      </c>
      <c r="AA2142">
        <v>1</v>
      </c>
      <c r="AC2142">
        <v>0</v>
      </c>
      <c r="AE2142">
        <v>0</v>
      </c>
      <c r="AF2142">
        <v>0</v>
      </c>
      <c r="AG2142" s="2">
        <v>13137.68</v>
      </c>
      <c r="AH2142">
        <v>0</v>
      </c>
      <c r="AI2142" s="2">
        <v>13137.68</v>
      </c>
      <c r="AJ2142" s="2">
        <v>3880</v>
      </c>
      <c r="AK2142" s="2">
        <v>3880</v>
      </c>
      <c r="AL2142" t="str">
        <f>"$"</f>
        <v>$</v>
      </c>
    </row>
    <row r="2143" spans="1:38" x14ac:dyDescent="0.3">
      <c r="A2143" t="str">
        <f>"SO22000441"</f>
        <v>SO22000441</v>
      </c>
      <c r="B2143" t="str">
        <f>"E000377788"</f>
        <v>E000377788</v>
      </c>
      <c r="C2143" t="str">
        <f>"הרכבה חלקית"</f>
        <v>הרכבה חלקית</v>
      </c>
      <c r="E2143" s="3">
        <v>44900</v>
      </c>
      <c r="F2143" s="3">
        <v>44925</v>
      </c>
      <c r="G2143" t="str">
        <f>"700065"</f>
        <v>700065</v>
      </c>
      <c r="H2143" t="str">
        <f>"אלתא מערכות בע""מ"</f>
        <v>אלתא מערכות בע"מ</v>
      </c>
      <c r="I2143" t="str">
        <f>"ערן שלו"</f>
        <v>ערן שלו</v>
      </c>
      <c r="J2143" t="str">
        <f>"PA9900440"</f>
        <v>PA9900440</v>
      </c>
      <c r="K2143" s="1" t="str">
        <f>"QUICK RELEASE BALL LOCK PIN - L-HANDLE MLACH-05-015"</f>
        <v>QUICK RELEASE BALL LOCK PIN - L-HANDLE MLACH-05-015</v>
      </c>
      <c r="L2143">
        <v>1</v>
      </c>
      <c r="M2143" t="str">
        <f>"PR22000694"</f>
        <v>PR22000694</v>
      </c>
      <c r="N2143" t="str">
        <f>"תיקון תקלות בצכיה נובמבר 22"</f>
        <v>תיקון תקלות בצכיה נובמבר 22</v>
      </c>
      <c r="O2143">
        <v>0</v>
      </c>
      <c r="P2143" t="str">
        <f>"$"</f>
        <v>$</v>
      </c>
      <c r="Q2143" t="str">
        <f>"118"</f>
        <v>118</v>
      </c>
      <c r="R2143" t="str">
        <f>"מערכות"</f>
        <v>מערכות</v>
      </c>
      <c r="S2143" t="str">
        <f>"034"</f>
        <v>034</v>
      </c>
      <c r="T2143" t="str">
        <f>"עמר ליגל"</f>
        <v>עמר ליגל</v>
      </c>
      <c r="U2143">
        <v>0</v>
      </c>
      <c r="V2143">
        <v>0</v>
      </c>
      <c r="W2143">
        <v>0</v>
      </c>
      <c r="X2143">
        <v>0</v>
      </c>
      <c r="Z2143" t="str">
        <f>"Y"</f>
        <v>Y</v>
      </c>
      <c r="AA2143">
        <v>1</v>
      </c>
      <c r="AC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 t="str">
        <f>"$"</f>
        <v>$</v>
      </c>
    </row>
    <row r="2144" spans="1:38" x14ac:dyDescent="0.3">
      <c r="A2144" t="str">
        <f>"SO22000441"</f>
        <v>SO22000441</v>
      </c>
      <c r="B2144" t="str">
        <f>"E000377788"</f>
        <v>E000377788</v>
      </c>
      <c r="C2144" t="str">
        <f>"הרכבה חלקית"</f>
        <v>הרכבה חלקית</v>
      </c>
      <c r="E2144" s="3">
        <v>44900</v>
      </c>
      <c r="F2144" s="3">
        <v>45049</v>
      </c>
      <c r="G2144" t="str">
        <f>"700065"</f>
        <v>700065</v>
      </c>
      <c r="H2144" t="str">
        <f>"אלתא מערכות בע""מ"</f>
        <v>אלתא מערכות בע"מ</v>
      </c>
      <c r="I2144" t="str">
        <f>"ערן שלו"</f>
        <v>ערן שלו</v>
      </c>
      <c r="J2144" t="str">
        <f>"999"</f>
        <v>999</v>
      </c>
      <c r="K2144" s="1" t="str">
        <f>"סט פיני מטוס RPU - ייצור והתק"</f>
        <v>סט פיני מטוס RPU - ייצור והתק</v>
      </c>
      <c r="L2144">
        <v>1</v>
      </c>
      <c r="O2144" s="2">
        <v>11640</v>
      </c>
      <c r="P2144" t="str">
        <f>"$"</f>
        <v>$</v>
      </c>
      <c r="Q2144" t="str">
        <f>"118"</f>
        <v>118</v>
      </c>
      <c r="R2144" t="str">
        <f>"מערכות"</f>
        <v>מערכות</v>
      </c>
      <c r="S2144" t="str">
        <f>"034"</f>
        <v>034</v>
      </c>
      <c r="T2144" t="str">
        <f>"עמר ליגל"</f>
        <v>עמר ליגל</v>
      </c>
      <c r="U2144">
        <v>0</v>
      </c>
      <c r="V2144">
        <v>0</v>
      </c>
      <c r="W2144" s="2">
        <v>11640</v>
      </c>
      <c r="X2144" s="2">
        <v>11640</v>
      </c>
      <c r="AA2144">
        <v>0.875</v>
      </c>
      <c r="AC2144">
        <v>0</v>
      </c>
      <c r="AE2144">
        <v>0</v>
      </c>
      <c r="AF2144">
        <v>0</v>
      </c>
      <c r="AG2144" s="2">
        <v>39413.040000000001</v>
      </c>
      <c r="AH2144">
        <v>0</v>
      </c>
      <c r="AI2144" s="2">
        <v>39413.040000000001</v>
      </c>
      <c r="AJ2144" s="2">
        <v>11640</v>
      </c>
      <c r="AK2144" s="2">
        <v>11640</v>
      </c>
      <c r="AL2144" t="str">
        <f>"$"</f>
        <v>$</v>
      </c>
    </row>
    <row r="2145" spans="1:38" x14ac:dyDescent="0.3">
      <c r="A2145" t="str">
        <f>"SO22000441"</f>
        <v>SO22000441</v>
      </c>
      <c r="B2145" t="str">
        <f>"E000377788"</f>
        <v>E000377788</v>
      </c>
      <c r="C2145" t="str">
        <f>"הרכבה חלקית"</f>
        <v>הרכבה חלקית</v>
      </c>
      <c r="E2145" s="3">
        <v>44900</v>
      </c>
      <c r="F2145" s="3">
        <v>44925</v>
      </c>
      <c r="G2145" t="str">
        <f>"700065"</f>
        <v>700065</v>
      </c>
      <c r="H2145" t="str">
        <f>"אלתא מערכות בע""מ"</f>
        <v>אלתא מערכות בע"מ</v>
      </c>
      <c r="I2145" t="str">
        <f>"ערן שלו"</f>
        <v>ערן שלו</v>
      </c>
      <c r="J2145" t="str">
        <f>"000"</f>
        <v>000</v>
      </c>
      <c r="K2145" s="1" t="str">
        <f>"תכן לתהקנת פיני מטוס"</f>
        <v>תכן לתהקנת פיני מטוס</v>
      </c>
      <c r="L2145">
        <v>1</v>
      </c>
      <c r="M2145" t="str">
        <f>"PR22000694"</f>
        <v>PR22000694</v>
      </c>
      <c r="N2145" t="str">
        <f>"תיקון תקלות בצכיה נובמבר 22"</f>
        <v>תיקון תקלות בצכיה נובמבר 22</v>
      </c>
      <c r="O2145" s="2">
        <v>1164</v>
      </c>
      <c r="P2145" t="str">
        <f>"$"</f>
        <v>$</v>
      </c>
      <c r="Q2145" t="str">
        <f>"118"</f>
        <v>118</v>
      </c>
      <c r="R2145" t="str">
        <f>"מערכות"</f>
        <v>מערכות</v>
      </c>
      <c r="S2145" t="str">
        <f>"034"</f>
        <v>034</v>
      </c>
      <c r="T2145" t="str">
        <f>"עמר ליגל"</f>
        <v>עמר ליגל</v>
      </c>
      <c r="U2145">
        <v>0</v>
      </c>
      <c r="V2145">
        <v>0</v>
      </c>
      <c r="W2145" s="2">
        <v>1164</v>
      </c>
      <c r="X2145" s="2">
        <v>1164</v>
      </c>
      <c r="Z2145" t="str">
        <f>"Y"</f>
        <v>Y</v>
      </c>
      <c r="AA2145">
        <v>0</v>
      </c>
      <c r="AC2145">
        <v>0</v>
      </c>
      <c r="AE2145">
        <v>0</v>
      </c>
      <c r="AF2145">
        <v>0</v>
      </c>
      <c r="AG2145" s="2">
        <v>3941.3</v>
      </c>
      <c r="AH2145">
        <v>0</v>
      </c>
      <c r="AI2145" s="2">
        <v>3941.3</v>
      </c>
      <c r="AJ2145" s="2">
        <v>1164</v>
      </c>
      <c r="AK2145" s="2">
        <v>1164</v>
      </c>
      <c r="AL2145" t="str">
        <f>"$"</f>
        <v>$</v>
      </c>
    </row>
    <row r="2146" spans="1:38" x14ac:dyDescent="0.3">
      <c r="A2146" t="str">
        <f>"SO22000441"</f>
        <v>SO22000441</v>
      </c>
      <c r="B2146" t="str">
        <f>"E000377788"</f>
        <v>E000377788</v>
      </c>
      <c r="C2146" t="str">
        <f>"הרכבה חלקית"</f>
        <v>הרכבה חלקית</v>
      </c>
      <c r="E2146" s="3">
        <v>44900</v>
      </c>
      <c r="F2146" s="3">
        <v>44925</v>
      </c>
      <c r="G2146" t="str">
        <f>"700065"</f>
        <v>700065</v>
      </c>
      <c r="H2146" t="str">
        <f>"אלתא מערכות בע""מ"</f>
        <v>אלתא מערכות בע"מ</v>
      </c>
      <c r="I2146" t="str">
        <f>"ערן שלו"</f>
        <v>ערן שלו</v>
      </c>
      <c r="J2146" t="str">
        <f>"ZV9980165"</f>
        <v>ZV9980165</v>
      </c>
      <c r="K2146" s="1" t="str">
        <f>"BRACKET FOR TOOF CABLE"</f>
        <v>BRACKET FOR TOOF CABLE</v>
      </c>
      <c r="L2146">
        <v>1</v>
      </c>
      <c r="M2146" t="str">
        <f>"PR22000694"</f>
        <v>PR22000694</v>
      </c>
      <c r="N2146" t="str">
        <f>"תיקון תקלות בצכיה נובמבר 22"</f>
        <v>תיקון תקלות בצכיה נובמבר 22</v>
      </c>
      <c r="O2146">
        <v>0</v>
      </c>
      <c r="P2146" t="str">
        <f>"$"</f>
        <v>$</v>
      </c>
      <c r="Q2146" t="str">
        <f>"118"</f>
        <v>118</v>
      </c>
      <c r="R2146" t="str">
        <f>"מערכות"</f>
        <v>מערכות</v>
      </c>
      <c r="S2146" t="str">
        <f>"034"</f>
        <v>034</v>
      </c>
      <c r="T2146" t="str">
        <f>"עמר ליגל"</f>
        <v>עמר ליגל</v>
      </c>
      <c r="U2146">
        <v>0</v>
      </c>
      <c r="V2146">
        <v>0</v>
      </c>
      <c r="W2146">
        <v>0</v>
      </c>
      <c r="X2146">
        <v>0</v>
      </c>
      <c r="AA2146">
        <v>1</v>
      </c>
      <c r="AC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 t="str">
        <f>"$"</f>
        <v>$</v>
      </c>
    </row>
    <row r="2147" spans="1:38" x14ac:dyDescent="0.3">
      <c r="A2147" t="str">
        <f>"SO22000441"</f>
        <v>SO22000441</v>
      </c>
      <c r="B2147" t="str">
        <f>"E000377788"</f>
        <v>E000377788</v>
      </c>
      <c r="C2147" t="str">
        <f>"הרכבה חלקית"</f>
        <v>הרכבה חלקית</v>
      </c>
      <c r="E2147" s="3">
        <v>44900</v>
      </c>
      <c r="F2147" s="3">
        <v>44998</v>
      </c>
      <c r="G2147" t="str">
        <f>"700065"</f>
        <v>700065</v>
      </c>
      <c r="H2147" t="str">
        <f>"אלתא מערכות בע""מ"</f>
        <v>אלתא מערכות בע"מ</v>
      </c>
      <c r="I2147" t="str">
        <f>"ערן שלו"</f>
        <v>ערן שלו</v>
      </c>
      <c r="J2147" t="str">
        <f>"999"</f>
        <v>999</v>
      </c>
      <c r="K2147" s="1" t="str">
        <f>"BRACKET FOR TOOF CABLE"</f>
        <v>BRACKET FOR TOOF CABLE</v>
      </c>
      <c r="L2147">
        <v>1</v>
      </c>
      <c r="O2147" s="2">
        <v>7760</v>
      </c>
      <c r="P2147" t="str">
        <f>"$"</f>
        <v>$</v>
      </c>
      <c r="Q2147" t="str">
        <f>"118"</f>
        <v>118</v>
      </c>
      <c r="R2147" t="str">
        <f>"מערכות"</f>
        <v>מערכות</v>
      </c>
      <c r="S2147" t="str">
        <f>"034"</f>
        <v>034</v>
      </c>
      <c r="T2147" t="str">
        <f>"עמר ליגל"</f>
        <v>עמר ליגל</v>
      </c>
      <c r="U2147">
        <v>0</v>
      </c>
      <c r="V2147">
        <v>0</v>
      </c>
      <c r="W2147" s="2">
        <v>7760</v>
      </c>
      <c r="X2147" s="2">
        <v>7760</v>
      </c>
      <c r="AA2147">
        <v>0.5</v>
      </c>
      <c r="AC2147">
        <v>0</v>
      </c>
      <c r="AE2147">
        <v>0</v>
      </c>
      <c r="AF2147">
        <v>0</v>
      </c>
      <c r="AG2147" s="2">
        <v>26275.360000000001</v>
      </c>
      <c r="AH2147">
        <v>0</v>
      </c>
      <c r="AI2147" s="2">
        <v>26275.360000000001</v>
      </c>
      <c r="AJ2147" s="2">
        <v>7760</v>
      </c>
      <c r="AK2147" s="2">
        <v>7760</v>
      </c>
      <c r="AL2147" t="str">
        <f>"$"</f>
        <v>$</v>
      </c>
    </row>
    <row r="2148" spans="1:38" x14ac:dyDescent="0.3">
      <c r="A2148" t="str">
        <f>"SO22000441"</f>
        <v>SO22000441</v>
      </c>
      <c r="B2148" t="str">
        <f>"E000377788"</f>
        <v>E000377788</v>
      </c>
      <c r="C2148" t="str">
        <f>"הרכבה חלקית"</f>
        <v>הרכבה חלקית</v>
      </c>
      <c r="E2148" s="3">
        <v>44900</v>
      </c>
      <c r="F2148" s="3">
        <v>44925</v>
      </c>
      <c r="G2148" t="str">
        <f>"700065"</f>
        <v>700065</v>
      </c>
      <c r="H2148" t="str">
        <f>"אלתא מערכות בע""מ"</f>
        <v>אלתא מערכות בע"מ</v>
      </c>
      <c r="I2148" t="str">
        <f>"ערן שלו"</f>
        <v>ערן שלו</v>
      </c>
      <c r="J2148" t="str">
        <f>"OP-KT00133"</f>
        <v>OP-KT00133</v>
      </c>
      <c r="K2148" s="1" t="str">
        <f>"קיט שדרוג RPU רצועות + חבק לתורן"</f>
        <v>קיט שדרוג RPU רצועות + חבק לתורן</v>
      </c>
      <c r="L2148">
        <v>1</v>
      </c>
      <c r="M2148" t="str">
        <f>"PR22000694"</f>
        <v>PR22000694</v>
      </c>
      <c r="N2148" t="str">
        <f>"תיקון תקלות בצכיה נובמבר 22"</f>
        <v>תיקון תקלות בצכיה נובמבר 22</v>
      </c>
      <c r="O2148">
        <v>0</v>
      </c>
      <c r="P2148" t="str">
        <f>"$"</f>
        <v>$</v>
      </c>
      <c r="Q2148" t="str">
        <f>"118"</f>
        <v>118</v>
      </c>
      <c r="R2148" t="str">
        <f>"מערכות"</f>
        <v>מערכות</v>
      </c>
      <c r="S2148" t="str">
        <f>"034"</f>
        <v>034</v>
      </c>
      <c r="T2148" t="str">
        <f>"עמר ליגל"</f>
        <v>עמר ליגל</v>
      </c>
      <c r="U2148">
        <v>0</v>
      </c>
      <c r="V2148">
        <v>0</v>
      </c>
      <c r="W2148">
        <v>0</v>
      </c>
      <c r="X2148">
        <v>0</v>
      </c>
      <c r="AA2148">
        <v>1</v>
      </c>
      <c r="AC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 t="str">
        <f>"$"</f>
        <v>$</v>
      </c>
    </row>
    <row r="2149" spans="1:38" x14ac:dyDescent="0.3">
      <c r="A2149" t="str">
        <f>"SO22000441"</f>
        <v>SO22000441</v>
      </c>
      <c r="B2149" t="str">
        <f>"E000377788"</f>
        <v>E000377788</v>
      </c>
      <c r="C2149" t="str">
        <f>"הרכבה חלקית"</f>
        <v>הרכבה חלקית</v>
      </c>
      <c r="E2149" s="3">
        <v>44900</v>
      </c>
      <c r="F2149" s="3">
        <v>45106</v>
      </c>
      <c r="G2149" t="str">
        <f>"700065"</f>
        <v>700065</v>
      </c>
      <c r="H2149" t="str">
        <f>"אלתא מערכות בע""מ"</f>
        <v>אלתא מערכות בע"מ</v>
      </c>
      <c r="I2149" t="str">
        <f>"ערן שלו"</f>
        <v>ערן שלו</v>
      </c>
      <c r="J2149" t="str">
        <f>"000"</f>
        <v>000</v>
      </c>
      <c r="K2149" s="1" t="str">
        <f>"שילוטים אזהרה בשפה הצכית"</f>
        <v>שילוטים אזהרה בשפה הצכית</v>
      </c>
      <c r="L2149">
        <v>60</v>
      </c>
      <c r="M2149" t="str">
        <f>"PR22000694"</f>
        <v>PR22000694</v>
      </c>
      <c r="N2149" t="str">
        <f>"תיקון תקלות בצכיה נובמבר 22"</f>
        <v>תיקון תקלות בצכיה נובמבר 22</v>
      </c>
      <c r="O2149">
        <v>0</v>
      </c>
      <c r="P2149" t="str">
        <f>"$"</f>
        <v>$</v>
      </c>
      <c r="Q2149" t="str">
        <f>"118"</f>
        <v>118</v>
      </c>
      <c r="R2149" t="str">
        <f>"מערכות"</f>
        <v>מערכות</v>
      </c>
      <c r="S2149" t="str">
        <f>"034"</f>
        <v>034</v>
      </c>
      <c r="T2149" t="str">
        <f>"עמר ליגל"</f>
        <v>עמר ליגל</v>
      </c>
      <c r="U2149">
        <v>0</v>
      </c>
      <c r="V2149">
        <v>0</v>
      </c>
      <c r="W2149">
        <v>0</v>
      </c>
      <c r="X2149">
        <v>0</v>
      </c>
      <c r="Z2149" t="str">
        <f>"Y"</f>
        <v>Y</v>
      </c>
      <c r="AA2149">
        <v>0</v>
      </c>
      <c r="AC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 t="str">
        <f>"$"</f>
        <v>$</v>
      </c>
    </row>
    <row r="2150" spans="1:38" x14ac:dyDescent="0.3">
      <c r="A2150" t="str">
        <f>"SO22000441"</f>
        <v>SO22000441</v>
      </c>
      <c r="B2150" t="str">
        <f>"E000377788"</f>
        <v>E000377788</v>
      </c>
      <c r="C2150" t="str">
        <f>"הרכבה חלקית"</f>
        <v>הרכבה חלקית</v>
      </c>
      <c r="E2150" s="3">
        <v>44900</v>
      </c>
      <c r="F2150" s="3">
        <v>44925</v>
      </c>
      <c r="G2150" t="str">
        <f>"700065"</f>
        <v>700065</v>
      </c>
      <c r="H2150" t="str">
        <f>"אלתא מערכות בע""מ"</f>
        <v>אלתא מערכות בע"מ</v>
      </c>
      <c r="I2150" t="str">
        <f>"ערן שלו"</f>
        <v>ערן שלו</v>
      </c>
      <c r="J2150" t="str">
        <f>"999"</f>
        <v>999</v>
      </c>
      <c r="K2150" s="1" t="str">
        <f>"חבק נוסף לתורן מד רוח"</f>
        <v>חבק נוסף לתורן מד רוח</v>
      </c>
      <c r="L2150">
        <v>1</v>
      </c>
      <c r="M2150" t="str">
        <f>"PR22000694"</f>
        <v>PR22000694</v>
      </c>
      <c r="N2150" t="str">
        <f>"תיקון תקלות בצכיה נובמבר 22"</f>
        <v>תיקון תקלות בצכיה נובמבר 22</v>
      </c>
      <c r="O2150" s="2">
        <v>2720</v>
      </c>
      <c r="P2150" t="str">
        <f>"$"</f>
        <v>$</v>
      </c>
      <c r="Q2150" t="str">
        <f>"118"</f>
        <v>118</v>
      </c>
      <c r="R2150" t="str">
        <f>"מערכות"</f>
        <v>מערכות</v>
      </c>
      <c r="S2150" t="str">
        <f>"034"</f>
        <v>034</v>
      </c>
      <c r="T2150" t="str">
        <f>"עמר ליגל"</f>
        <v>עמר ליגל</v>
      </c>
      <c r="U2150">
        <v>0</v>
      </c>
      <c r="V2150">
        <v>0</v>
      </c>
      <c r="W2150" s="2">
        <v>2720</v>
      </c>
      <c r="X2150" s="2">
        <v>2720</v>
      </c>
      <c r="AA2150">
        <v>0.25</v>
      </c>
      <c r="AC2150">
        <v>0</v>
      </c>
      <c r="AE2150">
        <v>0</v>
      </c>
      <c r="AF2150">
        <v>0</v>
      </c>
      <c r="AG2150" s="2">
        <v>9209.92</v>
      </c>
      <c r="AH2150">
        <v>0</v>
      </c>
      <c r="AI2150" s="2">
        <v>9209.92</v>
      </c>
      <c r="AJ2150" s="2">
        <v>2720</v>
      </c>
      <c r="AK2150" s="2">
        <v>2720</v>
      </c>
      <c r="AL2150" t="str">
        <f>"$"</f>
        <v>$</v>
      </c>
    </row>
    <row r="2151" spans="1:38" x14ac:dyDescent="0.3">
      <c r="A2151" t="str">
        <f>"SO22000443"</f>
        <v>SO22000443</v>
      </c>
      <c r="B2151" t="str">
        <f>"E000379405"</f>
        <v>E000379405</v>
      </c>
      <c r="C2151" t="str">
        <f>"לאישור הסוכן"</f>
        <v>לאישור הסוכן</v>
      </c>
      <c r="E2151" s="3">
        <v>44901</v>
      </c>
      <c r="F2151" s="3">
        <v>44958</v>
      </c>
      <c r="G2151" t="str">
        <f>"700065"</f>
        <v>700065</v>
      </c>
      <c r="H2151" t="str">
        <f>"אלתא מערכות בע""מ"</f>
        <v>אלתא מערכות בע"מ</v>
      </c>
      <c r="I2151" t="str">
        <f>"רוני דידי"</f>
        <v>רוני דידי</v>
      </c>
      <c r="J2151" t="str">
        <f>"000"</f>
        <v>000</v>
      </c>
      <c r="K2151" s="1" t="str">
        <f>"תיקון מערכת כח בויאטנם"</f>
        <v>תיקון מערכת כח בויאטנם</v>
      </c>
      <c r="L2151">
        <v>1</v>
      </c>
      <c r="O2151">
        <v>0.01</v>
      </c>
      <c r="P2151" t="str">
        <f>"$"</f>
        <v>$</v>
      </c>
      <c r="Q2151" t="str">
        <f>"118"</f>
        <v>118</v>
      </c>
      <c r="R2151" t="str">
        <f>"מערכות"</f>
        <v>מערכות</v>
      </c>
      <c r="S2151" t="str">
        <f>"007"</f>
        <v>007</v>
      </c>
      <c r="T2151" t="str">
        <f>"עמר ליגל"</f>
        <v>עמר ליגל</v>
      </c>
      <c r="U2151">
        <v>0</v>
      </c>
      <c r="V2151">
        <v>0</v>
      </c>
      <c r="W2151">
        <v>0.01</v>
      </c>
      <c r="X2151">
        <v>0.01</v>
      </c>
      <c r="AA2151">
        <v>1</v>
      </c>
      <c r="AC2151">
        <v>0</v>
      </c>
      <c r="AE2151">
        <v>0</v>
      </c>
      <c r="AF2151">
        <v>0</v>
      </c>
      <c r="AG2151">
        <v>0.03</v>
      </c>
      <c r="AH2151">
        <v>0</v>
      </c>
      <c r="AI2151">
        <v>0.03</v>
      </c>
      <c r="AJ2151">
        <v>0.01</v>
      </c>
      <c r="AK2151">
        <v>0.01</v>
      </c>
      <c r="AL2151" t="str">
        <f>"$"</f>
        <v>$</v>
      </c>
    </row>
    <row r="2152" spans="1:38" x14ac:dyDescent="0.3">
      <c r="A2152" t="str">
        <f>"SO22000444"</f>
        <v>SO22000444</v>
      </c>
      <c r="B2152" t="str">
        <f>"E000379921"</f>
        <v>E000379921</v>
      </c>
      <c r="C2152" t="str">
        <f>"בוצעה"</f>
        <v>בוצעה</v>
      </c>
      <c r="E2152" s="3">
        <v>44901</v>
      </c>
      <c r="F2152" s="3">
        <v>45107</v>
      </c>
      <c r="G2152" t="str">
        <f>"700065"</f>
        <v>700065</v>
      </c>
      <c r="H2152" t="str">
        <f>"אלתא מערכות בע""מ"</f>
        <v>אלתא מערכות בע"מ</v>
      </c>
      <c r="I2152" t="str">
        <f>"רוני דידי"</f>
        <v>רוני דידי</v>
      </c>
      <c r="J2152" t="str">
        <f>"000"</f>
        <v>000</v>
      </c>
      <c r="K2152" s="1" t="str">
        <f>"צוות טכנאים בצכיה"</f>
        <v>צוות טכנאים בצכיה</v>
      </c>
      <c r="L2152">
        <v>1</v>
      </c>
      <c r="O2152" s="2">
        <v>4800</v>
      </c>
      <c r="P2152" t="str">
        <f>"$"</f>
        <v>$</v>
      </c>
      <c r="Q2152" t="str">
        <f>"118"</f>
        <v>118</v>
      </c>
      <c r="R2152" t="str">
        <f>"מערכות"</f>
        <v>מערכות</v>
      </c>
      <c r="S2152" t="str">
        <f>"007"</f>
        <v>007</v>
      </c>
      <c r="T2152" t="str">
        <f>"עמר ליגל"</f>
        <v>עמר ליגל</v>
      </c>
      <c r="U2152">
        <v>0</v>
      </c>
      <c r="V2152">
        <v>0</v>
      </c>
      <c r="W2152" s="2">
        <v>4800</v>
      </c>
      <c r="X2152" s="2">
        <v>4800</v>
      </c>
      <c r="Z2152" t="str">
        <f>"Y"</f>
        <v>Y</v>
      </c>
      <c r="AA2152">
        <v>1</v>
      </c>
      <c r="AC2152">
        <v>0</v>
      </c>
      <c r="AE2152">
        <v>0</v>
      </c>
      <c r="AF2152">
        <v>0</v>
      </c>
      <c r="AG2152" s="2">
        <v>16358.4</v>
      </c>
      <c r="AH2152">
        <v>0</v>
      </c>
      <c r="AI2152" s="2">
        <v>16358.4</v>
      </c>
      <c r="AJ2152" s="2">
        <v>4800</v>
      </c>
      <c r="AK2152" s="2">
        <v>4800</v>
      </c>
      <c r="AL2152" t="str">
        <f>"$"</f>
        <v>$</v>
      </c>
    </row>
    <row r="2153" spans="1:38" x14ac:dyDescent="0.3">
      <c r="A2153" t="str">
        <f>"SO22000445"</f>
        <v>SO22000445</v>
      </c>
      <c r="B2153" t="str">
        <f>"E000379736"</f>
        <v>E000379736</v>
      </c>
      <c r="C2153" t="str">
        <f>"בוצעה"</f>
        <v>בוצעה</v>
      </c>
      <c r="E2153" s="3">
        <v>44901</v>
      </c>
      <c r="F2153" s="3">
        <v>45107</v>
      </c>
      <c r="G2153" t="str">
        <f>"700065"</f>
        <v>700065</v>
      </c>
      <c r="H2153" t="str">
        <f>"אלתא מערכות בע""מ"</f>
        <v>אלתא מערכות בע"מ</v>
      </c>
      <c r="I2153" t="str">
        <f>"רוני דידי"</f>
        <v>רוני דידי</v>
      </c>
      <c r="J2153" t="str">
        <f>"000"</f>
        <v>000</v>
      </c>
      <c r="K2153" s="1" t="str">
        <f>"צוות טכנאים בצכיה"</f>
        <v>צוות טכנאים בצכיה</v>
      </c>
      <c r="L2153">
        <v>1</v>
      </c>
      <c r="O2153" s="2">
        <v>9600</v>
      </c>
      <c r="P2153" t="str">
        <f>"$"</f>
        <v>$</v>
      </c>
      <c r="Q2153" t="str">
        <f>"118"</f>
        <v>118</v>
      </c>
      <c r="R2153" t="str">
        <f>"מערכות"</f>
        <v>מערכות</v>
      </c>
      <c r="S2153" t="str">
        <f>"007"</f>
        <v>007</v>
      </c>
      <c r="T2153" t="str">
        <f>"עמר ליגל"</f>
        <v>עמר ליגל</v>
      </c>
      <c r="U2153">
        <v>0</v>
      </c>
      <c r="V2153">
        <v>0</v>
      </c>
      <c r="W2153" s="2">
        <v>9600</v>
      </c>
      <c r="X2153" s="2">
        <v>9600</v>
      </c>
      <c r="Z2153" t="str">
        <f>"Y"</f>
        <v>Y</v>
      </c>
      <c r="AA2153">
        <v>1</v>
      </c>
      <c r="AC2153">
        <v>0</v>
      </c>
      <c r="AE2153">
        <v>0</v>
      </c>
      <c r="AF2153">
        <v>0</v>
      </c>
      <c r="AG2153" s="2">
        <v>32716.799999999999</v>
      </c>
      <c r="AH2153">
        <v>0</v>
      </c>
      <c r="AI2153" s="2">
        <v>32716.799999999999</v>
      </c>
      <c r="AJ2153" s="2">
        <v>9600</v>
      </c>
      <c r="AK2153" s="2">
        <v>9600</v>
      </c>
      <c r="AL2153" t="str">
        <f>"$"</f>
        <v>$</v>
      </c>
    </row>
    <row r="2154" spans="1:38" x14ac:dyDescent="0.3">
      <c r="A2154" t="str">
        <f>"SO22000447"</f>
        <v>SO22000447</v>
      </c>
      <c r="B2154" t="str">
        <f>"E000380200"</f>
        <v>E000380200</v>
      </c>
      <c r="C2154" t="str">
        <f>"מאושרת לחיוב"</f>
        <v>מאושרת לחיוב</v>
      </c>
      <c r="E2154" s="3">
        <v>44901</v>
      </c>
      <c r="F2154" s="3">
        <v>44916</v>
      </c>
      <c r="G2154" t="str">
        <f>"700065"</f>
        <v>700065</v>
      </c>
      <c r="H2154" t="str">
        <f>"אלתא מערכות בע""מ"</f>
        <v>אלתא מערכות בע"מ</v>
      </c>
      <c r="I2154" t="str">
        <f>"רוני דידי"</f>
        <v>רוני דידי</v>
      </c>
      <c r="J2154" t="str">
        <f>"000"</f>
        <v>000</v>
      </c>
      <c r="K2154" s="1" t="str">
        <f>"החלפת פריטים בחדר חשמל"</f>
        <v>החלפת פריטים בחדר חשמל</v>
      </c>
      <c r="L2154">
        <v>1</v>
      </c>
      <c r="M2154" t="str">
        <f>"PR22000859"</f>
        <v>PR22000859</v>
      </c>
      <c r="N2154" t="str">
        <f>"אספקת ח""ח פיליפינים E000380200"</f>
        <v>אספקת ח"ח פיליפינים E000380200</v>
      </c>
      <c r="O2154" s="2">
        <v>1362</v>
      </c>
      <c r="P2154" t="str">
        <f>"$"</f>
        <v>$</v>
      </c>
      <c r="Q2154" t="str">
        <f>"118"</f>
        <v>118</v>
      </c>
      <c r="R2154" t="str">
        <f>"מערכות"</f>
        <v>מערכות</v>
      </c>
      <c r="S2154" t="str">
        <f>"007"</f>
        <v>007</v>
      </c>
      <c r="T2154" t="str">
        <f>"עמר ליגל"</f>
        <v>עמר ליגל</v>
      </c>
      <c r="U2154">
        <v>0</v>
      </c>
      <c r="V2154">
        <v>0</v>
      </c>
      <c r="W2154" s="2">
        <v>1362</v>
      </c>
      <c r="X2154" s="2">
        <v>1362</v>
      </c>
      <c r="Z2154" t="str">
        <f>"Y"</f>
        <v>Y</v>
      </c>
      <c r="AA2154">
        <v>0</v>
      </c>
      <c r="AC2154">
        <v>0</v>
      </c>
      <c r="AE2154">
        <v>0</v>
      </c>
      <c r="AF2154">
        <v>0</v>
      </c>
      <c r="AG2154" s="2">
        <v>4641.7</v>
      </c>
      <c r="AH2154">
        <v>0</v>
      </c>
      <c r="AI2154" s="2">
        <v>4641.7</v>
      </c>
      <c r="AJ2154" s="2">
        <v>1362</v>
      </c>
      <c r="AK2154" s="2">
        <v>1362</v>
      </c>
      <c r="AL2154" t="str">
        <f>"$"</f>
        <v>$</v>
      </c>
    </row>
    <row r="2155" spans="1:38" x14ac:dyDescent="0.3">
      <c r="A2155" t="str">
        <f>"SO22000447"</f>
        <v>SO22000447</v>
      </c>
      <c r="B2155" t="str">
        <f>"E000380200"</f>
        <v>E000380200</v>
      </c>
      <c r="C2155" t="str">
        <f>"מאושרת לחיוב"</f>
        <v>מאושרת לחיוב</v>
      </c>
      <c r="E2155" s="3">
        <v>44901</v>
      </c>
      <c r="F2155" s="3">
        <v>44958</v>
      </c>
      <c r="G2155" t="str">
        <f>"700065"</f>
        <v>700065</v>
      </c>
      <c r="H2155" t="str">
        <f>"אלתא מערכות בע""מ"</f>
        <v>אלתא מערכות בע"מ</v>
      </c>
      <c r="I2155" t="str">
        <f>"רוני דידי"</f>
        <v>רוני דידי</v>
      </c>
      <c r="J2155" t="str">
        <f>"000"</f>
        <v>000</v>
      </c>
      <c r="K2155" s="1" t="str">
        <f>"המשך להזמנה E000379405"</f>
        <v>המשך להזמנה E000379405</v>
      </c>
      <c r="L2155">
        <v>1</v>
      </c>
      <c r="M2155" t="str">
        <f>"PR22000859"</f>
        <v>PR22000859</v>
      </c>
      <c r="N2155" t="str">
        <f>"אספקת ח""ח פיליפינים E000380200"</f>
        <v>אספקת ח"ח פיליפינים E000380200</v>
      </c>
      <c r="O2155">
        <v>0</v>
      </c>
      <c r="P2155" t="str">
        <f>"$"</f>
        <v>$</v>
      </c>
      <c r="Q2155" t="str">
        <f>"118"</f>
        <v>118</v>
      </c>
      <c r="R2155" t="str">
        <f>"מערכות"</f>
        <v>מערכות</v>
      </c>
      <c r="S2155" t="str">
        <f>"007"</f>
        <v>007</v>
      </c>
      <c r="T2155" t="str">
        <f>"עמר ליגל"</f>
        <v>עמר ליגל</v>
      </c>
      <c r="U2155">
        <v>0</v>
      </c>
      <c r="V2155">
        <v>0</v>
      </c>
      <c r="W2155">
        <v>0</v>
      </c>
      <c r="X2155">
        <v>0</v>
      </c>
      <c r="AA2155">
        <v>1</v>
      </c>
      <c r="AC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 t="str">
        <f>"$"</f>
        <v>$</v>
      </c>
    </row>
    <row r="2156" spans="1:38" x14ac:dyDescent="0.3">
      <c r="A2156" t="str">
        <f>"SO22000448"</f>
        <v>SO22000448</v>
      </c>
      <c r="B2156" t="str">
        <f>"E000378345"</f>
        <v>E000378345</v>
      </c>
      <c r="C2156" t="str">
        <f>"בוצעה"</f>
        <v>בוצעה</v>
      </c>
      <c r="E2156" s="3">
        <v>44901</v>
      </c>
      <c r="F2156" s="3">
        <v>45015</v>
      </c>
      <c r="G2156" t="str">
        <f>"700065"</f>
        <v>700065</v>
      </c>
      <c r="H2156" t="str">
        <f>"אלתא מערכות בע""מ"</f>
        <v>אלתא מערכות בע"מ</v>
      </c>
      <c r="I2156" t="str">
        <f>"רוני דידי"</f>
        <v>רוני דידי</v>
      </c>
      <c r="J2156" t="str">
        <f>"OP-AR00467"</f>
        <v>OP-AR00467</v>
      </c>
      <c r="K2156" s="1" t="str">
        <f>"AC PCU CONTROL BOX"</f>
        <v>AC PCU CONTROL BOX</v>
      </c>
      <c r="L2156">
        <v>2</v>
      </c>
      <c r="M2156" t="str">
        <f>"PR22000881"</f>
        <v>PR22000881</v>
      </c>
      <c r="N2156" t="str">
        <f>"AC PCU CONTROL BOX"</f>
        <v>AC PCU CONTROL BOX</v>
      </c>
      <c r="O2156" s="2">
        <v>4250</v>
      </c>
      <c r="P2156" t="str">
        <f>"$"</f>
        <v>$</v>
      </c>
      <c r="Q2156" t="str">
        <f>"118"</f>
        <v>118</v>
      </c>
      <c r="R2156" t="str">
        <f>"מערכות"</f>
        <v>מערכות</v>
      </c>
      <c r="S2156" t="str">
        <f>"007"</f>
        <v>007</v>
      </c>
      <c r="T2156" t="str">
        <f>"עמר ליגל"</f>
        <v>עמר ליגל</v>
      </c>
      <c r="U2156">
        <v>0</v>
      </c>
      <c r="V2156">
        <v>0</v>
      </c>
      <c r="W2156" s="2">
        <v>4250</v>
      </c>
      <c r="X2156" s="2">
        <v>8500</v>
      </c>
      <c r="Z2156" t="str">
        <f>"Y"</f>
        <v>Y</v>
      </c>
      <c r="AA2156">
        <v>0</v>
      </c>
      <c r="AC2156">
        <v>0</v>
      </c>
      <c r="AE2156">
        <v>0</v>
      </c>
      <c r="AF2156">
        <v>0</v>
      </c>
      <c r="AG2156" s="2">
        <v>14484</v>
      </c>
      <c r="AH2156">
        <v>0</v>
      </c>
      <c r="AI2156" s="2">
        <v>28968</v>
      </c>
      <c r="AJ2156" s="2">
        <v>8500</v>
      </c>
      <c r="AK2156" s="2">
        <v>8500</v>
      </c>
      <c r="AL2156" t="str">
        <f>"$"</f>
        <v>$</v>
      </c>
    </row>
    <row r="2157" spans="1:38" x14ac:dyDescent="0.3">
      <c r="A2157" t="str">
        <f>"SO22000452"</f>
        <v>SO22000452</v>
      </c>
      <c r="B2157" t="str">
        <f>"ח""ג לאלתא לטובת הכנת רתמה"</f>
        <v>ח"ג לאלתא לטובת הכנת רתמה</v>
      </c>
      <c r="C2157" t="str">
        <f>"מאושרת לבצוע"</f>
        <v>מאושרת לבצוע</v>
      </c>
      <c r="E2157" s="3">
        <v>44902</v>
      </c>
      <c r="F2157" s="3">
        <v>44902</v>
      </c>
      <c r="G2157" t="str">
        <f>"700065"</f>
        <v>700065</v>
      </c>
      <c r="H2157" t="str">
        <f>"אלתא מערכות בע""מ"</f>
        <v>אלתא מערכות בע"מ</v>
      </c>
      <c r="I2157" t="str">
        <f>"רחמים זרוק"</f>
        <v>רחמים זרוק</v>
      </c>
      <c r="J2157" t="str">
        <f>"ZV9980162"</f>
        <v>ZV9980162</v>
      </c>
      <c r="K2157" s="1" t="str">
        <f>"1023M231002 BACKSHELL CONN MDM 51 PIN"</f>
        <v>1023M231002 BACKSHELL CONN MDM 51 PIN</v>
      </c>
      <c r="L2157">
        <v>15</v>
      </c>
      <c r="M2157" t="str">
        <f>"PR22000316"</f>
        <v>PR22000316</v>
      </c>
      <c r="N2157" t="str">
        <f>"w201 CABLE ASSY W202"</f>
        <v>w201 CABLE ASSY W202</v>
      </c>
      <c r="O2157">
        <v>0</v>
      </c>
      <c r="P2157" t="str">
        <f>"$"</f>
        <v>$</v>
      </c>
      <c r="Q2157" t="str">
        <f>"117"</f>
        <v>117</v>
      </c>
      <c r="R2157" t="str">
        <f>"רתמות"</f>
        <v>רתמות</v>
      </c>
      <c r="S2157" t="str">
        <f>"040"</f>
        <v>040</v>
      </c>
      <c r="T2157" t="str">
        <f>"עמר ליגל"</f>
        <v>עמר ליגל</v>
      </c>
      <c r="U2157">
        <v>0</v>
      </c>
      <c r="V2157">
        <v>0</v>
      </c>
      <c r="W2157">
        <v>0</v>
      </c>
      <c r="X2157">
        <v>0</v>
      </c>
      <c r="AA2157">
        <v>15</v>
      </c>
      <c r="AC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 t="str">
        <f>"$"</f>
        <v>$</v>
      </c>
    </row>
    <row r="2158" spans="1:38" x14ac:dyDescent="0.3">
      <c r="A2158" t="str">
        <f>"SO22000452"</f>
        <v>SO22000452</v>
      </c>
      <c r="B2158" t="str">
        <f>"ח""ג לאלתא לטובת הכנת רתמה"</f>
        <v>ח"ג לאלתא לטובת הכנת רתמה</v>
      </c>
      <c r="C2158" t="str">
        <f>"מאושרת לבצוע"</f>
        <v>מאושרת לבצוע</v>
      </c>
      <c r="E2158" s="3">
        <v>44902</v>
      </c>
      <c r="F2158" s="3">
        <v>44902</v>
      </c>
      <c r="G2158" t="str">
        <f>"700065"</f>
        <v>700065</v>
      </c>
      <c r="H2158" t="str">
        <f>"אלתא מערכות בע""מ"</f>
        <v>אלתא מערכות בע"מ</v>
      </c>
      <c r="I2158" t="str">
        <f>"רחמים זרוק"</f>
        <v>רחמים זרוק</v>
      </c>
      <c r="J2158" t="str">
        <f>"ZV9980163"</f>
        <v>ZV9980163</v>
      </c>
      <c r="K2158" s="1" t="str">
        <f>"1023M229002 COVER BACKSHEEL MDM 51 PIN"</f>
        <v>1023M229002 COVER BACKSHEEL MDM 51 PIN</v>
      </c>
      <c r="L2158">
        <v>15</v>
      </c>
      <c r="M2158" t="str">
        <f>"PR22000316"</f>
        <v>PR22000316</v>
      </c>
      <c r="N2158" t="str">
        <f>"w201 CABLE ASSY W202"</f>
        <v>w201 CABLE ASSY W202</v>
      </c>
      <c r="O2158">
        <v>0</v>
      </c>
      <c r="P2158" t="str">
        <f>"$"</f>
        <v>$</v>
      </c>
      <c r="Q2158" t="str">
        <f>"117"</f>
        <v>117</v>
      </c>
      <c r="R2158" t="str">
        <f>"רתמות"</f>
        <v>רתמות</v>
      </c>
      <c r="S2158" t="str">
        <f>"040"</f>
        <v>040</v>
      </c>
      <c r="T2158" t="str">
        <f>"עמר ליגל"</f>
        <v>עמר ליגל</v>
      </c>
      <c r="U2158">
        <v>0</v>
      </c>
      <c r="V2158">
        <v>0</v>
      </c>
      <c r="W2158">
        <v>0</v>
      </c>
      <c r="X2158">
        <v>0</v>
      </c>
      <c r="AA2158">
        <v>15</v>
      </c>
      <c r="AC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 t="str">
        <f>"$"</f>
        <v>$</v>
      </c>
    </row>
    <row r="2159" spans="1:38" x14ac:dyDescent="0.3">
      <c r="A2159" t="str">
        <f>"SO22000456"</f>
        <v>SO22000456</v>
      </c>
      <c r="B2159" t="str">
        <f>"E000374279"</f>
        <v>E000374279</v>
      </c>
      <c r="C2159" t="str">
        <f>"מאושרת לחיוב"</f>
        <v>מאושרת לחיוב</v>
      </c>
      <c r="E2159" s="3">
        <v>44906</v>
      </c>
      <c r="F2159" s="3">
        <v>45076</v>
      </c>
      <c r="G2159" t="str">
        <f>"700065"</f>
        <v>700065</v>
      </c>
      <c r="H2159" t="str">
        <f>"אלתא מערכות בע""מ"</f>
        <v>אלתא מערכות בע"מ</v>
      </c>
      <c r="I2159" t="str">
        <f>"רחמים זרוק"</f>
        <v>רחמים זרוק</v>
      </c>
      <c r="J2159" t="str">
        <f>"OP-AR02306"</f>
        <v>OP-AR02306</v>
      </c>
      <c r="K2159" s="1" t="str">
        <f>"HVJB 1026L230-001"</f>
        <v>HVJB 1026L230-001</v>
      </c>
      <c r="L2159">
        <v>1</v>
      </c>
      <c r="M2159" t="str">
        <f>"PR22000725"</f>
        <v>PR22000725</v>
      </c>
      <c r="N2159" t="str">
        <f>"HVJB 1026L230-001"</f>
        <v>HVJB 1026L230-001</v>
      </c>
      <c r="O2159" s="2">
        <v>9726</v>
      </c>
      <c r="P2159" t="str">
        <f>"$"</f>
        <v>$</v>
      </c>
      <c r="Q2159" t="str">
        <f>"118"</f>
        <v>118</v>
      </c>
      <c r="R2159" t="str">
        <f>"מערכות"</f>
        <v>מערכות</v>
      </c>
      <c r="S2159" t="str">
        <f>"040"</f>
        <v>040</v>
      </c>
      <c r="T2159" t="str">
        <f>"עמר ליגל"</f>
        <v>עמר ליגל</v>
      </c>
      <c r="U2159">
        <v>0</v>
      </c>
      <c r="V2159">
        <v>0</v>
      </c>
      <c r="W2159" s="2">
        <v>9726</v>
      </c>
      <c r="X2159" s="2">
        <v>9726</v>
      </c>
      <c r="AA2159">
        <v>1</v>
      </c>
      <c r="AC2159">
        <v>0</v>
      </c>
      <c r="AE2159">
        <v>0</v>
      </c>
      <c r="AF2159">
        <v>0</v>
      </c>
      <c r="AG2159" s="2">
        <v>33262.92</v>
      </c>
      <c r="AH2159">
        <v>0</v>
      </c>
      <c r="AI2159" s="2">
        <v>33262.92</v>
      </c>
      <c r="AJ2159" s="2">
        <v>9726</v>
      </c>
      <c r="AK2159" s="2">
        <v>9726</v>
      </c>
      <c r="AL2159" t="str">
        <f>"$"</f>
        <v>$</v>
      </c>
    </row>
    <row r="2160" spans="1:38" x14ac:dyDescent="0.3">
      <c r="A2160" t="str">
        <f>"SO22000456"</f>
        <v>SO22000456</v>
      </c>
      <c r="B2160" t="str">
        <f>"E000374279"</f>
        <v>E000374279</v>
      </c>
      <c r="C2160" t="str">
        <f>"מאושרת לחיוב"</f>
        <v>מאושרת לחיוב</v>
      </c>
      <c r="E2160" s="3">
        <v>44906</v>
      </c>
      <c r="F2160" s="3">
        <v>45076</v>
      </c>
      <c r="G2160" t="str">
        <f>"700065"</f>
        <v>700065</v>
      </c>
      <c r="H2160" t="str">
        <f>"אלתא מערכות בע""מ"</f>
        <v>אלתא מערכות בע"מ</v>
      </c>
      <c r="I2160" t="str">
        <f>"רחמים זרוק"</f>
        <v>רחמים זרוק</v>
      </c>
      <c r="J2160" t="str">
        <f>"OP-AR02306"</f>
        <v>OP-AR02306</v>
      </c>
      <c r="K2160" s="1" t="str">
        <f>"HVJB 1026L230-001"</f>
        <v>HVJB 1026L230-001</v>
      </c>
      <c r="L2160">
        <v>8</v>
      </c>
      <c r="M2160" t="str">
        <f>"PR22000725"</f>
        <v>PR22000725</v>
      </c>
      <c r="N2160" t="str">
        <f>"HVJB 1026L230-001"</f>
        <v>HVJB 1026L230-001</v>
      </c>
      <c r="O2160" s="2">
        <v>9726</v>
      </c>
      <c r="P2160" t="str">
        <f>"$"</f>
        <v>$</v>
      </c>
      <c r="Q2160" t="str">
        <f>"118"</f>
        <v>118</v>
      </c>
      <c r="R2160" t="str">
        <f>"מערכות"</f>
        <v>מערכות</v>
      </c>
      <c r="S2160" t="str">
        <f>"040"</f>
        <v>040</v>
      </c>
      <c r="T2160" t="str">
        <f>"עמר ליגל"</f>
        <v>עמר ליגל</v>
      </c>
      <c r="U2160">
        <v>0</v>
      </c>
      <c r="V2160">
        <v>0</v>
      </c>
      <c r="W2160" s="2">
        <v>9726</v>
      </c>
      <c r="X2160" s="2">
        <v>77808</v>
      </c>
      <c r="AA2160">
        <v>8</v>
      </c>
      <c r="AC2160">
        <v>0</v>
      </c>
      <c r="AE2160">
        <v>0</v>
      </c>
      <c r="AF2160">
        <v>0</v>
      </c>
      <c r="AG2160" s="2">
        <v>33262.92</v>
      </c>
      <c r="AH2160">
        <v>0</v>
      </c>
      <c r="AI2160" s="2">
        <v>266103.36</v>
      </c>
      <c r="AJ2160" s="2">
        <v>77808</v>
      </c>
      <c r="AK2160" s="2">
        <v>77808</v>
      </c>
      <c r="AL2160" t="str">
        <f>"$"</f>
        <v>$</v>
      </c>
    </row>
    <row r="2161" spans="1:38" x14ac:dyDescent="0.3">
      <c r="A2161" t="str">
        <f>"SO22000456"</f>
        <v>SO22000456</v>
      </c>
      <c r="B2161" t="str">
        <f>"E000374279"</f>
        <v>E000374279</v>
      </c>
      <c r="C2161" t="str">
        <f>"מאושרת לחיוב"</f>
        <v>מאושרת לחיוב</v>
      </c>
      <c r="E2161" s="3">
        <v>44906</v>
      </c>
      <c r="F2161" s="3">
        <v>45137</v>
      </c>
      <c r="G2161" t="str">
        <f>"700065"</f>
        <v>700065</v>
      </c>
      <c r="H2161" t="str">
        <f>"אלתא מערכות בע""מ"</f>
        <v>אלתא מערכות בע"מ</v>
      </c>
      <c r="I2161" t="str">
        <f>"רחמים זרוק"</f>
        <v>רחמים זרוק</v>
      </c>
      <c r="J2161" t="str">
        <f>"OP-AR02306"</f>
        <v>OP-AR02306</v>
      </c>
      <c r="K2161" s="1" t="str">
        <f>"HVJB 1026L230-001"</f>
        <v>HVJB 1026L230-001</v>
      </c>
      <c r="L2161">
        <v>2</v>
      </c>
      <c r="M2161" t="str">
        <f>"PR22000725"</f>
        <v>PR22000725</v>
      </c>
      <c r="N2161" t="str">
        <f>"HVJB 1026L230-001"</f>
        <v>HVJB 1026L230-001</v>
      </c>
      <c r="O2161" s="2">
        <v>9726</v>
      </c>
      <c r="P2161" t="str">
        <f>"$"</f>
        <v>$</v>
      </c>
      <c r="Q2161" t="str">
        <f>"118"</f>
        <v>118</v>
      </c>
      <c r="R2161" t="str">
        <f>"מערכות"</f>
        <v>מערכות</v>
      </c>
      <c r="S2161" t="str">
        <f>"040"</f>
        <v>040</v>
      </c>
      <c r="T2161" t="str">
        <f>"עמר ליגל"</f>
        <v>עמר ליגל</v>
      </c>
      <c r="U2161">
        <v>0</v>
      </c>
      <c r="V2161">
        <v>0</v>
      </c>
      <c r="W2161" s="2">
        <v>9726</v>
      </c>
      <c r="X2161" s="2">
        <v>19452</v>
      </c>
      <c r="AA2161">
        <v>2</v>
      </c>
      <c r="AC2161">
        <v>0</v>
      </c>
      <c r="AE2161">
        <v>0</v>
      </c>
      <c r="AF2161">
        <v>0</v>
      </c>
      <c r="AG2161" s="2">
        <v>33262.92</v>
      </c>
      <c r="AH2161">
        <v>0</v>
      </c>
      <c r="AI2161" s="2">
        <v>66525.84</v>
      </c>
      <c r="AJ2161" s="2">
        <v>19452</v>
      </c>
      <c r="AK2161" s="2">
        <v>19452</v>
      </c>
      <c r="AL2161" t="str">
        <f>"$"</f>
        <v>$</v>
      </c>
    </row>
    <row r="2162" spans="1:38" x14ac:dyDescent="0.3">
      <c r="A2162" t="str">
        <f>"SO22000456"</f>
        <v>SO22000456</v>
      </c>
      <c r="B2162" t="str">
        <f>"E000374279"</f>
        <v>E000374279</v>
      </c>
      <c r="C2162" t="str">
        <f>"מאושרת לחיוב"</f>
        <v>מאושרת לחיוב</v>
      </c>
      <c r="E2162" s="3">
        <v>44906</v>
      </c>
      <c r="F2162" s="3">
        <v>45137</v>
      </c>
      <c r="G2162" t="str">
        <f>"700065"</f>
        <v>700065</v>
      </c>
      <c r="H2162" t="str">
        <f>"אלתא מערכות בע""מ"</f>
        <v>אלתא מערכות בע"מ</v>
      </c>
      <c r="I2162" t="str">
        <f>"רחמים זרוק"</f>
        <v>רחמים זרוק</v>
      </c>
      <c r="J2162" t="str">
        <f>"OP-AR02306"</f>
        <v>OP-AR02306</v>
      </c>
      <c r="K2162" s="1" t="str">
        <f>"HVJB 1026L230-001"</f>
        <v>HVJB 1026L230-001</v>
      </c>
      <c r="L2162">
        <v>1</v>
      </c>
      <c r="M2162" t="str">
        <f>"PR22000725"</f>
        <v>PR22000725</v>
      </c>
      <c r="N2162" t="str">
        <f>"HVJB 1026L230-001"</f>
        <v>HVJB 1026L230-001</v>
      </c>
      <c r="O2162" s="2">
        <v>9726</v>
      </c>
      <c r="P2162" t="str">
        <f>"$"</f>
        <v>$</v>
      </c>
      <c r="Q2162" t="str">
        <f>"118"</f>
        <v>118</v>
      </c>
      <c r="R2162" t="str">
        <f>"מערכות"</f>
        <v>מערכות</v>
      </c>
      <c r="S2162" t="str">
        <f>"040"</f>
        <v>040</v>
      </c>
      <c r="T2162" t="str">
        <f>"עמר ליגל"</f>
        <v>עמר ליגל</v>
      </c>
      <c r="U2162">
        <v>0</v>
      </c>
      <c r="V2162">
        <v>0</v>
      </c>
      <c r="W2162" s="2">
        <v>9726</v>
      </c>
      <c r="X2162" s="2">
        <v>9726</v>
      </c>
      <c r="AA2162">
        <v>1</v>
      </c>
      <c r="AC2162">
        <v>0</v>
      </c>
      <c r="AE2162">
        <v>0</v>
      </c>
      <c r="AF2162">
        <v>0</v>
      </c>
      <c r="AG2162" s="2">
        <v>33262.92</v>
      </c>
      <c r="AH2162">
        <v>0</v>
      </c>
      <c r="AI2162" s="2">
        <v>33262.92</v>
      </c>
      <c r="AJ2162" s="2">
        <v>9726</v>
      </c>
      <c r="AK2162" s="2">
        <v>9726</v>
      </c>
      <c r="AL2162" t="str">
        <f>"$"</f>
        <v>$</v>
      </c>
    </row>
    <row r="2163" spans="1:38" x14ac:dyDescent="0.3">
      <c r="A2163" t="str">
        <f>"SO22000456"</f>
        <v>SO22000456</v>
      </c>
      <c r="B2163" t="str">
        <f>"E000374279"</f>
        <v>E000374279</v>
      </c>
      <c r="C2163" t="str">
        <f>"מאושרת לחיוב"</f>
        <v>מאושרת לחיוב</v>
      </c>
      <c r="E2163" s="3">
        <v>44906</v>
      </c>
      <c r="F2163" s="3">
        <v>45168</v>
      </c>
      <c r="G2163" t="str">
        <f>"700065"</f>
        <v>700065</v>
      </c>
      <c r="H2163" t="str">
        <f>"אלתא מערכות בע""מ"</f>
        <v>אלתא מערכות בע"מ</v>
      </c>
      <c r="I2163" t="str">
        <f>"רחמים זרוק"</f>
        <v>רחמים זרוק</v>
      </c>
      <c r="J2163" t="str">
        <f>"PS9900081"</f>
        <v>PS9900081</v>
      </c>
      <c r="K2163" s="1" t="str">
        <f>"מטען מצברים 1039V517-001 ירוק"</f>
        <v>מטען מצברים 1039V517-001 ירוק</v>
      </c>
      <c r="L2163">
        <v>2</v>
      </c>
      <c r="M2163" t="str">
        <f>"PR22000727"</f>
        <v>PR22000727</v>
      </c>
      <c r="N2163" t="str">
        <f>"מטען מצברים 1039V517-001 ירוק"</f>
        <v>מטען מצברים 1039V517-001 ירוק</v>
      </c>
      <c r="O2163" s="2">
        <v>7200</v>
      </c>
      <c r="P2163" t="str">
        <f>"$"</f>
        <v>$</v>
      </c>
      <c r="Q2163" t="str">
        <f>"118"</f>
        <v>118</v>
      </c>
      <c r="R2163" t="str">
        <f>"מערכות"</f>
        <v>מערכות</v>
      </c>
      <c r="S2163" t="str">
        <f>"040"</f>
        <v>040</v>
      </c>
      <c r="T2163" t="str">
        <f>"עמר ליגל"</f>
        <v>עמר ליגל</v>
      </c>
      <c r="U2163">
        <v>0</v>
      </c>
      <c r="V2163">
        <v>0</v>
      </c>
      <c r="W2163" s="2">
        <v>7200</v>
      </c>
      <c r="X2163" s="2">
        <v>14400</v>
      </c>
      <c r="Z2163" t="str">
        <f>"Y"</f>
        <v>Y</v>
      </c>
      <c r="AA2163">
        <v>0</v>
      </c>
      <c r="AC2163">
        <v>0</v>
      </c>
      <c r="AE2163">
        <v>0</v>
      </c>
      <c r="AF2163">
        <v>0</v>
      </c>
      <c r="AG2163" s="2">
        <v>24624</v>
      </c>
      <c r="AH2163">
        <v>0</v>
      </c>
      <c r="AI2163" s="2">
        <v>49248</v>
      </c>
      <c r="AJ2163" s="2">
        <v>14400</v>
      </c>
      <c r="AK2163" s="2">
        <v>14400</v>
      </c>
      <c r="AL2163" t="str">
        <f>"$"</f>
        <v>$</v>
      </c>
    </row>
    <row r="2164" spans="1:38" x14ac:dyDescent="0.3">
      <c r="A2164" t="str">
        <f>"SO22000456"</f>
        <v>SO22000456</v>
      </c>
      <c r="B2164" t="str">
        <f>"E000374279"</f>
        <v>E000374279</v>
      </c>
      <c r="C2164" t="str">
        <f>"מאושרת לחיוב"</f>
        <v>מאושרת לחיוב</v>
      </c>
      <c r="E2164" s="3">
        <v>44906</v>
      </c>
      <c r="F2164" s="3">
        <v>45168</v>
      </c>
      <c r="G2164" t="str">
        <f>"700065"</f>
        <v>700065</v>
      </c>
      <c r="H2164" t="str">
        <f>"אלתא מערכות בע""מ"</f>
        <v>אלתא מערכות בע"מ</v>
      </c>
      <c r="I2164" t="str">
        <f>"רחמים זרוק"</f>
        <v>רחמים זרוק</v>
      </c>
      <c r="J2164" t="str">
        <f>"PS9900081"</f>
        <v>PS9900081</v>
      </c>
      <c r="K2164" s="1" t="str">
        <f>"מטען מצברים 1039V517-001 ירוק"</f>
        <v>מטען מצברים 1039V517-001 ירוק</v>
      </c>
      <c r="L2164">
        <v>1</v>
      </c>
      <c r="M2164" t="str">
        <f>"PR22000727"</f>
        <v>PR22000727</v>
      </c>
      <c r="N2164" t="str">
        <f>"מטען מצברים 1039V517-001 ירוק"</f>
        <v>מטען מצברים 1039V517-001 ירוק</v>
      </c>
      <c r="O2164" s="2">
        <v>7200</v>
      </c>
      <c r="P2164" t="str">
        <f>"$"</f>
        <v>$</v>
      </c>
      <c r="Q2164" t="str">
        <f>"118"</f>
        <v>118</v>
      </c>
      <c r="R2164" t="str">
        <f>"מערכות"</f>
        <v>מערכות</v>
      </c>
      <c r="S2164" t="str">
        <f>"040"</f>
        <v>040</v>
      </c>
      <c r="T2164" t="str">
        <f>"עמר ליגל"</f>
        <v>עמר ליגל</v>
      </c>
      <c r="U2164">
        <v>0</v>
      </c>
      <c r="V2164">
        <v>0</v>
      </c>
      <c r="W2164" s="2">
        <v>7200</v>
      </c>
      <c r="X2164" s="2">
        <v>7200</v>
      </c>
      <c r="Z2164" t="str">
        <f>"Y"</f>
        <v>Y</v>
      </c>
      <c r="AA2164">
        <v>0</v>
      </c>
      <c r="AC2164">
        <v>0</v>
      </c>
      <c r="AE2164">
        <v>0</v>
      </c>
      <c r="AF2164">
        <v>0</v>
      </c>
      <c r="AG2164" s="2">
        <v>24624</v>
      </c>
      <c r="AH2164">
        <v>0</v>
      </c>
      <c r="AI2164" s="2">
        <v>24624</v>
      </c>
      <c r="AJ2164" s="2">
        <v>7200</v>
      </c>
      <c r="AK2164" s="2">
        <v>7200</v>
      </c>
      <c r="AL2164" t="str">
        <f>"$"</f>
        <v>$</v>
      </c>
    </row>
    <row r="2165" spans="1:38" x14ac:dyDescent="0.3">
      <c r="A2165" t="str">
        <f>"SO22000456"</f>
        <v>SO22000456</v>
      </c>
      <c r="B2165" t="str">
        <f>"E000374279"</f>
        <v>E000374279</v>
      </c>
      <c r="C2165" t="str">
        <f>"מאושרת לחיוב"</f>
        <v>מאושרת לחיוב</v>
      </c>
      <c r="E2165" s="3">
        <v>44906</v>
      </c>
      <c r="F2165" s="3">
        <v>45076</v>
      </c>
      <c r="G2165" t="str">
        <f>"700065"</f>
        <v>700065</v>
      </c>
      <c r="H2165" t="str">
        <f>"אלתא מערכות בע""מ"</f>
        <v>אלתא מערכות בע"מ</v>
      </c>
      <c r="I2165" t="str">
        <f>"רחמים זרוק"</f>
        <v>רחמים זרוק</v>
      </c>
      <c r="J2165" t="str">
        <f>"OP-AR01083"</f>
        <v>OP-AR01083</v>
      </c>
      <c r="K2165" s="1" t="str">
        <f>"1036C960-001 HVJB_N"</f>
        <v>1036C960-001 HVJB_N</v>
      </c>
      <c r="L2165">
        <v>1</v>
      </c>
      <c r="M2165" t="str">
        <f>"PR22000726"</f>
        <v>PR22000726</v>
      </c>
      <c r="N2165" t="str">
        <f>"1036C960-001 HVJB_N"</f>
        <v>1036C960-001 HVJB_N</v>
      </c>
      <c r="O2165" s="2">
        <v>8779</v>
      </c>
      <c r="P2165" t="str">
        <f>"$"</f>
        <v>$</v>
      </c>
      <c r="Q2165" t="str">
        <f>"118"</f>
        <v>118</v>
      </c>
      <c r="R2165" t="str">
        <f>"מערכות"</f>
        <v>מערכות</v>
      </c>
      <c r="S2165" t="str">
        <f>"040"</f>
        <v>040</v>
      </c>
      <c r="T2165" t="str">
        <f>"עמר ליגל"</f>
        <v>עמר ליגל</v>
      </c>
      <c r="U2165">
        <v>0</v>
      </c>
      <c r="V2165">
        <v>0</v>
      </c>
      <c r="W2165" s="2">
        <v>8779</v>
      </c>
      <c r="X2165" s="2">
        <v>8779</v>
      </c>
      <c r="AA2165">
        <v>1</v>
      </c>
      <c r="AC2165">
        <v>0</v>
      </c>
      <c r="AE2165">
        <v>0</v>
      </c>
      <c r="AF2165">
        <v>0</v>
      </c>
      <c r="AG2165" s="2">
        <v>30024.18</v>
      </c>
      <c r="AH2165">
        <v>0</v>
      </c>
      <c r="AI2165" s="2">
        <v>30024.18</v>
      </c>
      <c r="AJ2165" s="2">
        <v>8779</v>
      </c>
      <c r="AK2165" s="2">
        <v>8779</v>
      </c>
      <c r="AL2165" t="str">
        <f>"$"</f>
        <v>$</v>
      </c>
    </row>
    <row r="2166" spans="1:38" x14ac:dyDescent="0.3">
      <c r="A2166" t="str">
        <f>"SO22000456"</f>
        <v>SO22000456</v>
      </c>
      <c r="B2166" t="str">
        <f>"E000374279"</f>
        <v>E000374279</v>
      </c>
      <c r="C2166" t="str">
        <f>"מאושרת לחיוב"</f>
        <v>מאושרת לחיוב</v>
      </c>
      <c r="E2166" s="3">
        <v>44906</v>
      </c>
      <c r="F2166" s="3">
        <v>45076</v>
      </c>
      <c r="G2166" t="str">
        <f>"700065"</f>
        <v>700065</v>
      </c>
      <c r="H2166" t="str">
        <f>"אלתא מערכות בע""מ"</f>
        <v>אלתא מערכות בע"מ</v>
      </c>
      <c r="I2166" t="str">
        <f>"רחמים זרוק"</f>
        <v>רחמים זרוק</v>
      </c>
      <c r="J2166" t="str">
        <f>"OP-AR01083"</f>
        <v>OP-AR01083</v>
      </c>
      <c r="K2166" s="1" t="str">
        <f>"1036C960-001 HVJB_N"</f>
        <v>1036C960-001 HVJB_N</v>
      </c>
      <c r="L2166">
        <v>1</v>
      </c>
      <c r="M2166" t="str">
        <f>"PR22000726"</f>
        <v>PR22000726</v>
      </c>
      <c r="N2166" t="str">
        <f>"1036C960-001 HVJB_N"</f>
        <v>1036C960-001 HVJB_N</v>
      </c>
      <c r="O2166" s="2">
        <v>8779</v>
      </c>
      <c r="P2166" t="str">
        <f>"$"</f>
        <v>$</v>
      </c>
      <c r="Q2166" t="str">
        <f>"118"</f>
        <v>118</v>
      </c>
      <c r="R2166" t="str">
        <f>"מערכות"</f>
        <v>מערכות</v>
      </c>
      <c r="S2166" t="str">
        <f>"040"</f>
        <v>040</v>
      </c>
      <c r="T2166" t="str">
        <f>"עמר ליגל"</f>
        <v>עמר ליגל</v>
      </c>
      <c r="U2166">
        <v>0</v>
      </c>
      <c r="V2166">
        <v>0</v>
      </c>
      <c r="W2166" s="2">
        <v>8779</v>
      </c>
      <c r="X2166" s="2">
        <v>8779</v>
      </c>
      <c r="AA2166">
        <v>1</v>
      </c>
      <c r="AC2166">
        <v>0</v>
      </c>
      <c r="AE2166">
        <v>0</v>
      </c>
      <c r="AF2166">
        <v>0</v>
      </c>
      <c r="AG2166" s="2">
        <v>30024.18</v>
      </c>
      <c r="AH2166">
        <v>0</v>
      </c>
      <c r="AI2166" s="2">
        <v>30024.18</v>
      </c>
      <c r="AJ2166" s="2">
        <v>8779</v>
      </c>
      <c r="AK2166" s="2">
        <v>8779</v>
      </c>
      <c r="AL2166" t="str">
        <f>"$"</f>
        <v>$</v>
      </c>
    </row>
    <row r="2167" spans="1:38" x14ac:dyDescent="0.3">
      <c r="A2167" t="str">
        <f>"SO22000456"</f>
        <v>SO22000456</v>
      </c>
      <c r="B2167" t="str">
        <f>"E000374279"</f>
        <v>E000374279</v>
      </c>
      <c r="C2167" t="str">
        <f>"מאושרת לחיוב"</f>
        <v>מאושרת לחיוב</v>
      </c>
      <c r="E2167" s="3">
        <v>44906</v>
      </c>
      <c r="F2167" s="3">
        <v>45076</v>
      </c>
      <c r="G2167" t="str">
        <f>"700065"</f>
        <v>700065</v>
      </c>
      <c r="H2167" t="str">
        <f>"אלתא מערכות בע""מ"</f>
        <v>אלתא מערכות בע"מ</v>
      </c>
      <c r="I2167" t="str">
        <f>"רחמים זרוק"</f>
        <v>רחמים זרוק</v>
      </c>
      <c r="J2167" t="str">
        <f>"OP-AR01083"</f>
        <v>OP-AR01083</v>
      </c>
      <c r="K2167" s="1" t="str">
        <f>"1036C960-001 HVJB_N"</f>
        <v>1036C960-001 HVJB_N</v>
      </c>
      <c r="L2167">
        <v>2</v>
      </c>
      <c r="M2167" t="str">
        <f>"PR22000726"</f>
        <v>PR22000726</v>
      </c>
      <c r="N2167" t="str">
        <f>"1036C960-001 HVJB_N"</f>
        <v>1036C960-001 HVJB_N</v>
      </c>
      <c r="O2167" s="2">
        <v>8779</v>
      </c>
      <c r="P2167" t="str">
        <f>"$"</f>
        <v>$</v>
      </c>
      <c r="Q2167" t="str">
        <f>"118"</f>
        <v>118</v>
      </c>
      <c r="R2167" t="str">
        <f>"מערכות"</f>
        <v>מערכות</v>
      </c>
      <c r="S2167" t="str">
        <f>"040"</f>
        <v>040</v>
      </c>
      <c r="T2167" t="str">
        <f>"עמר ליגל"</f>
        <v>עמר ליגל</v>
      </c>
      <c r="U2167">
        <v>0</v>
      </c>
      <c r="V2167">
        <v>0</v>
      </c>
      <c r="W2167" s="2">
        <v>8779</v>
      </c>
      <c r="X2167" s="2">
        <v>17558</v>
      </c>
      <c r="AA2167">
        <v>2</v>
      </c>
      <c r="AC2167">
        <v>0</v>
      </c>
      <c r="AE2167">
        <v>0</v>
      </c>
      <c r="AF2167">
        <v>0</v>
      </c>
      <c r="AG2167" s="2">
        <v>30024.18</v>
      </c>
      <c r="AH2167">
        <v>0</v>
      </c>
      <c r="AI2167" s="2">
        <v>60048.36</v>
      </c>
      <c r="AJ2167" s="2">
        <v>17558</v>
      </c>
      <c r="AK2167" s="2">
        <v>17558</v>
      </c>
      <c r="AL2167" t="str">
        <f>"$"</f>
        <v>$</v>
      </c>
    </row>
    <row r="2168" spans="1:38" x14ac:dyDescent="0.3">
      <c r="A2168" t="str">
        <f>"SO22000456"</f>
        <v>SO22000456</v>
      </c>
      <c r="B2168" t="str">
        <f>"E000374279"</f>
        <v>E000374279</v>
      </c>
      <c r="C2168" t="str">
        <f>"מאושרת לחיוב"</f>
        <v>מאושרת לחיוב</v>
      </c>
      <c r="E2168" s="3">
        <v>44906</v>
      </c>
      <c r="F2168" s="3">
        <v>45076</v>
      </c>
      <c r="G2168" t="str">
        <f>"700065"</f>
        <v>700065</v>
      </c>
      <c r="H2168" t="str">
        <f>"אלתא מערכות בע""מ"</f>
        <v>אלתא מערכות בע"מ</v>
      </c>
      <c r="I2168" t="str">
        <f>"רחמים זרוק"</f>
        <v>רחמים זרוק</v>
      </c>
      <c r="J2168" t="str">
        <f>"OP-AR01083"</f>
        <v>OP-AR01083</v>
      </c>
      <c r="K2168" s="1" t="str">
        <f>"1036C960-001 HVJB_N"</f>
        <v>1036C960-001 HVJB_N</v>
      </c>
      <c r="L2168">
        <v>1</v>
      </c>
      <c r="O2168" s="2">
        <v>8779</v>
      </c>
      <c r="P2168" t="str">
        <f>"$"</f>
        <v>$</v>
      </c>
      <c r="Q2168" t="str">
        <f>"118"</f>
        <v>118</v>
      </c>
      <c r="R2168" t="str">
        <f>"מערכות"</f>
        <v>מערכות</v>
      </c>
      <c r="S2168" t="str">
        <f>"040"</f>
        <v>040</v>
      </c>
      <c r="T2168" t="str">
        <f>"עמר ליגל"</f>
        <v>עמר ליגל</v>
      </c>
      <c r="U2168">
        <v>0</v>
      </c>
      <c r="V2168">
        <v>0</v>
      </c>
      <c r="W2168" s="2">
        <v>8779</v>
      </c>
      <c r="X2168" s="2">
        <v>8779</v>
      </c>
      <c r="AA2168">
        <v>1</v>
      </c>
      <c r="AC2168">
        <v>0</v>
      </c>
      <c r="AE2168">
        <v>0</v>
      </c>
      <c r="AF2168">
        <v>0</v>
      </c>
      <c r="AG2168" s="2">
        <v>30024.18</v>
      </c>
      <c r="AH2168">
        <v>0</v>
      </c>
      <c r="AI2168" s="2">
        <v>30024.18</v>
      </c>
      <c r="AJ2168" s="2">
        <v>8779</v>
      </c>
      <c r="AK2168" s="2">
        <v>8779</v>
      </c>
      <c r="AL2168" t="str">
        <f>"$"</f>
        <v>$</v>
      </c>
    </row>
    <row r="2169" spans="1:38" x14ac:dyDescent="0.3">
      <c r="A2169" t="str">
        <f>"SO22000456"</f>
        <v>SO22000456</v>
      </c>
      <c r="B2169" t="str">
        <f>"E000374279"</f>
        <v>E000374279</v>
      </c>
      <c r="C2169" t="str">
        <f>"מאושרת לחיוב"</f>
        <v>מאושרת לחיוב</v>
      </c>
      <c r="E2169" s="3">
        <v>44906</v>
      </c>
      <c r="F2169" s="3">
        <v>45076</v>
      </c>
      <c r="G2169" t="str">
        <f>"700065"</f>
        <v>700065</v>
      </c>
      <c r="H2169" t="str">
        <f>"אלתא מערכות בע""מ"</f>
        <v>אלתא מערכות בע"מ</v>
      </c>
      <c r="I2169" t="str">
        <f>"רחמים זרוק"</f>
        <v>רחמים זרוק</v>
      </c>
      <c r="J2169" t="str">
        <f>"OP-AR01083"</f>
        <v>OP-AR01083</v>
      </c>
      <c r="K2169" s="1" t="str">
        <f>"1036C960-001 HVJB_N"</f>
        <v>1036C960-001 HVJB_N</v>
      </c>
      <c r="L2169">
        <v>1</v>
      </c>
      <c r="O2169" s="2">
        <v>8779</v>
      </c>
      <c r="P2169" t="str">
        <f>"$"</f>
        <v>$</v>
      </c>
      <c r="Q2169" t="str">
        <f>"118"</f>
        <v>118</v>
      </c>
      <c r="R2169" t="str">
        <f>"מערכות"</f>
        <v>מערכות</v>
      </c>
      <c r="S2169" t="str">
        <f>"040"</f>
        <v>040</v>
      </c>
      <c r="T2169" t="str">
        <f>"עמר ליגל"</f>
        <v>עמר ליגל</v>
      </c>
      <c r="U2169">
        <v>0</v>
      </c>
      <c r="V2169">
        <v>0</v>
      </c>
      <c r="W2169" s="2">
        <v>8779</v>
      </c>
      <c r="X2169" s="2">
        <v>8779</v>
      </c>
      <c r="AA2169">
        <v>1</v>
      </c>
      <c r="AC2169">
        <v>0</v>
      </c>
      <c r="AE2169">
        <v>0</v>
      </c>
      <c r="AF2169">
        <v>0</v>
      </c>
      <c r="AG2169" s="2">
        <v>30024.18</v>
      </c>
      <c r="AH2169">
        <v>0</v>
      </c>
      <c r="AI2169" s="2">
        <v>30024.18</v>
      </c>
      <c r="AJ2169" s="2">
        <v>8779</v>
      </c>
      <c r="AK2169" s="2">
        <v>8779</v>
      </c>
      <c r="AL2169" t="str">
        <f>"$"</f>
        <v>$</v>
      </c>
    </row>
    <row r="2170" spans="1:38" x14ac:dyDescent="0.3">
      <c r="A2170" t="str">
        <f>"SO22000457"</f>
        <v>SO22000457</v>
      </c>
      <c r="B2170" t="str">
        <f>"E000379161"</f>
        <v>E000379161</v>
      </c>
      <c r="C2170" t="str">
        <f>"הרכבה חלקית"</f>
        <v>הרכבה חלקית</v>
      </c>
      <c r="E2170" s="3">
        <v>44907</v>
      </c>
      <c r="F2170" s="3">
        <v>45049</v>
      </c>
      <c r="G2170" t="str">
        <f>"700065"</f>
        <v>700065</v>
      </c>
      <c r="H2170" t="str">
        <f>"אלתא מערכות בע""מ"</f>
        <v>אלתא מערכות בע"מ</v>
      </c>
      <c r="I2170" t="str">
        <f>"רחמים זרוק"</f>
        <v>רחמים זרוק</v>
      </c>
      <c r="J2170" t="str">
        <f>"OP-AR03452"</f>
        <v>OP-AR03452</v>
      </c>
      <c r="K2170" s="1" t="str">
        <f>"1040L221-001    POWER SUPPLY A/C CABLE W1"</f>
        <v>1040L221-001    POWER SUPPLY A/C CABLE W1</v>
      </c>
      <c r="L2170">
        <v>2</v>
      </c>
      <c r="M2170" t="str">
        <f>"PR22000898"</f>
        <v>PR22000898</v>
      </c>
      <c r="N2170" t="str">
        <f>"E000379161"</f>
        <v>E000379161</v>
      </c>
      <c r="O2170">
        <v>751.27</v>
      </c>
      <c r="P2170" t="str">
        <f>"$"</f>
        <v>$</v>
      </c>
      <c r="Q2170" t="str">
        <f>"117"</f>
        <v>117</v>
      </c>
      <c r="R2170" t="str">
        <f>"רתמות"</f>
        <v>רתמות</v>
      </c>
      <c r="S2170" t="str">
        <f>"040"</f>
        <v>040</v>
      </c>
      <c r="T2170" t="str">
        <f>"עמר ליגל"</f>
        <v>עמר ליגל</v>
      </c>
      <c r="U2170">
        <v>0</v>
      </c>
      <c r="V2170">
        <v>0</v>
      </c>
      <c r="W2170">
        <v>751.27</v>
      </c>
      <c r="X2170" s="2">
        <v>1502.54</v>
      </c>
      <c r="Z2170" t="str">
        <f>"Y"</f>
        <v>Y</v>
      </c>
      <c r="AA2170">
        <v>0</v>
      </c>
      <c r="AC2170">
        <v>0</v>
      </c>
      <c r="AE2170">
        <v>0</v>
      </c>
      <c r="AF2170">
        <v>0</v>
      </c>
      <c r="AG2170" s="2">
        <v>2575.35</v>
      </c>
      <c r="AH2170">
        <v>0</v>
      </c>
      <c r="AI2170" s="2">
        <v>5150.71</v>
      </c>
      <c r="AJ2170" s="2">
        <v>1502.54</v>
      </c>
      <c r="AK2170" s="2">
        <v>1502.54</v>
      </c>
      <c r="AL2170" t="str">
        <f>"$"</f>
        <v>$</v>
      </c>
    </row>
    <row r="2171" spans="1:38" x14ac:dyDescent="0.3">
      <c r="A2171" t="str">
        <f>"SO22000457"</f>
        <v>SO22000457</v>
      </c>
      <c r="B2171" t="str">
        <f>"E000379161"</f>
        <v>E000379161</v>
      </c>
      <c r="C2171" t="str">
        <f>"הרכבה חלקית"</f>
        <v>הרכבה חלקית</v>
      </c>
      <c r="E2171" s="3">
        <v>44907</v>
      </c>
      <c r="F2171" s="3">
        <v>45049</v>
      </c>
      <c r="G2171" t="str">
        <f>"700065"</f>
        <v>700065</v>
      </c>
      <c r="H2171" t="str">
        <f>"אלתא מערכות בע""מ"</f>
        <v>אלתא מערכות בע"מ</v>
      </c>
      <c r="I2171" t="str">
        <f>"רחמים זרוק"</f>
        <v>רחמים זרוק</v>
      </c>
      <c r="J2171" t="str">
        <f>"OP-AR03453"</f>
        <v>OP-AR03453</v>
      </c>
      <c r="K2171" s="1" t="str">
        <f>"1040L222-001    P.S TO TRU D/C CABLE W2"</f>
        <v>1040L222-001    P.S TO TRU D/C CABLE W2</v>
      </c>
      <c r="L2171">
        <v>3</v>
      </c>
      <c r="M2171" t="str">
        <f>"PR22000898"</f>
        <v>PR22000898</v>
      </c>
      <c r="N2171" t="str">
        <f>"E000379161"</f>
        <v>E000379161</v>
      </c>
      <c r="O2171">
        <v>874.91</v>
      </c>
      <c r="P2171" t="str">
        <f>"$"</f>
        <v>$</v>
      </c>
      <c r="Q2171" t="str">
        <f>"117"</f>
        <v>117</v>
      </c>
      <c r="R2171" t="str">
        <f>"רתמות"</f>
        <v>רתמות</v>
      </c>
      <c r="S2171" t="str">
        <f>"040"</f>
        <v>040</v>
      </c>
      <c r="T2171" t="str">
        <f>"עמר ליגל"</f>
        <v>עמר ליגל</v>
      </c>
      <c r="U2171">
        <v>0</v>
      </c>
      <c r="V2171">
        <v>0</v>
      </c>
      <c r="W2171">
        <v>874.91</v>
      </c>
      <c r="X2171" s="2">
        <v>2624.73</v>
      </c>
      <c r="Z2171" t="str">
        <f>"Y"</f>
        <v>Y</v>
      </c>
      <c r="AA2171">
        <v>0</v>
      </c>
      <c r="AC2171">
        <v>0</v>
      </c>
      <c r="AE2171">
        <v>0</v>
      </c>
      <c r="AF2171">
        <v>0</v>
      </c>
      <c r="AG2171" s="2">
        <v>2999.19</v>
      </c>
      <c r="AH2171">
        <v>0</v>
      </c>
      <c r="AI2171" s="2">
        <v>8997.57</v>
      </c>
      <c r="AJ2171" s="2">
        <v>2624.73</v>
      </c>
      <c r="AK2171" s="2">
        <v>2624.73</v>
      </c>
      <c r="AL2171" t="str">
        <f>"$"</f>
        <v>$</v>
      </c>
    </row>
    <row r="2172" spans="1:38" x14ac:dyDescent="0.3">
      <c r="A2172" t="str">
        <f>"SO22000457"</f>
        <v>SO22000457</v>
      </c>
      <c r="B2172" t="str">
        <f>"E000379161"</f>
        <v>E000379161</v>
      </c>
      <c r="C2172" t="str">
        <f>"הרכבה חלקית"</f>
        <v>הרכבה חלקית</v>
      </c>
      <c r="E2172" s="3">
        <v>44907</v>
      </c>
      <c r="F2172" s="3">
        <v>45049</v>
      </c>
      <c r="G2172" t="str">
        <f>"700065"</f>
        <v>700065</v>
      </c>
      <c r="H2172" t="str">
        <f>"אלתא מערכות בע""מ"</f>
        <v>אלתא מערכות בע"מ</v>
      </c>
      <c r="I2172" t="str">
        <f>"רחמים זרוק"</f>
        <v>רחמים זרוק</v>
      </c>
      <c r="J2172" t="str">
        <f>"OP-AR03454"</f>
        <v>OP-AR03454</v>
      </c>
      <c r="K2172" s="1" t="str">
        <f>"1040L227-001    POWER SUPPLY A/C 63A CABLE W7"</f>
        <v>1040L227-001    POWER SUPPLY A/C 63A CABLE W7</v>
      </c>
      <c r="L2172">
        <v>1</v>
      </c>
      <c r="M2172" t="str">
        <f>"PR22000898"</f>
        <v>PR22000898</v>
      </c>
      <c r="N2172" t="str">
        <f>"E000379161"</f>
        <v>E000379161</v>
      </c>
      <c r="O2172">
        <v>771.12</v>
      </c>
      <c r="P2172" t="str">
        <f>"$"</f>
        <v>$</v>
      </c>
      <c r="Q2172" t="str">
        <f>"117"</f>
        <v>117</v>
      </c>
      <c r="R2172" t="str">
        <f>"רתמות"</f>
        <v>רתמות</v>
      </c>
      <c r="S2172" t="str">
        <f>"040"</f>
        <v>040</v>
      </c>
      <c r="T2172" t="str">
        <f>"עמר ליגל"</f>
        <v>עמר ליגל</v>
      </c>
      <c r="U2172">
        <v>0</v>
      </c>
      <c r="V2172">
        <v>0</v>
      </c>
      <c r="W2172">
        <v>771.12</v>
      </c>
      <c r="X2172">
        <v>771.12</v>
      </c>
      <c r="Z2172" t="str">
        <f>"Y"</f>
        <v>Y</v>
      </c>
      <c r="AA2172">
        <v>0</v>
      </c>
      <c r="AC2172">
        <v>0</v>
      </c>
      <c r="AE2172">
        <v>0</v>
      </c>
      <c r="AF2172">
        <v>0</v>
      </c>
      <c r="AG2172" s="2">
        <v>2643.4</v>
      </c>
      <c r="AH2172">
        <v>0</v>
      </c>
      <c r="AI2172" s="2">
        <v>2643.4</v>
      </c>
      <c r="AJ2172">
        <v>771.12</v>
      </c>
      <c r="AK2172">
        <v>771.12</v>
      </c>
      <c r="AL2172" t="str">
        <f>"$"</f>
        <v>$</v>
      </c>
    </row>
    <row r="2173" spans="1:38" x14ac:dyDescent="0.3">
      <c r="A2173" t="str">
        <f>"SO22000457"</f>
        <v>SO22000457</v>
      </c>
      <c r="B2173" t="str">
        <f>"E000379161"</f>
        <v>E000379161</v>
      </c>
      <c r="C2173" t="str">
        <f>"הרכבה חלקית"</f>
        <v>הרכבה חלקית</v>
      </c>
      <c r="E2173" s="3">
        <v>44907</v>
      </c>
      <c r="F2173" s="3">
        <v>45049</v>
      </c>
      <c r="G2173" t="str">
        <f>"700065"</f>
        <v>700065</v>
      </c>
      <c r="H2173" t="str">
        <f>"אלתא מערכות בע""מ"</f>
        <v>אלתא מערכות בע"מ</v>
      </c>
      <c r="I2173" t="str">
        <f>"רחמים זרוק"</f>
        <v>רחמים זרוק</v>
      </c>
      <c r="J2173" t="str">
        <f>"OP-AR03455"</f>
        <v>OP-AR03455</v>
      </c>
      <c r="K2173" s="1" t="str">
        <f>"1040L228-001    TRU D/C TO EXT P.S CABLE W8"</f>
        <v>1040L228-001    TRU D/C TO EXT P.S CABLE W8</v>
      </c>
      <c r="L2173">
        <v>2</v>
      </c>
      <c r="M2173" t="str">
        <f>"PR22000898"</f>
        <v>PR22000898</v>
      </c>
      <c r="N2173" t="str">
        <f>"E000379161"</f>
        <v>E000379161</v>
      </c>
      <c r="O2173">
        <v>596.03</v>
      </c>
      <c r="P2173" t="str">
        <f>"$"</f>
        <v>$</v>
      </c>
      <c r="Q2173" t="str">
        <f>"117"</f>
        <v>117</v>
      </c>
      <c r="R2173" t="str">
        <f>"רתמות"</f>
        <v>רתמות</v>
      </c>
      <c r="S2173" t="str">
        <f>"040"</f>
        <v>040</v>
      </c>
      <c r="T2173" t="str">
        <f>"עמר ליגל"</f>
        <v>עמר ליגל</v>
      </c>
      <c r="U2173">
        <v>0</v>
      </c>
      <c r="V2173">
        <v>0</v>
      </c>
      <c r="W2173">
        <v>596.03</v>
      </c>
      <c r="X2173" s="2">
        <v>1192.06</v>
      </c>
      <c r="Z2173" t="str">
        <f>"Y"</f>
        <v>Y</v>
      </c>
      <c r="AA2173">
        <v>0</v>
      </c>
      <c r="AC2173">
        <v>0</v>
      </c>
      <c r="AE2173">
        <v>0</v>
      </c>
      <c r="AF2173">
        <v>0</v>
      </c>
      <c r="AG2173" s="2">
        <v>2043.19</v>
      </c>
      <c r="AH2173">
        <v>0</v>
      </c>
      <c r="AI2173" s="2">
        <v>4086.38</v>
      </c>
      <c r="AJ2173" s="2">
        <v>1192.06</v>
      </c>
      <c r="AK2173" s="2">
        <v>1192.06</v>
      </c>
      <c r="AL2173" t="str">
        <f>"$"</f>
        <v>$</v>
      </c>
    </row>
    <row r="2174" spans="1:38" x14ac:dyDescent="0.3">
      <c r="A2174" t="str">
        <f>"SO22000457"</f>
        <v>SO22000457</v>
      </c>
      <c r="B2174" t="str">
        <f>"E000379161"</f>
        <v>E000379161</v>
      </c>
      <c r="C2174" t="str">
        <f>"הרכבה חלקית"</f>
        <v>הרכבה חלקית</v>
      </c>
      <c r="E2174" s="3">
        <v>44907</v>
      </c>
      <c r="F2174" s="3">
        <v>45049</v>
      </c>
      <c r="G2174" t="str">
        <f>"700065"</f>
        <v>700065</v>
      </c>
      <c r="H2174" t="str">
        <f>"אלתא מערכות בע""מ"</f>
        <v>אלתא מערכות בע"מ</v>
      </c>
      <c r="I2174" t="str">
        <f>"רחמים זרוק"</f>
        <v>רחמים זרוק</v>
      </c>
      <c r="J2174" t="str">
        <f>"OP-AR03456"</f>
        <v>OP-AR03456</v>
      </c>
      <c r="K2174" s="1" t="str">
        <f>"1040L229-001    TRU CONTROL CABLE W9"</f>
        <v>1040L229-001    TRU CONTROL CABLE W9</v>
      </c>
      <c r="L2174">
        <v>1</v>
      </c>
      <c r="M2174" t="str">
        <f>"PR22000898"</f>
        <v>PR22000898</v>
      </c>
      <c r="N2174" t="str">
        <f>"E000379161"</f>
        <v>E000379161</v>
      </c>
      <c r="O2174">
        <v>633.76</v>
      </c>
      <c r="P2174" t="str">
        <f>"$"</f>
        <v>$</v>
      </c>
      <c r="Q2174" t="str">
        <f>"117"</f>
        <v>117</v>
      </c>
      <c r="R2174" t="str">
        <f>"רתמות"</f>
        <v>רתמות</v>
      </c>
      <c r="S2174" t="str">
        <f>"040"</f>
        <v>040</v>
      </c>
      <c r="T2174" t="str">
        <f>"עמר ליגל"</f>
        <v>עמר ליגל</v>
      </c>
      <c r="U2174">
        <v>0</v>
      </c>
      <c r="V2174">
        <v>0</v>
      </c>
      <c r="W2174">
        <v>633.76</v>
      </c>
      <c r="X2174">
        <v>633.76</v>
      </c>
      <c r="Z2174" t="str">
        <f>"Y"</f>
        <v>Y</v>
      </c>
      <c r="AA2174">
        <v>0</v>
      </c>
      <c r="AC2174">
        <v>0</v>
      </c>
      <c r="AE2174">
        <v>0</v>
      </c>
      <c r="AF2174">
        <v>0</v>
      </c>
      <c r="AG2174" s="2">
        <v>2172.5300000000002</v>
      </c>
      <c r="AH2174">
        <v>0</v>
      </c>
      <c r="AI2174" s="2">
        <v>2172.5300000000002</v>
      </c>
      <c r="AJ2174">
        <v>633.76</v>
      </c>
      <c r="AK2174">
        <v>633.76</v>
      </c>
      <c r="AL2174" t="str">
        <f>"$"</f>
        <v>$</v>
      </c>
    </row>
    <row r="2175" spans="1:38" x14ac:dyDescent="0.3">
      <c r="A2175" t="str">
        <f>"SO22000457"</f>
        <v>SO22000457</v>
      </c>
      <c r="B2175" t="str">
        <f>"E000379161"</f>
        <v>E000379161</v>
      </c>
      <c r="C2175" t="str">
        <f>"הרכבה חלקית"</f>
        <v>הרכבה חלקית</v>
      </c>
      <c r="E2175" s="3">
        <v>44907</v>
      </c>
      <c r="F2175" s="3">
        <v>45049</v>
      </c>
      <c r="G2175" t="str">
        <f>"700065"</f>
        <v>700065</v>
      </c>
      <c r="H2175" t="str">
        <f>"אלתא מערכות בע""מ"</f>
        <v>אלתא מערכות בע"מ</v>
      </c>
      <c r="I2175" t="str">
        <f>"רחמים זרוק"</f>
        <v>רחמים זרוק</v>
      </c>
      <c r="J2175" t="str">
        <f>"OP-AR03457"</f>
        <v>OP-AR03457</v>
      </c>
      <c r="K2175" s="1" t="str">
        <f>"1040L230-001    P.S TO TRU 0.5MT D/C CABLE W10"</f>
        <v>1040L230-001    P.S TO TRU 0.5MT D/C CABLE W10</v>
      </c>
      <c r="L2175">
        <v>1</v>
      </c>
      <c r="M2175" t="str">
        <f>"PR22000898"</f>
        <v>PR22000898</v>
      </c>
      <c r="N2175" t="str">
        <f>"E000379161"</f>
        <v>E000379161</v>
      </c>
      <c r="O2175">
        <v>635.73</v>
      </c>
      <c r="P2175" t="str">
        <f>"$"</f>
        <v>$</v>
      </c>
      <c r="Q2175" t="str">
        <f>"117"</f>
        <v>117</v>
      </c>
      <c r="R2175" t="str">
        <f>"רתמות"</f>
        <v>רתמות</v>
      </c>
      <c r="S2175" t="str">
        <f>"040"</f>
        <v>040</v>
      </c>
      <c r="T2175" t="str">
        <f>"עמר ליגל"</f>
        <v>עמר ליגל</v>
      </c>
      <c r="U2175">
        <v>0</v>
      </c>
      <c r="V2175">
        <v>0</v>
      </c>
      <c r="W2175">
        <v>635.73</v>
      </c>
      <c r="X2175">
        <v>635.73</v>
      </c>
      <c r="Z2175" t="str">
        <f>"Y"</f>
        <v>Y</v>
      </c>
      <c r="AA2175">
        <v>0</v>
      </c>
      <c r="AC2175">
        <v>0</v>
      </c>
      <c r="AE2175">
        <v>0</v>
      </c>
      <c r="AF2175">
        <v>0</v>
      </c>
      <c r="AG2175" s="2">
        <v>2179.2800000000002</v>
      </c>
      <c r="AH2175">
        <v>0</v>
      </c>
      <c r="AI2175" s="2">
        <v>2179.2800000000002</v>
      </c>
      <c r="AJ2175">
        <v>635.73</v>
      </c>
      <c r="AK2175">
        <v>635.73</v>
      </c>
      <c r="AL2175" t="str">
        <f>"$"</f>
        <v>$</v>
      </c>
    </row>
    <row r="2176" spans="1:38" x14ac:dyDescent="0.3">
      <c r="A2176" t="str">
        <f>"SO22000457"</f>
        <v>SO22000457</v>
      </c>
      <c r="B2176" t="str">
        <f>"E000379161"</f>
        <v>E000379161</v>
      </c>
      <c r="C2176" t="str">
        <f>"הרכבה חלקית"</f>
        <v>הרכבה חלקית</v>
      </c>
      <c r="E2176" s="3">
        <v>44907</v>
      </c>
      <c r="F2176" s="3">
        <v>45049</v>
      </c>
      <c r="G2176" t="str">
        <f>"700065"</f>
        <v>700065</v>
      </c>
      <c r="H2176" t="str">
        <f>"אלתא מערכות בע""מ"</f>
        <v>אלתא מערכות בע"מ</v>
      </c>
      <c r="I2176" t="str">
        <f>"רחמים זרוק"</f>
        <v>רחמים זרוק</v>
      </c>
      <c r="J2176" t="str">
        <f>"OP-AR03458"</f>
        <v>OP-AR03458</v>
      </c>
      <c r="K2176" s="1" t="str">
        <f>"1040L231-001    TRU PS POWER CONTROL CABLE W12"</f>
        <v>1040L231-001    TRU PS POWER CONTROL CABLE W12</v>
      </c>
      <c r="L2176">
        <v>1</v>
      </c>
      <c r="M2176" t="str">
        <f>"PR22000898"</f>
        <v>PR22000898</v>
      </c>
      <c r="N2176" t="str">
        <f>"E000379161"</f>
        <v>E000379161</v>
      </c>
      <c r="O2176" s="2">
        <v>1325.78</v>
      </c>
      <c r="P2176" t="str">
        <f>"$"</f>
        <v>$</v>
      </c>
      <c r="Q2176" t="str">
        <f>"117"</f>
        <v>117</v>
      </c>
      <c r="R2176" t="str">
        <f>"רתמות"</f>
        <v>רתמות</v>
      </c>
      <c r="S2176" t="str">
        <f>"040"</f>
        <v>040</v>
      </c>
      <c r="T2176" t="str">
        <f>"עמר ליגל"</f>
        <v>עמר ליגל</v>
      </c>
      <c r="U2176">
        <v>0</v>
      </c>
      <c r="V2176">
        <v>0</v>
      </c>
      <c r="W2176" s="2">
        <v>1325.78</v>
      </c>
      <c r="X2176" s="2">
        <v>1325.78</v>
      </c>
      <c r="Z2176" t="str">
        <f>"Y"</f>
        <v>Y</v>
      </c>
      <c r="AA2176">
        <v>0</v>
      </c>
      <c r="AC2176">
        <v>0</v>
      </c>
      <c r="AE2176">
        <v>0</v>
      </c>
      <c r="AF2176">
        <v>0</v>
      </c>
      <c r="AG2176" s="2">
        <v>4544.7700000000004</v>
      </c>
      <c r="AH2176">
        <v>0</v>
      </c>
      <c r="AI2176" s="2">
        <v>4544.7700000000004</v>
      </c>
      <c r="AJ2176" s="2">
        <v>1325.78</v>
      </c>
      <c r="AK2176" s="2">
        <v>1325.78</v>
      </c>
      <c r="AL2176" t="str">
        <f>"$"</f>
        <v>$</v>
      </c>
    </row>
    <row r="2177" spans="1:38" x14ac:dyDescent="0.3">
      <c r="A2177" t="str">
        <f>"SO22000457"</f>
        <v>SO22000457</v>
      </c>
      <c r="B2177" t="str">
        <f>"E000379161"</f>
        <v>E000379161</v>
      </c>
      <c r="C2177" t="str">
        <f>"הרכבה חלקית"</f>
        <v>הרכבה חלקית</v>
      </c>
      <c r="E2177" s="3">
        <v>44907</v>
      </c>
      <c r="F2177" s="3">
        <v>45049</v>
      </c>
      <c r="G2177" t="str">
        <f>"700065"</f>
        <v>700065</v>
      </c>
      <c r="H2177" t="str">
        <f>"אלתא מערכות בע""מ"</f>
        <v>אלתא מערכות בע"מ</v>
      </c>
      <c r="I2177" t="str">
        <f>"רחמים זרוק"</f>
        <v>רחמים זרוק</v>
      </c>
      <c r="J2177" t="str">
        <f>"OP-AR03459"</f>
        <v>OP-AR03459</v>
      </c>
      <c r="K2177" s="1" t="str">
        <f>"1040L233-001    TRU TEST CABLE W13"</f>
        <v>1040L233-001    TRU TEST CABLE W13</v>
      </c>
      <c r="L2177">
        <v>1</v>
      </c>
      <c r="M2177" t="str">
        <f>"PR22000898"</f>
        <v>PR22000898</v>
      </c>
      <c r="N2177" t="str">
        <f>"E000379161"</f>
        <v>E000379161</v>
      </c>
      <c r="O2177">
        <v>871.88</v>
      </c>
      <c r="P2177" t="str">
        <f>"$"</f>
        <v>$</v>
      </c>
      <c r="Q2177" t="str">
        <f>"117"</f>
        <v>117</v>
      </c>
      <c r="R2177" t="str">
        <f>"רתמות"</f>
        <v>רתמות</v>
      </c>
      <c r="S2177" t="str">
        <f>"040"</f>
        <v>040</v>
      </c>
      <c r="T2177" t="str">
        <f>"עמר ליגל"</f>
        <v>עמר ליגל</v>
      </c>
      <c r="U2177">
        <v>0</v>
      </c>
      <c r="V2177">
        <v>0</v>
      </c>
      <c r="W2177">
        <v>871.88</v>
      </c>
      <c r="X2177">
        <v>871.88</v>
      </c>
      <c r="Z2177" t="str">
        <f>"Y"</f>
        <v>Y</v>
      </c>
      <c r="AA2177">
        <v>0</v>
      </c>
      <c r="AC2177">
        <v>0</v>
      </c>
      <c r="AE2177">
        <v>0</v>
      </c>
      <c r="AF2177">
        <v>0</v>
      </c>
      <c r="AG2177" s="2">
        <v>2988.8</v>
      </c>
      <c r="AH2177">
        <v>0</v>
      </c>
      <c r="AI2177" s="2">
        <v>2988.8</v>
      </c>
      <c r="AJ2177">
        <v>871.88</v>
      </c>
      <c r="AK2177">
        <v>871.88</v>
      </c>
      <c r="AL2177" t="str">
        <f>"$"</f>
        <v>$</v>
      </c>
    </row>
    <row r="2178" spans="1:38" x14ac:dyDescent="0.3">
      <c r="A2178" t="str">
        <f>"SO22000457"</f>
        <v>SO22000457</v>
      </c>
      <c r="B2178" t="str">
        <f>"E000379161"</f>
        <v>E000379161</v>
      </c>
      <c r="C2178" t="str">
        <f>"הרכבה חלקית"</f>
        <v>הרכבה חלקית</v>
      </c>
      <c r="E2178" s="3">
        <v>44907</v>
      </c>
      <c r="F2178" s="3">
        <v>45049</v>
      </c>
      <c r="G2178" t="str">
        <f>"700065"</f>
        <v>700065</v>
      </c>
      <c r="H2178" t="str">
        <f>"אלתא מערכות בע""מ"</f>
        <v>אלתא מערכות בע"מ</v>
      </c>
      <c r="I2178" t="str">
        <f>"רחמים זרוק"</f>
        <v>רחמים זרוק</v>
      </c>
      <c r="J2178" t="str">
        <f>"OP-AR03460"</f>
        <v>OP-AR03460</v>
      </c>
      <c r="K2178" s="1" t="str">
        <f>"1040L234-001    SDU DC SUPPLY 48VDC CABLE W14"</f>
        <v>1040L234-001    SDU DC SUPPLY 48VDC CABLE W14</v>
      </c>
      <c r="L2178">
        <v>1</v>
      </c>
      <c r="M2178" t="str">
        <f>"PR22000898"</f>
        <v>PR22000898</v>
      </c>
      <c r="N2178" t="str">
        <f>"E000379161"</f>
        <v>E000379161</v>
      </c>
      <c r="O2178">
        <v>169.57</v>
      </c>
      <c r="P2178" t="str">
        <f>"$"</f>
        <v>$</v>
      </c>
      <c r="Q2178" t="str">
        <f>"117"</f>
        <v>117</v>
      </c>
      <c r="R2178" t="str">
        <f>"רתמות"</f>
        <v>רתמות</v>
      </c>
      <c r="S2178" t="str">
        <f>"040"</f>
        <v>040</v>
      </c>
      <c r="T2178" t="str">
        <f>"עמר ליגל"</f>
        <v>עמר ליגל</v>
      </c>
      <c r="U2178">
        <v>0</v>
      </c>
      <c r="V2178">
        <v>0</v>
      </c>
      <c r="W2178">
        <v>169.57</v>
      </c>
      <c r="X2178">
        <v>169.57</v>
      </c>
      <c r="Z2178" t="str">
        <f>"Y"</f>
        <v>Y</v>
      </c>
      <c r="AA2178">
        <v>0</v>
      </c>
      <c r="AC2178">
        <v>0</v>
      </c>
      <c r="AE2178">
        <v>0</v>
      </c>
      <c r="AF2178">
        <v>0</v>
      </c>
      <c r="AG2178">
        <v>581.29</v>
      </c>
      <c r="AH2178">
        <v>0</v>
      </c>
      <c r="AI2178">
        <v>581.29</v>
      </c>
      <c r="AJ2178">
        <v>169.57</v>
      </c>
      <c r="AK2178">
        <v>169.57</v>
      </c>
      <c r="AL2178" t="str">
        <f>"$"</f>
        <v>$</v>
      </c>
    </row>
    <row r="2179" spans="1:38" x14ac:dyDescent="0.3">
      <c r="A2179" t="str">
        <f>"SO22000457"</f>
        <v>SO22000457</v>
      </c>
      <c r="B2179" t="str">
        <f>"E000379161"</f>
        <v>E000379161</v>
      </c>
      <c r="C2179" t="str">
        <f>"הרכבה חלקית"</f>
        <v>הרכבה חלקית</v>
      </c>
      <c r="E2179" s="3">
        <v>44907</v>
      </c>
      <c r="F2179" s="3">
        <v>45180</v>
      </c>
      <c r="G2179" t="str">
        <f>"700065"</f>
        <v>700065</v>
      </c>
      <c r="H2179" t="str">
        <f>"אלתא מערכות בע""מ"</f>
        <v>אלתא מערכות בע"מ</v>
      </c>
      <c r="I2179" t="str">
        <f>"רחמים זרוק"</f>
        <v>רחמים זרוק</v>
      </c>
      <c r="J2179" t="str">
        <f>"OP-AR03686"</f>
        <v>OP-AR03686</v>
      </c>
      <c r="K2179" s="1" t="str">
        <f>"1040L238-001    P.S TO TRU D/C CABLE W18"</f>
        <v>1040L238-001    P.S TO TRU D/C CABLE W18</v>
      </c>
      <c r="L2179">
        <v>3</v>
      </c>
      <c r="O2179">
        <v>874.91</v>
      </c>
      <c r="P2179" t="str">
        <f>"$"</f>
        <v>$</v>
      </c>
      <c r="Q2179" t="str">
        <f>"117"</f>
        <v>117</v>
      </c>
      <c r="R2179" t="str">
        <f>"רתמות"</f>
        <v>רתמות</v>
      </c>
      <c r="S2179" t="str">
        <f>"040"</f>
        <v>040</v>
      </c>
      <c r="T2179" t="str">
        <f>"עמר ליגל"</f>
        <v>עמר ליגל</v>
      </c>
      <c r="U2179">
        <v>0</v>
      </c>
      <c r="V2179">
        <v>0</v>
      </c>
      <c r="W2179">
        <v>874.91</v>
      </c>
      <c r="X2179" s="2">
        <v>2624.73</v>
      </c>
      <c r="AA2179">
        <v>1</v>
      </c>
      <c r="AC2179">
        <v>0</v>
      </c>
      <c r="AE2179">
        <v>0</v>
      </c>
      <c r="AF2179">
        <v>0</v>
      </c>
      <c r="AG2179" s="2">
        <v>2999.19</v>
      </c>
      <c r="AH2179">
        <v>0</v>
      </c>
      <c r="AI2179" s="2">
        <v>8997.57</v>
      </c>
      <c r="AJ2179" s="2">
        <v>2624.73</v>
      </c>
      <c r="AK2179" s="2">
        <v>2624.73</v>
      </c>
      <c r="AL2179" t="str">
        <f>"$"</f>
        <v>$</v>
      </c>
    </row>
    <row r="2180" spans="1:38" x14ac:dyDescent="0.3">
      <c r="A2180" t="str">
        <f>"SO22000463"</f>
        <v>SO22000463</v>
      </c>
      <c r="B2180" t="str">
        <f>"E000381458"</f>
        <v>E000381458</v>
      </c>
      <c r="C2180" t="str">
        <f>"מאושרת לחיוב"</f>
        <v>מאושרת לחיוב</v>
      </c>
      <c r="E2180" s="3">
        <v>44913</v>
      </c>
      <c r="F2180" s="3">
        <v>45000</v>
      </c>
      <c r="G2180" t="str">
        <f>"700065"</f>
        <v>700065</v>
      </c>
      <c r="H2180" t="str">
        <f>"אלתא מערכות בע""מ"</f>
        <v>אלתא מערכות בע"מ</v>
      </c>
      <c r="I2180" t="str">
        <f>"רחמים זרוק"</f>
        <v>רחמים זרוק</v>
      </c>
      <c r="J2180" t="str">
        <f>"cust001248"</f>
        <v>cust001248</v>
      </c>
      <c r="K2180" s="1" t="str">
        <f>"ELTA PDU2 1030G480-001"</f>
        <v>ELTA PDU2 1030G480-001</v>
      </c>
      <c r="L2180">
        <v>1</v>
      </c>
      <c r="M2180" t="str">
        <f>"PR22000900"</f>
        <v>PR22000900</v>
      </c>
      <c r="N2180" t="str">
        <f>"PDU 1030G480-001תיקון"</f>
        <v>PDU 1030G480-001תיקון</v>
      </c>
      <c r="O2180" s="2">
        <v>1100</v>
      </c>
      <c r="P2180" t="str">
        <f>"$"</f>
        <v>$</v>
      </c>
      <c r="Q2180" t="str">
        <f>"112"</f>
        <v>112</v>
      </c>
      <c r="R2180" t="str">
        <f>"תיקון תקלות"</f>
        <v>תיקון תקלות</v>
      </c>
      <c r="S2180" t="str">
        <f>"040"</f>
        <v>040</v>
      </c>
      <c r="T2180" t="str">
        <f>"עמר ליגל"</f>
        <v>עמר ליגל</v>
      </c>
      <c r="U2180">
        <v>0</v>
      </c>
      <c r="V2180">
        <v>0</v>
      </c>
      <c r="W2180" s="2">
        <v>1100</v>
      </c>
      <c r="X2180" s="2">
        <v>1100</v>
      </c>
      <c r="Z2180" t="str">
        <f>"Y"</f>
        <v>Y</v>
      </c>
      <c r="AA2180">
        <v>0</v>
      </c>
      <c r="AC2180">
        <v>0</v>
      </c>
      <c r="AE2180">
        <v>0</v>
      </c>
      <c r="AF2180">
        <v>0</v>
      </c>
      <c r="AG2180" s="2">
        <v>3796.1</v>
      </c>
      <c r="AH2180">
        <v>0</v>
      </c>
      <c r="AI2180" s="2">
        <v>3796.1</v>
      </c>
      <c r="AJ2180" s="2">
        <v>1100</v>
      </c>
      <c r="AK2180" s="2">
        <v>1100</v>
      </c>
      <c r="AL2180" t="str">
        <f>"$"</f>
        <v>$</v>
      </c>
    </row>
    <row r="2181" spans="1:38" x14ac:dyDescent="0.3">
      <c r="A2181" t="str">
        <f>"SO22000463"</f>
        <v>SO22000463</v>
      </c>
      <c r="B2181" t="str">
        <f>"E000381458"</f>
        <v>E000381458</v>
      </c>
      <c r="C2181" t="str">
        <f>"מאושרת לחיוב"</f>
        <v>מאושרת לחיוב</v>
      </c>
      <c r="E2181" s="3">
        <v>44913</v>
      </c>
      <c r="F2181" s="3">
        <v>45062</v>
      </c>
      <c r="G2181" t="str">
        <f>"700065"</f>
        <v>700065</v>
      </c>
      <c r="H2181" t="str">
        <f>"אלתא מערכות בע""מ"</f>
        <v>אלתא מערכות בע"מ</v>
      </c>
      <c r="I2181" t="str">
        <f>"רחמים זרוק"</f>
        <v>רחמים זרוק</v>
      </c>
      <c r="J2181" t="str">
        <f>"000"</f>
        <v>000</v>
      </c>
      <c r="K2181" s="1" t="str">
        <f>"אקספרטיזה שבוצעה PQ23000055"</f>
        <v>אקספרטיזה שבוצעה PQ23000055</v>
      </c>
      <c r="L2181">
        <v>1</v>
      </c>
      <c r="O2181" s="2">
        <v>1365</v>
      </c>
      <c r="P2181" t="str">
        <f>"$"</f>
        <v>$</v>
      </c>
      <c r="Q2181" t="str">
        <f>"112"</f>
        <v>112</v>
      </c>
      <c r="R2181" t="str">
        <f>"תיקון תקלות"</f>
        <v>תיקון תקלות</v>
      </c>
      <c r="S2181" t="str">
        <f>"040"</f>
        <v>040</v>
      </c>
      <c r="T2181" t="str">
        <f>"עמר ליגל"</f>
        <v>עמר ליגל</v>
      </c>
      <c r="U2181">
        <v>0</v>
      </c>
      <c r="V2181">
        <v>0</v>
      </c>
      <c r="W2181" s="2">
        <v>1365</v>
      </c>
      <c r="X2181" s="2">
        <v>1365</v>
      </c>
      <c r="Z2181" t="str">
        <f>"Y"</f>
        <v>Y</v>
      </c>
      <c r="AA2181">
        <v>1</v>
      </c>
      <c r="AC2181">
        <v>0</v>
      </c>
      <c r="AE2181">
        <v>0</v>
      </c>
      <c r="AF2181">
        <v>0</v>
      </c>
      <c r="AG2181" s="2">
        <v>4710.62</v>
      </c>
      <c r="AH2181">
        <v>0</v>
      </c>
      <c r="AI2181" s="2">
        <v>4710.62</v>
      </c>
      <c r="AJ2181" s="2">
        <v>1365</v>
      </c>
      <c r="AK2181" s="2">
        <v>1365</v>
      </c>
      <c r="AL2181" t="str">
        <f>"$"</f>
        <v>$</v>
      </c>
    </row>
    <row r="2182" spans="1:38" x14ac:dyDescent="0.3">
      <c r="A2182" t="str">
        <f>"SO22000463"</f>
        <v>SO22000463</v>
      </c>
      <c r="B2182" t="str">
        <f>"E000381458"</f>
        <v>E000381458</v>
      </c>
      <c r="C2182" t="str">
        <f>"מאושרת לחיוב"</f>
        <v>מאושרת לחיוב</v>
      </c>
      <c r="E2182" s="3">
        <v>44913</v>
      </c>
      <c r="F2182" s="3">
        <v>45062</v>
      </c>
      <c r="G2182" t="str">
        <f>"700065"</f>
        <v>700065</v>
      </c>
      <c r="H2182" t="str">
        <f>"אלתא מערכות בע""מ"</f>
        <v>אלתא מערכות בע"מ</v>
      </c>
      <c r="I2182" t="str">
        <f>"רחמים זרוק"</f>
        <v>רחמים זרוק</v>
      </c>
      <c r="J2182" t="str">
        <f>"999"</f>
        <v>999</v>
      </c>
      <c r="K2182" s="1" t="str">
        <f>"משגוח בידוד, PD9900453, PQ23"</f>
        <v>משגוח בידוד, PD9900453, PQ23</v>
      </c>
      <c r="L2182">
        <v>1</v>
      </c>
      <c r="M2182" t="str">
        <f>"PR23000324"</f>
        <v>PR23000324</v>
      </c>
      <c r="N2182" t="str">
        <f>"5 E000381458 משגוחים עבור תקלה"</f>
        <v>5 E000381458 משגוחים עבור תקלה</v>
      </c>
      <c r="O2182">
        <v>0</v>
      </c>
      <c r="P2182" t="str">
        <f>"$"</f>
        <v>$</v>
      </c>
      <c r="Q2182" t="str">
        <f>"112"</f>
        <v>112</v>
      </c>
      <c r="R2182" t="str">
        <f>"תיקון תקלות"</f>
        <v>תיקון תקלות</v>
      </c>
      <c r="S2182" t="str">
        <f>"040"</f>
        <v>040</v>
      </c>
      <c r="T2182" t="str">
        <f>"עמר ליגל"</f>
        <v>עמר ליגל</v>
      </c>
      <c r="U2182">
        <v>0</v>
      </c>
      <c r="V2182">
        <v>0</v>
      </c>
      <c r="W2182">
        <v>0</v>
      </c>
      <c r="X2182">
        <v>0</v>
      </c>
      <c r="AA2182">
        <v>1</v>
      </c>
      <c r="AC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 t="str">
        <f>"$"</f>
        <v>$</v>
      </c>
    </row>
    <row r="2183" spans="1:38" x14ac:dyDescent="0.3">
      <c r="A2183" t="str">
        <f>"SO22000463"</f>
        <v>SO22000463</v>
      </c>
      <c r="B2183" t="str">
        <f>"E000381458"</f>
        <v>E000381458</v>
      </c>
      <c r="C2183" t="str">
        <f>"מאושרת לחיוב"</f>
        <v>מאושרת לחיוב</v>
      </c>
      <c r="E2183" s="3">
        <v>44913</v>
      </c>
      <c r="F2183" s="3">
        <v>45062</v>
      </c>
      <c r="G2183" t="str">
        <f>"700065"</f>
        <v>700065</v>
      </c>
      <c r="H2183" t="str">
        <f>"אלתא מערכות בע""מ"</f>
        <v>אלתא מערכות בע"מ</v>
      </c>
      <c r="I2183" t="str">
        <f>"רחמים זרוק"</f>
        <v>רחמים זרוק</v>
      </c>
      <c r="J2183" t="str">
        <f>"PD9900453"</f>
        <v>PD9900453</v>
      </c>
      <c r="K2183" s="1" t="str">
        <f>"משגוח בידוד ABB CM-IWS.1S"</f>
        <v>משגוח בידוד ABB CM-IWS.1S</v>
      </c>
      <c r="L2183">
        <v>1</v>
      </c>
      <c r="M2183" t="str">
        <f>"PR23000324"</f>
        <v>PR23000324</v>
      </c>
      <c r="N2183" t="str">
        <f>"5 E000381458 משגוחים עבור תקלה"</f>
        <v>5 E000381458 משגוחים עבור תקלה</v>
      </c>
      <c r="O2183">
        <v>610</v>
      </c>
      <c r="P2183" t="str">
        <f>"$"</f>
        <v>$</v>
      </c>
      <c r="Q2183" t="str">
        <f>"112"</f>
        <v>112</v>
      </c>
      <c r="R2183" t="str">
        <f>"תיקון תקלות"</f>
        <v>תיקון תקלות</v>
      </c>
      <c r="S2183" t="str">
        <f>"040"</f>
        <v>040</v>
      </c>
      <c r="T2183" t="str">
        <f>"עמר ליגל"</f>
        <v>עמר ליגל</v>
      </c>
      <c r="U2183">
        <v>0</v>
      </c>
      <c r="V2183">
        <v>0</v>
      </c>
      <c r="W2183">
        <v>610</v>
      </c>
      <c r="X2183">
        <v>610</v>
      </c>
      <c r="Z2183" t="str">
        <f>"Y"</f>
        <v>Y</v>
      </c>
      <c r="AA2183">
        <v>0</v>
      </c>
      <c r="AC2183">
        <v>0</v>
      </c>
      <c r="AE2183">
        <v>0</v>
      </c>
      <c r="AF2183">
        <v>0</v>
      </c>
      <c r="AG2183" s="2">
        <v>2105.11</v>
      </c>
      <c r="AH2183">
        <v>0</v>
      </c>
      <c r="AI2183" s="2">
        <v>2105.11</v>
      </c>
      <c r="AJ2183">
        <v>610</v>
      </c>
      <c r="AK2183">
        <v>610</v>
      </c>
      <c r="AL2183" t="str">
        <f>"$"</f>
        <v>$</v>
      </c>
    </row>
    <row r="2184" spans="1:38" x14ac:dyDescent="0.3">
      <c r="A2184" t="str">
        <f>"SO22000463"</f>
        <v>SO22000463</v>
      </c>
      <c r="B2184" t="str">
        <f>"E000381458"</f>
        <v>E000381458</v>
      </c>
      <c r="C2184" t="str">
        <f>"מאושרת לחיוב"</f>
        <v>מאושרת לחיוב</v>
      </c>
      <c r="E2184" s="3">
        <v>44913</v>
      </c>
      <c r="F2184" s="3">
        <v>45062</v>
      </c>
      <c r="G2184" t="str">
        <f>"700065"</f>
        <v>700065</v>
      </c>
      <c r="H2184" t="str">
        <f>"אלתא מערכות בע""מ"</f>
        <v>אלתא מערכות בע"מ</v>
      </c>
      <c r="I2184" t="str">
        <f>"רחמים זרוק"</f>
        <v>רחמים זרוק</v>
      </c>
      <c r="J2184" t="str">
        <f>"PD9900453"</f>
        <v>PD9900453</v>
      </c>
      <c r="K2184" s="1" t="str">
        <f>"משגוח בידוד ABB CM-IWS.1S"</f>
        <v>משגוח בידוד ABB CM-IWS.1S</v>
      </c>
      <c r="L2184">
        <v>1</v>
      </c>
      <c r="M2184" t="str">
        <f>"PR23000324"</f>
        <v>PR23000324</v>
      </c>
      <c r="N2184" t="str">
        <f>"5 E000381458 משגוחים עבור תקלה"</f>
        <v>5 E000381458 משגוחים עבור תקלה</v>
      </c>
      <c r="O2184">
        <v>610</v>
      </c>
      <c r="P2184" t="str">
        <f>"$"</f>
        <v>$</v>
      </c>
      <c r="Q2184" t="str">
        <f>"112"</f>
        <v>112</v>
      </c>
      <c r="R2184" t="str">
        <f>"תיקון תקלות"</f>
        <v>תיקון תקלות</v>
      </c>
      <c r="S2184" t="str">
        <f>"040"</f>
        <v>040</v>
      </c>
      <c r="T2184" t="str">
        <f>"עמר ליגל"</f>
        <v>עמר ליגל</v>
      </c>
      <c r="U2184">
        <v>0</v>
      </c>
      <c r="V2184">
        <v>0</v>
      </c>
      <c r="W2184">
        <v>610</v>
      </c>
      <c r="X2184">
        <v>610</v>
      </c>
      <c r="Z2184" t="str">
        <f>"Y"</f>
        <v>Y</v>
      </c>
      <c r="AA2184">
        <v>0</v>
      </c>
      <c r="AC2184">
        <v>0</v>
      </c>
      <c r="AE2184">
        <v>0</v>
      </c>
      <c r="AF2184">
        <v>0</v>
      </c>
      <c r="AG2184" s="2">
        <v>2105.11</v>
      </c>
      <c r="AH2184">
        <v>0</v>
      </c>
      <c r="AI2184" s="2">
        <v>2105.11</v>
      </c>
      <c r="AJ2184">
        <v>610</v>
      </c>
      <c r="AK2184">
        <v>610</v>
      </c>
      <c r="AL2184" t="str">
        <f>"$"</f>
        <v>$</v>
      </c>
    </row>
    <row r="2185" spans="1:38" x14ac:dyDescent="0.3">
      <c r="A2185" t="str">
        <f>"SO22000463"</f>
        <v>SO22000463</v>
      </c>
      <c r="B2185" t="str">
        <f>"E000381458"</f>
        <v>E000381458</v>
      </c>
      <c r="C2185" t="str">
        <f>"מאושרת לחיוב"</f>
        <v>מאושרת לחיוב</v>
      </c>
      <c r="E2185" s="3">
        <v>44913</v>
      </c>
      <c r="F2185" s="3">
        <v>45062</v>
      </c>
      <c r="G2185" t="str">
        <f>"700065"</f>
        <v>700065</v>
      </c>
      <c r="H2185" t="str">
        <f>"אלתא מערכות בע""מ"</f>
        <v>אלתא מערכות בע"מ</v>
      </c>
      <c r="I2185" t="str">
        <f>"רחמים זרוק"</f>
        <v>רחמים זרוק</v>
      </c>
      <c r="J2185" t="str">
        <f>"PD9900453"</f>
        <v>PD9900453</v>
      </c>
      <c r="K2185" s="1" t="str">
        <f>"משגוח בידוד ABB CM-IWS.1S"</f>
        <v>משגוח בידוד ABB CM-IWS.1S</v>
      </c>
      <c r="L2185">
        <v>1</v>
      </c>
      <c r="M2185" t="str">
        <f>"PR23000324"</f>
        <v>PR23000324</v>
      </c>
      <c r="N2185" t="str">
        <f>"5 E000381458 משגוחים עבור תקלה"</f>
        <v>5 E000381458 משגוחים עבור תקלה</v>
      </c>
      <c r="O2185">
        <v>610</v>
      </c>
      <c r="P2185" t="str">
        <f>"$"</f>
        <v>$</v>
      </c>
      <c r="Q2185" t="str">
        <f>"112"</f>
        <v>112</v>
      </c>
      <c r="R2185" t="str">
        <f>"תיקון תקלות"</f>
        <v>תיקון תקלות</v>
      </c>
      <c r="S2185" t="str">
        <f>"040"</f>
        <v>040</v>
      </c>
      <c r="T2185" t="str">
        <f>"עמר ליגל"</f>
        <v>עמר ליגל</v>
      </c>
      <c r="U2185">
        <v>0</v>
      </c>
      <c r="V2185">
        <v>0</v>
      </c>
      <c r="W2185">
        <v>610</v>
      </c>
      <c r="X2185">
        <v>610</v>
      </c>
      <c r="Z2185" t="str">
        <f>"Y"</f>
        <v>Y</v>
      </c>
      <c r="AA2185">
        <v>0</v>
      </c>
      <c r="AC2185">
        <v>0</v>
      </c>
      <c r="AE2185">
        <v>0</v>
      </c>
      <c r="AF2185">
        <v>0</v>
      </c>
      <c r="AG2185" s="2">
        <v>2105.11</v>
      </c>
      <c r="AH2185">
        <v>0</v>
      </c>
      <c r="AI2185" s="2">
        <v>2105.11</v>
      </c>
      <c r="AJ2185">
        <v>610</v>
      </c>
      <c r="AK2185">
        <v>610</v>
      </c>
      <c r="AL2185" t="str">
        <f>"$"</f>
        <v>$</v>
      </c>
    </row>
    <row r="2186" spans="1:38" x14ac:dyDescent="0.3">
      <c r="A2186" t="str">
        <f>"SO22000463"</f>
        <v>SO22000463</v>
      </c>
      <c r="B2186" t="str">
        <f>"E000381458"</f>
        <v>E000381458</v>
      </c>
      <c r="C2186" t="str">
        <f>"מאושרת לחיוב"</f>
        <v>מאושרת לחיוב</v>
      </c>
      <c r="E2186" s="3">
        <v>44913</v>
      </c>
      <c r="F2186" s="3">
        <v>45062</v>
      </c>
      <c r="G2186" t="str">
        <f>"700065"</f>
        <v>700065</v>
      </c>
      <c r="H2186" t="str">
        <f>"אלתא מערכות בע""מ"</f>
        <v>אלתא מערכות בע"מ</v>
      </c>
      <c r="I2186" t="str">
        <f>"רחמים זרוק"</f>
        <v>רחמים זרוק</v>
      </c>
      <c r="J2186" t="str">
        <f>"PD9900453"</f>
        <v>PD9900453</v>
      </c>
      <c r="K2186" s="1" t="str">
        <f>"משגוח בידוד ABB CM-IWS.1S"</f>
        <v>משגוח בידוד ABB CM-IWS.1S</v>
      </c>
      <c r="L2186">
        <v>1</v>
      </c>
      <c r="M2186" t="str">
        <f>"PR23000324"</f>
        <v>PR23000324</v>
      </c>
      <c r="N2186" t="str">
        <f>"5 E000381458 משגוחים עבור תקלה"</f>
        <v>5 E000381458 משגוחים עבור תקלה</v>
      </c>
      <c r="O2186">
        <v>610</v>
      </c>
      <c r="P2186" t="str">
        <f>"$"</f>
        <v>$</v>
      </c>
      <c r="Q2186" t="str">
        <f>"112"</f>
        <v>112</v>
      </c>
      <c r="R2186" t="str">
        <f>"תיקון תקלות"</f>
        <v>תיקון תקלות</v>
      </c>
      <c r="S2186" t="str">
        <f>"040"</f>
        <v>040</v>
      </c>
      <c r="T2186" t="str">
        <f>"עמר ליגל"</f>
        <v>עמר ליגל</v>
      </c>
      <c r="U2186">
        <v>0</v>
      </c>
      <c r="V2186">
        <v>0</v>
      </c>
      <c r="W2186">
        <v>610</v>
      </c>
      <c r="X2186">
        <v>610</v>
      </c>
      <c r="Z2186" t="str">
        <f>"Y"</f>
        <v>Y</v>
      </c>
      <c r="AA2186">
        <v>0</v>
      </c>
      <c r="AC2186">
        <v>0</v>
      </c>
      <c r="AE2186">
        <v>0</v>
      </c>
      <c r="AF2186">
        <v>0</v>
      </c>
      <c r="AG2186" s="2">
        <v>2105.11</v>
      </c>
      <c r="AH2186">
        <v>0</v>
      </c>
      <c r="AI2186" s="2">
        <v>2105.11</v>
      </c>
      <c r="AJ2186">
        <v>610</v>
      </c>
      <c r="AK2186">
        <v>610</v>
      </c>
      <c r="AL2186" t="str">
        <f>"$"</f>
        <v>$</v>
      </c>
    </row>
    <row r="2187" spans="1:38" x14ac:dyDescent="0.3">
      <c r="A2187" t="str">
        <f>"SO22000463"</f>
        <v>SO22000463</v>
      </c>
      <c r="B2187" t="str">
        <f>"E000381458"</f>
        <v>E000381458</v>
      </c>
      <c r="C2187" t="str">
        <f>"מאושרת לחיוב"</f>
        <v>מאושרת לחיוב</v>
      </c>
      <c r="E2187" s="3">
        <v>44913</v>
      </c>
      <c r="F2187" s="3">
        <v>45062</v>
      </c>
      <c r="G2187" t="str">
        <f>"700065"</f>
        <v>700065</v>
      </c>
      <c r="H2187" t="str">
        <f>"אלתא מערכות בע""מ"</f>
        <v>אלתא מערכות בע"מ</v>
      </c>
      <c r="I2187" t="str">
        <f>"רחמים זרוק"</f>
        <v>רחמים זרוק</v>
      </c>
      <c r="J2187" t="str">
        <f>"PD9900453"</f>
        <v>PD9900453</v>
      </c>
      <c r="K2187" s="1" t="str">
        <f>"משגוח בידוד ABB CM-IWS.1S"</f>
        <v>משגוח בידוד ABB CM-IWS.1S</v>
      </c>
      <c r="L2187">
        <v>1</v>
      </c>
      <c r="M2187" t="str">
        <f>"PR23000324"</f>
        <v>PR23000324</v>
      </c>
      <c r="N2187" t="str">
        <f>"5 E000381458 משגוחים עבור תקלה"</f>
        <v>5 E000381458 משגוחים עבור תקלה</v>
      </c>
      <c r="O2187">
        <v>610</v>
      </c>
      <c r="P2187" t="str">
        <f>"$"</f>
        <v>$</v>
      </c>
      <c r="Q2187" t="str">
        <f>"112"</f>
        <v>112</v>
      </c>
      <c r="R2187" t="str">
        <f>"תיקון תקלות"</f>
        <v>תיקון תקלות</v>
      </c>
      <c r="S2187" t="str">
        <f>"040"</f>
        <v>040</v>
      </c>
      <c r="T2187" t="str">
        <f>"עמר ליגל"</f>
        <v>עמר ליגל</v>
      </c>
      <c r="U2187">
        <v>0</v>
      </c>
      <c r="V2187">
        <v>0</v>
      </c>
      <c r="W2187">
        <v>610</v>
      </c>
      <c r="X2187">
        <v>610</v>
      </c>
      <c r="Z2187" t="str">
        <f>"Y"</f>
        <v>Y</v>
      </c>
      <c r="AA2187">
        <v>0</v>
      </c>
      <c r="AC2187">
        <v>0</v>
      </c>
      <c r="AE2187">
        <v>0</v>
      </c>
      <c r="AF2187">
        <v>0</v>
      </c>
      <c r="AG2187" s="2">
        <v>2105.11</v>
      </c>
      <c r="AH2187">
        <v>0</v>
      </c>
      <c r="AI2187" s="2">
        <v>2105.11</v>
      </c>
      <c r="AJ2187">
        <v>610</v>
      </c>
      <c r="AK2187">
        <v>610</v>
      </c>
      <c r="AL2187" t="str">
        <f>"$"</f>
        <v>$</v>
      </c>
    </row>
    <row r="2188" spans="1:38" x14ac:dyDescent="0.3">
      <c r="A2188" t="str">
        <f>"SO22000463"</f>
        <v>SO22000463</v>
      </c>
      <c r="B2188" t="str">
        <f>"E000381458"</f>
        <v>E000381458</v>
      </c>
      <c r="C2188" t="str">
        <f>"מאושרת לחיוב"</f>
        <v>מאושרת לחיוב</v>
      </c>
      <c r="E2188" s="3">
        <v>44913</v>
      </c>
      <c r="F2188" s="3">
        <v>45062</v>
      </c>
      <c r="G2188" t="str">
        <f>"700065"</f>
        <v>700065</v>
      </c>
      <c r="H2188" t="str">
        <f>"אלתא מערכות בע""מ"</f>
        <v>אלתא מערכות בע"מ</v>
      </c>
      <c r="I2188" t="str">
        <f>"רחמים זרוק"</f>
        <v>רחמים זרוק</v>
      </c>
      <c r="J2188" t="str">
        <f>"PD9900453"</f>
        <v>PD9900453</v>
      </c>
      <c r="K2188" s="1" t="str">
        <f>"משגוח בידוד ABB CM-IWS.1S"</f>
        <v>משגוח בידוד ABB CM-IWS.1S</v>
      </c>
      <c r="L2188">
        <v>0</v>
      </c>
      <c r="M2188" t="str">
        <f>"PR23000324"</f>
        <v>PR23000324</v>
      </c>
      <c r="N2188" t="str">
        <f>"5 E000381458 משגוחים עבור תקלה"</f>
        <v>5 E000381458 משגוחים עבור תקלה</v>
      </c>
      <c r="O2188">
        <v>0</v>
      </c>
      <c r="P2188" t="str">
        <f>"$"</f>
        <v>$</v>
      </c>
      <c r="Q2188" t="str">
        <f>"112"</f>
        <v>112</v>
      </c>
      <c r="R2188" t="str">
        <f>"תיקון תקלות"</f>
        <v>תיקון תקלות</v>
      </c>
      <c r="S2188" t="str">
        <f>"040"</f>
        <v>040</v>
      </c>
      <c r="T2188" t="str">
        <f>"עמר ליגל"</f>
        <v>עמר ליגל</v>
      </c>
      <c r="U2188">
        <v>0</v>
      </c>
      <c r="V2188">
        <v>0</v>
      </c>
      <c r="W2188">
        <v>0</v>
      </c>
      <c r="X2188">
        <v>0</v>
      </c>
      <c r="AA2188">
        <v>0</v>
      </c>
      <c r="AC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 t="str">
        <f>"$"</f>
        <v>$</v>
      </c>
    </row>
    <row r="2189" spans="1:38" x14ac:dyDescent="0.3">
      <c r="A2189" t="str">
        <f>"SO22000463"</f>
        <v>SO22000463</v>
      </c>
      <c r="B2189" t="str">
        <f>"E000381458"</f>
        <v>E000381458</v>
      </c>
      <c r="C2189" t="str">
        <f>"מאושרת לחיוב"</f>
        <v>מאושרת לחיוב</v>
      </c>
      <c r="E2189" s="3">
        <v>44913</v>
      </c>
      <c r="F2189" s="3">
        <v>45081</v>
      </c>
      <c r="G2189" t="str">
        <f>"700065"</f>
        <v>700065</v>
      </c>
      <c r="H2189" t="str">
        <f>"אלתא מערכות בע""מ"</f>
        <v>אלתא מערכות בע"מ</v>
      </c>
      <c r="I2189" t="str">
        <f>"רחמים זרוק"</f>
        <v>רחמים זרוק</v>
      </c>
      <c r="J2189" t="str">
        <f>"000"</f>
        <v>000</v>
      </c>
      <c r="K2189" s="1" t="str">
        <f>"כרטיס ל PDU2 1030G480-001"</f>
        <v>כרטיס ל PDU2 1030G480-001</v>
      </c>
      <c r="L2189">
        <v>1</v>
      </c>
      <c r="M2189" t="str">
        <f>"PR22000900"</f>
        <v>PR22000900</v>
      </c>
      <c r="N2189" t="str">
        <f>"PDU 1030G480-001תיקון"</f>
        <v>PDU 1030G480-001תיקון</v>
      </c>
      <c r="O2189">
        <v>0</v>
      </c>
      <c r="P2189" t="str">
        <f>"$"</f>
        <v>$</v>
      </c>
      <c r="Q2189" t="str">
        <f>"112"</f>
        <v>112</v>
      </c>
      <c r="R2189" t="str">
        <f>"תיקון תקלות"</f>
        <v>תיקון תקלות</v>
      </c>
      <c r="S2189" t="str">
        <f>"040"</f>
        <v>040</v>
      </c>
      <c r="T2189" t="str">
        <f>"עמר ליגל"</f>
        <v>עמר ליגל</v>
      </c>
      <c r="U2189">
        <v>0</v>
      </c>
      <c r="V2189">
        <v>0</v>
      </c>
      <c r="W2189">
        <v>0</v>
      </c>
      <c r="X2189">
        <v>0</v>
      </c>
      <c r="Z2189" t="str">
        <f>"Y"</f>
        <v>Y</v>
      </c>
      <c r="AA2189">
        <v>0</v>
      </c>
      <c r="AC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 t="str">
        <f>"$"</f>
        <v>$</v>
      </c>
    </row>
    <row r="2190" spans="1:38" x14ac:dyDescent="0.3">
      <c r="A2190" t="str">
        <f>"SO22000464"</f>
        <v>SO22000464</v>
      </c>
      <c r="B2190" t="str">
        <f>"השאלת ברגים"</f>
        <v>השאלת ברגים</v>
      </c>
      <c r="C2190" t="str">
        <f>"מאושרת לחיוב"</f>
        <v>מאושרת לחיוב</v>
      </c>
      <c r="E2190" s="3">
        <v>44914</v>
      </c>
      <c r="F2190" s="3">
        <v>44914</v>
      </c>
      <c r="G2190" t="str">
        <f>"700065"</f>
        <v>700065</v>
      </c>
      <c r="H2190" t="str">
        <f>"אלתא מערכות בע""מ"</f>
        <v>אלתא מערכות בע"מ</v>
      </c>
      <c r="I2190" t="str">
        <f>"רוני דידי"</f>
        <v>רוני דידי</v>
      </c>
      <c r="J2190" t="str">
        <f>"CO0100631"</f>
        <v>CO0100631</v>
      </c>
      <c r="K2190" s="1" t="str">
        <f>"בורג נירוסטה 316 ראש משושה  ""NC18- 5/16X2.25"</f>
        <v>בורג נירוסטה 316 ראש משושה  "NC18- 5/16X2.25</v>
      </c>
      <c r="L2190">
        <v>250</v>
      </c>
      <c r="M2190" t="str">
        <f>"PR20000710"</f>
        <v>PR20000710</v>
      </c>
      <c r="N2190" t="str">
        <f>"MDN SHELTER 02"</f>
        <v>MDN SHELTER 02</v>
      </c>
      <c r="O2190">
        <v>0</v>
      </c>
      <c r="P2190" t="str">
        <f>"$"</f>
        <v>$</v>
      </c>
      <c r="Q2190" t="str">
        <f>"118"</f>
        <v>118</v>
      </c>
      <c r="R2190" t="str">
        <f>"מערכות"</f>
        <v>מערכות</v>
      </c>
      <c r="S2190" t="str">
        <f>"007"</f>
        <v>007</v>
      </c>
      <c r="T2190" t="str">
        <f>"עמר ליגל"</f>
        <v>עמר ליגל</v>
      </c>
      <c r="U2190">
        <v>0</v>
      </c>
      <c r="V2190">
        <v>0</v>
      </c>
      <c r="W2190">
        <v>0</v>
      </c>
      <c r="X2190">
        <v>0</v>
      </c>
      <c r="Z2190" t="str">
        <f>"Y"</f>
        <v>Y</v>
      </c>
      <c r="AA2190">
        <v>0</v>
      </c>
      <c r="AC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 t="str">
        <f>"$"</f>
        <v>$</v>
      </c>
    </row>
    <row r="2191" spans="1:38" x14ac:dyDescent="0.3">
      <c r="A2191" t="str">
        <f>"SO22000464"</f>
        <v>SO22000464</v>
      </c>
      <c r="B2191" t="str">
        <f>"השאלת ברגים"</f>
        <v>השאלת ברגים</v>
      </c>
      <c r="C2191" t="str">
        <f>"מאושרת לחיוב"</f>
        <v>מאושרת לחיוב</v>
      </c>
      <c r="E2191" s="3">
        <v>44914</v>
      </c>
      <c r="F2191" s="3">
        <v>44914</v>
      </c>
      <c r="G2191" t="str">
        <f>"700065"</f>
        <v>700065</v>
      </c>
      <c r="H2191" t="str">
        <f>"אלתא מערכות בע""מ"</f>
        <v>אלתא מערכות בע"מ</v>
      </c>
      <c r="I2191" t="str">
        <f>"רוני דידי"</f>
        <v>רוני דידי</v>
      </c>
      <c r="J2191" t="str">
        <f>"000"</f>
        <v>000</v>
      </c>
      <c r="K2191" s="1" t="str">
        <f>"השאלה לטובת פרויקט MDN"</f>
        <v>השאלה לטובת פרויקט MDN</v>
      </c>
      <c r="L2191">
        <v>1</v>
      </c>
      <c r="M2191" t="str">
        <f>"PR20000710"</f>
        <v>PR20000710</v>
      </c>
      <c r="N2191" t="str">
        <f>"MDN SHELTER 02"</f>
        <v>MDN SHELTER 02</v>
      </c>
      <c r="O2191">
        <v>0</v>
      </c>
      <c r="P2191" t="str">
        <f>"$"</f>
        <v>$</v>
      </c>
      <c r="Q2191" t="str">
        <f>"118"</f>
        <v>118</v>
      </c>
      <c r="R2191" t="str">
        <f>"מערכות"</f>
        <v>מערכות</v>
      </c>
      <c r="S2191" t="str">
        <f>"007"</f>
        <v>007</v>
      </c>
      <c r="T2191" t="str">
        <f>"עמר ליגל"</f>
        <v>עמר ליגל</v>
      </c>
      <c r="U2191">
        <v>0</v>
      </c>
      <c r="V2191">
        <v>0</v>
      </c>
      <c r="W2191">
        <v>0</v>
      </c>
      <c r="X2191">
        <v>0</v>
      </c>
      <c r="AA2191">
        <v>1</v>
      </c>
      <c r="AC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 t="str">
        <f>"$"</f>
        <v>$</v>
      </c>
    </row>
    <row r="2192" spans="1:38" x14ac:dyDescent="0.3">
      <c r="A2192" t="str">
        <f>"SO22000465"</f>
        <v>SO22000465</v>
      </c>
      <c r="B2192" t="str">
        <f>"PD0200029"</f>
        <v>PD0200029</v>
      </c>
      <c r="C2192" t="str">
        <f>"בוצעה"</f>
        <v>בוצעה</v>
      </c>
      <c r="E2192" s="3">
        <v>44914</v>
      </c>
      <c r="F2192" s="3">
        <v>44914</v>
      </c>
      <c r="G2192" t="str">
        <f>"700065"</f>
        <v>700065</v>
      </c>
      <c r="H2192" t="str">
        <f>"אלתא מערכות בע""מ"</f>
        <v>אלתא מערכות בע"מ</v>
      </c>
      <c r="I2192" t="str">
        <f>"ערן שלו"</f>
        <v>ערן שלו</v>
      </c>
      <c r="J2192" t="str">
        <f>"PD0200029"</f>
        <v>PD0200029</v>
      </c>
      <c r="K2192" s="1" t="str">
        <f>"מחבר ישיר נחושת KIT FC Cu XT1 6pcs"</f>
        <v>מחבר ישיר נחושת KIT FC Cu XT1 6pcs</v>
      </c>
      <c r="L2192">
        <v>1</v>
      </c>
      <c r="M2192" t="str">
        <f>"PR20000358"</f>
        <v>PR20000358</v>
      </c>
      <c r="N2192" t="str">
        <f>"הזמנת קרונות RPU לצ'כיה"</f>
        <v>הזמנת קרונות RPU לצ'כיה</v>
      </c>
      <c r="O2192">
        <v>0</v>
      </c>
      <c r="P2192" t="str">
        <f>"$"</f>
        <v>$</v>
      </c>
      <c r="Q2192" t="str">
        <f>"118"</f>
        <v>118</v>
      </c>
      <c r="R2192" t="str">
        <f>"מערכות"</f>
        <v>מערכות</v>
      </c>
      <c r="S2192" t="str">
        <f>"034"</f>
        <v>034</v>
      </c>
      <c r="T2192" t="str">
        <f>"עמר ליגל"</f>
        <v>עמר ליגל</v>
      </c>
      <c r="U2192">
        <v>0</v>
      </c>
      <c r="V2192">
        <v>0</v>
      </c>
      <c r="W2192">
        <v>0</v>
      </c>
      <c r="X2192">
        <v>0</v>
      </c>
      <c r="Z2192" t="str">
        <f>"Y"</f>
        <v>Y</v>
      </c>
      <c r="AA2192">
        <v>0</v>
      </c>
      <c r="AC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 t="str">
        <f>"$"</f>
        <v>$</v>
      </c>
    </row>
    <row r="2193" spans="1:38" x14ac:dyDescent="0.3">
      <c r="A2193" t="str">
        <f>"SO22000467"</f>
        <v>SO22000467</v>
      </c>
      <c r="B2193" t="str">
        <f>"E000382006"</f>
        <v>E000382006</v>
      </c>
      <c r="C2193" t="str">
        <f>"בוצעה"</f>
        <v>בוצעה</v>
      </c>
      <c r="E2193" s="3">
        <v>44915</v>
      </c>
      <c r="F2193" s="3">
        <v>45015</v>
      </c>
      <c r="G2193" t="str">
        <f>"700065"</f>
        <v>700065</v>
      </c>
      <c r="H2193" t="str">
        <f>"אלתא מערכות בע""מ"</f>
        <v>אלתא מערכות בע"מ</v>
      </c>
      <c r="I2193" t="str">
        <f>"רחמים זרוק"</f>
        <v>רחמים זרוק</v>
      </c>
      <c r="J2193" t="str">
        <f>"OP-AR02710"</f>
        <v>OP-AR02710</v>
      </c>
      <c r="K2193" s="1" t="str">
        <f>"CABLE ASSY W11  -  MADR"</f>
        <v>CABLE ASSY W11  -  MADR</v>
      </c>
      <c r="L2193">
        <v>1</v>
      </c>
      <c r="M2193" t="str">
        <f>"PR21000449"</f>
        <v>PR21000449</v>
      </c>
      <c r="N2193" t="str">
        <f>"08 COMPUTER RACK"</f>
        <v>08 COMPUTER RACK</v>
      </c>
      <c r="O2193">
        <v>250</v>
      </c>
      <c r="P2193" t="str">
        <f>"$"</f>
        <v>$</v>
      </c>
      <c r="Q2193" t="str">
        <f>"117"</f>
        <v>117</v>
      </c>
      <c r="R2193" t="str">
        <f>"רתמות"</f>
        <v>רתמות</v>
      </c>
      <c r="S2193" t="str">
        <f>"040"</f>
        <v>040</v>
      </c>
      <c r="T2193" t="str">
        <f>"עמר ליגל"</f>
        <v>עמר ליגל</v>
      </c>
      <c r="U2193">
        <v>0</v>
      </c>
      <c r="V2193">
        <v>0</v>
      </c>
      <c r="W2193">
        <v>250</v>
      </c>
      <c r="X2193">
        <v>250</v>
      </c>
      <c r="Z2193" t="str">
        <f>"Y"</f>
        <v>Y</v>
      </c>
      <c r="AA2193">
        <v>0</v>
      </c>
      <c r="AC2193">
        <v>0</v>
      </c>
      <c r="AE2193">
        <v>0</v>
      </c>
      <c r="AF2193">
        <v>0</v>
      </c>
      <c r="AG2193">
        <v>867.25</v>
      </c>
      <c r="AH2193">
        <v>0</v>
      </c>
      <c r="AI2193">
        <v>867.25</v>
      </c>
      <c r="AJ2193">
        <v>250</v>
      </c>
      <c r="AK2193">
        <v>250</v>
      </c>
      <c r="AL2193" t="str">
        <f>"$"</f>
        <v>$</v>
      </c>
    </row>
    <row r="2194" spans="1:38" x14ac:dyDescent="0.3">
      <c r="A2194" t="str">
        <f>"SO22000469"</f>
        <v>SO22000469</v>
      </c>
      <c r="B2194" t="str">
        <f>"E000374099"</f>
        <v>E000374099</v>
      </c>
      <c r="C2194" t="str">
        <f>"הרכבה חלקית"</f>
        <v>הרכבה חלקית</v>
      </c>
      <c r="E2194" s="3">
        <v>44915</v>
      </c>
      <c r="F2194" s="3">
        <v>45052</v>
      </c>
      <c r="G2194" t="str">
        <f>"700065"</f>
        <v>700065</v>
      </c>
      <c r="H2194" t="str">
        <f>"אלתא מערכות בע""מ"</f>
        <v>אלתא מערכות בע"מ</v>
      </c>
      <c r="I2194" t="str">
        <f>"רחמים זרוק"</f>
        <v>רחמים זרוק</v>
      </c>
      <c r="J2194" t="str">
        <f>"OP-AR03462"</f>
        <v>OP-AR03462</v>
      </c>
      <c r="K2194" s="1" t="str">
        <f>"1021M611-001    HARNESS W02 - HVPS-J2 TO TB2"</f>
        <v>1021M611-001    HARNESS W02 - HVPS-J2 TO TB2</v>
      </c>
      <c r="L2194">
        <v>1</v>
      </c>
      <c r="M2194" t="str">
        <f>"PR22000904"</f>
        <v>PR22000904</v>
      </c>
      <c r="N2194" t="str">
        <f>"E000374099"</f>
        <v>E000374099</v>
      </c>
      <c r="O2194">
        <v>360.93</v>
      </c>
      <c r="P2194" t="str">
        <f>"$"</f>
        <v>$</v>
      </c>
      <c r="Q2194" t="str">
        <f>"117"</f>
        <v>117</v>
      </c>
      <c r="R2194" t="str">
        <f>"רתמות"</f>
        <v>רתמות</v>
      </c>
      <c r="S2194" t="str">
        <f>"040"</f>
        <v>040</v>
      </c>
      <c r="T2194" t="str">
        <f>"עמר ליגל"</f>
        <v>עמר ליגל</v>
      </c>
      <c r="U2194">
        <v>0</v>
      </c>
      <c r="V2194">
        <v>0</v>
      </c>
      <c r="W2194">
        <v>360.93</v>
      </c>
      <c r="X2194">
        <v>360.93</v>
      </c>
      <c r="Z2194" t="str">
        <f>"Y"</f>
        <v>Y</v>
      </c>
      <c r="AA2194">
        <v>0</v>
      </c>
      <c r="AC2194">
        <v>0</v>
      </c>
      <c r="AE2194">
        <v>0</v>
      </c>
      <c r="AF2194">
        <v>0</v>
      </c>
      <c r="AG2194" s="2">
        <v>1252.07</v>
      </c>
      <c r="AH2194">
        <v>0</v>
      </c>
      <c r="AI2194" s="2">
        <v>1252.07</v>
      </c>
      <c r="AJ2194">
        <v>360.93</v>
      </c>
      <c r="AK2194">
        <v>360.93</v>
      </c>
      <c r="AL2194" t="str">
        <f>"$"</f>
        <v>$</v>
      </c>
    </row>
    <row r="2195" spans="1:38" x14ac:dyDescent="0.3">
      <c r="A2195" t="str">
        <f>"SO22000469"</f>
        <v>SO22000469</v>
      </c>
      <c r="B2195" t="str">
        <f>"E000374099"</f>
        <v>E000374099</v>
      </c>
      <c r="C2195" t="str">
        <f>"הרכבה חלקית"</f>
        <v>הרכבה חלקית</v>
      </c>
      <c r="E2195" s="3">
        <v>44915</v>
      </c>
      <c r="F2195" s="3">
        <v>45052</v>
      </c>
      <c r="G2195" t="str">
        <f>"700065"</f>
        <v>700065</v>
      </c>
      <c r="H2195" t="str">
        <f>"אלתא מערכות בע""מ"</f>
        <v>אלתא מערכות בע"מ</v>
      </c>
      <c r="I2195" t="str">
        <f>"רחמים זרוק"</f>
        <v>רחמים זרוק</v>
      </c>
      <c r="J2195" t="str">
        <f>"OP-AR03463"</f>
        <v>OP-AR03463</v>
      </c>
      <c r="K2195" s="1" t="str">
        <f>"1021M614-001    HARNESS W15 - ACM TO HVPS"</f>
        <v>1021M614-001    HARNESS W15 - ACM TO HVPS</v>
      </c>
      <c r="L2195">
        <v>1</v>
      </c>
      <c r="M2195" t="str">
        <f>"PR22000904"</f>
        <v>PR22000904</v>
      </c>
      <c r="N2195" t="str">
        <f>"E000374099"</f>
        <v>E000374099</v>
      </c>
      <c r="O2195" s="2">
        <v>1045.18</v>
      </c>
      <c r="P2195" t="str">
        <f>"$"</f>
        <v>$</v>
      </c>
      <c r="Q2195" t="str">
        <f>"117"</f>
        <v>117</v>
      </c>
      <c r="R2195" t="str">
        <f>"רתמות"</f>
        <v>רתמות</v>
      </c>
      <c r="S2195" t="str">
        <f>"040"</f>
        <v>040</v>
      </c>
      <c r="T2195" t="str">
        <f>"עמר ליגל"</f>
        <v>עמר ליגל</v>
      </c>
      <c r="U2195">
        <v>0</v>
      </c>
      <c r="V2195">
        <v>0</v>
      </c>
      <c r="W2195" s="2">
        <v>1045.18</v>
      </c>
      <c r="X2195" s="2">
        <v>1045.18</v>
      </c>
      <c r="Z2195" t="str">
        <f>"Y"</f>
        <v>Y</v>
      </c>
      <c r="AA2195">
        <v>0</v>
      </c>
      <c r="AC2195">
        <v>0</v>
      </c>
      <c r="AE2195">
        <v>0</v>
      </c>
      <c r="AF2195">
        <v>0</v>
      </c>
      <c r="AG2195" s="2">
        <v>3625.73</v>
      </c>
      <c r="AH2195">
        <v>0</v>
      </c>
      <c r="AI2195" s="2">
        <v>3625.73</v>
      </c>
      <c r="AJ2195" s="2">
        <v>1045.18</v>
      </c>
      <c r="AK2195" s="2">
        <v>1045.18</v>
      </c>
      <c r="AL2195" t="str">
        <f>"$"</f>
        <v>$</v>
      </c>
    </row>
    <row r="2196" spans="1:38" x14ac:dyDescent="0.3">
      <c r="A2196" t="str">
        <f>"SO22000469"</f>
        <v>SO22000469</v>
      </c>
      <c r="B2196" t="str">
        <f>"E000374099"</f>
        <v>E000374099</v>
      </c>
      <c r="C2196" t="str">
        <f>"הרכבה חלקית"</f>
        <v>הרכבה חלקית</v>
      </c>
      <c r="E2196" s="3">
        <v>44915</v>
      </c>
      <c r="F2196" s="3">
        <v>45052</v>
      </c>
      <c r="G2196" t="str">
        <f>"700065"</f>
        <v>700065</v>
      </c>
      <c r="H2196" t="str">
        <f>"אלתא מערכות בע""מ"</f>
        <v>אלתא מערכות בע"מ</v>
      </c>
      <c r="I2196" t="str">
        <f>"רחמים זרוק"</f>
        <v>רחמים זרוק</v>
      </c>
      <c r="J2196" t="str">
        <f>"OP-AR03464"</f>
        <v>OP-AR03464</v>
      </c>
      <c r="K2196" s="1" t="str">
        <f>"1021M628-002    HARNESS W05 - HVPS3 TO TB2"</f>
        <v>1021M628-002    HARNESS W05 - HVPS3 TO TB2</v>
      </c>
      <c r="L2196">
        <v>1</v>
      </c>
      <c r="M2196" t="str">
        <f>"PR22000904"</f>
        <v>PR22000904</v>
      </c>
      <c r="N2196" t="str">
        <f>"E000374099"</f>
        <v>E000374099</v>
      </c>
      <c r="O2196">
        <v>464.75</v>
      </c>
      <c r="P2196" t="str">
        <f>"$"</f>
        <v>$</v>
      </c>
      <c r="Q2196" t="str">
        <f>"117"</f>
        <v>117</v>
      </c>
      <c r="R2196" t="str">
        <f>"רתמות"</f>
        <v>רתמות</v>
      </c>
      <c r="S2196" t="str">
        <f>"040"</f>
        <v>040</v>
      </c>
      <c r="T2196" t="str">
        <f>"עמר ליגל"</f>
        <v>עמר ליגל</v>
      </c>
      <c r="U2196">
        <v>0</v>
      </c>
      <c r="V2196">
        <v>0</v>
      </c>
      <c r="W2196">
        <v>464.75</v>
      </c>
      <c r="X2196">
        <v>464.75</v>
      </c>
      <c r="Z2196" t="str">
        <f>"Y"</f>
        <v>Y</v>
      </c>
      <c r="AA2196">
        <v>0</v>
      </c>
      <c r="AC2196">
        <v>0</v>
      </c>
      <c r="AE2196">
        <v>0</v>
      </c>
      <c r="AF2196">
        <v>0</v>
      </c>
      <c r="AG2196" s="2">
        <v>1612.22</v>
      </c>
      <c r="AH2196">
        <v>0</v>
      </c>
      <c r="AI2196" s="2">
        <v>1612.22</v>
      </c>
      <c r="AJ2196">
        <v>464.75</v>
      </c>
      <c r="AK2196">
        <v>464.75</v>
      </c>
      <c r="AL2196" t="str">
        <f>"$"</f>
        <v>$</v>
      </c>
    </row>
    <row r="2197" spans="1:38" x14ac:dyDescent="0.3">
      <c r="A2197" t="str">
        <f>"SO22000469"</f>
        <v>SO22000469</v>
      </c>
      <c r="B2197" t="str">
        <f>"E000374099"</f>
        <v>E000374099</v>
      </c>
      <c r="C2197" t="str">
        <f>"הרכבה חלקית"</f>
        <v>הרכבה חלקית</v>
      </c>
      <c r="E2197" s="3">
        <v>44915</v>
      </c>
      <c r="F2197" s="3">
        <v>45052</v>
      </c>
      <c r="G2197" t="str">
        <f>"700065"</f>
        <v>700065</v>
      </c>
      <c r="H2197" t="str">
        <f>"אלתא מערכות בע""מ"</f>
        <v>אלתא מערכות בע"מ</v>
      </c>
      <c r="I2197" t="str">
        <f>"רחמים זרוק"</f>
        <v>רחמים זרוק</v>
      </c>
      <c r="J2197" t="str">
        <f>"OP-AR03465"</f>
        <v>OP-AR03465</v>
      </c>
      <c r="K2197" s="1" t="str">
        <f>"1021M629-002    HARNESS W06 - HVPS4 TO TB2"</f>
        <v>1021M629-002    HARNESS W06 - HVPS4 TO TB2</v>
      </c>
      <c r="L2197">
        <v>1</v>
      </c>
      <c r="M2197" t="str">
        <f>"PR22000904"</f>
        <v>PR22000904</v>
      </c>
      <c r="N2197" t="str">
        <f>"E000374099"</f>
        <v>E000374099</v>
      </c>
      <c r="O2197">
        <v>495.66</v>
      </c>
      <c r="P2197" t="str">
        <f>"$"</f>
        <v>$</v>
      </c>
      <c r="Q2197" t="str">
        <f>"117"</f>
        <v>117</v>
      </c>
      <c r="R2197" t="str">
        <f>"רתמות"</f>
        <v>רתמות</v>
      </c>
      <c r="S2197" t="str">
        <f>"040"</f>
        <v>040</v>
      </c>
      <c r="T2197" t="str">
        <f>"עמר ליגל"</f>
        <v>עמר ליגל</v>
      </c>
      <c r="U2197">
        <v>0</v>
      </c>
      <c r="V2197">
        <v>0</v>
      </c>
      <c r="W2197">
        <v>495.66</v>
      </c>
      <c r="X2197">
        <v>495.66</v>
      </c>
      <c r="Z2197" t="str">
        <f>"Y"</f>
        <v>Y</v>
      </c>
      <c r="AA2197">
        <v>0</v>
      </c>
      <c r="AC2197">
        <v>0</v>
      </c>
      <c r="AE2197">
        <v>0</v>
      </c>
      <c r="AF2197">
        <v>0</v>
      </c>
      <c r="AG2197" s="2">
        <v>1719.44</v>
      </c>
      <c r="AH2197">
        <v>0</v>
      </c>
      <c r="AI2197" s="2">
        <v>1719.44</v>
      </c>
      <c r="AJ2197">
        <v>495.66</v>
      </c>
      <c r="AK2197">
        <v>495.66</v>
      </c>
      <c r="AL2197" t="str">
        <f>"$"</f>
        <v>$</v>
      </c>
    </row>
    <row r="2198" spans="1:38" x14ac:dyDescent="0.3">
      <c r="A2198" t="str">
        <f>"SO22000469"</f>
        <v>SO22000469</v>
      </c>
      <c r="B2198" t="str">
        <f>"E000374099"</f>
        <v>E000374099</v>
      </c>
      <c r="C2198" t="str">
        <f>"הרכבה חלקית"</f>
        <v>הרכבה חלקית</v>
      </c>
      <c r="E2198" s="3">
        <v>44915</v>
      </c>
      <c r="F2198" s="3">
        <v>45052</v>
      </c>
      <c r="G2198" t="str">
        <f>"700065"</f>
        <v>700065</v>
      </c>
      <c r="H2198" t="str">
        <f>"אלתא מערכות בע""מ"</f>
        <v>אלתא מערכות בע"מ</v>
      </c>
      <c r="I2198" t="str">
        <f>"רחמים זרוק"</f>
        <v>רחמים זרוק</v>
      </c>
      <c r="J2198" t="str">
        <f>"OP-AR03466"</f>
        <v>OP-AR03466</v>
      </c>
      <c r="K2198" s="1" t="str">
        <f>"1021M630-002    HARNESS W07 - HVPS5 TO TB2"</f>
        <v>1021M630-002    HARNESS W07 - HVPS5 TO TB2</v>
      </c>
      <c r="L2198">
        <v>1</v>
      </c>
      <c r="M2198" t="str">
        <f>"PR22000904"</f>
        <v>PR22000904</v>
      </c>
      <c r="N2198" t="str">
        <f>"E000374099"</f>
        <v>E000374099</v>
      </c>
      <c r="O2198">
        <v>483.81</v>
      </c>
      <c r="P2198" t="str">
        <f>"$"</f>
        <v>$</v>
      </c>
      <c r="Q2198" t="str">
        <f>"117"</f>
        <v>117</v>
      </c>
      <c r="R2198" t="str">
        <f>"רתמות"</f>
        <v>רתמות</v>
      </c>
      <c r="S2198" t="str">
        <f>"040"</f>
        <v>040</v>
      </c>
      <c r="T2198" t="str">
        <f>"עמר ליגל"</f>
        <v>עמר ליגל</v>
      </c>
      <c r="U2198">
        <v>0</v>
      </c>
      <c r="V2198">
        <v>0</v>
      </c>
      <c r="W2198">
        <v>483.81</v>
      </c>
      <c r="X2198">
        <v>483.81</v>
      </c>
      <c r="Z2198" t="str">
        <f>"Y"</f>
        <v>Y</v>
      </c>
      <c r="AA2198">
        <v>0</v>
      </c>
      <c r="AC2198">
        <v>0</v>
      </c>
      <c r="AE2198">
        <v>0</v>
      </c>
      <c r="AF2198">
        <v>0</v>
      </c>
      <c r="AG2198" s="2">
        <v>1678.34</v>
      </c>
      <c r="AH2198">
        <v>0</v>
      </c>
      <c r="AI2198" s="2">
        <v>1678.34</v>
      </c>
      <c r="AJ2198">
        <v>483.81</v>
      </c>
      <c r="AK2198">
        <v>483.81</v>
      </c>
      <c r="AL2198" t="str">
        <f>"$"</f>
        <v>$</v>
      </c>
    </row>
    <row r="2199" spans="1:38" x14ac:dyDescent="0.3">
      <c r="A2199" t="str">
        <f>"SO22000469"</f>
        <v>SO22000469</v>
      </c>
      <c r="B2199" t="str">
        <f>"E000374099"</f>
        <v>E000374099</v>
      </c>
      <c r="C2199" t="str">
        <f>"הרכבה חלקית"</f>
        <v>הרכבה חלקית</v>
      </c>
      <c r="E2199" s="3">
        <v>44915</v>
      </c>
      <c r="F2199" s="3">
        <v>45052</v>
      </c>
      <c r="G2199" t="str">
        <f>"700065"</f>
        <v>700065</v>
      </c>
      <c r="H2199" t="str">
        <f>"אלתא מערכות בע""מ"</f>
        <v>אלתא מערכות בע"מ</v>
      </c>
      <c r="I2199" t="str">
        <f>"רחמים זרוק"</f>
        <v>רחמים זרוק</v>
      </c>
      <c r="J2199" t="str">
        <f>"OP-AR03467"</f>
        <v>OP-AR03467</v>
      </c>
      <c r="K2199" s="1" t="str">
        <f>"1021M631-002    CABLE ASSY W8"</f>
        <v>1021M631-002    CABLE ASSY W8</v>
      </c>
      <c r="L2199">
        <v>1</v>
      </c>
      <c r="M2199" t="str">
        <f>"PR22000904"</f>
        <v>PR22000904</v>
      </c>
      <c r="N2199" t="str">
        <f>"E000374099"</f>
        <v>E000374099</v>
      </c>
      <c r="O2199">
        <v>860.12</v>
      </c>
      <c r="P2199" t="str">
        <f>"$"</f>
        <v>$</v>
      </c>
      <c r="Q2199" t="str">
        <f>"117"</f>
        <v>117</v>
      </c>
      <c r="R2199" t="str">
        <f>"רתמות"</f>
        <v>רתמות</v>
      </c>
      <c r="S2199" t="str">
        <f>"040"</f>
        <v>040</v>
      </c>
      <c r="T2199" t="str">
        <f>"עמר ליגל"</f>
        <v>עמר ליגל</v>
      </c>
      <c r="U2199">
        <v>0</v>
      </c>
      <c r="V2199">
        <v>0</v>
      </c>
      <c r="W2199">
        <v>860.12</v>
      </c>
      <c r="X2199">
        <v>860.12</v>
      </c>
      <c r="Z2199" t="str">
        <f>"Y"</f>
        <v>Y</v>
      </c>
      <c r="AA2199">
        <v>0</v>
      </c>
      <c r="AC2199">
        <v>0</v>
      </c>
      <c r="AE2199">
        <v>0</v>
      </c>
      <c r="AF2199">
        <v>0</v>
      </c>
      <c r="AG2199" s="2">
        <v>2983.76</v>
      </c>
      <c r="AH2199">
        <v>0</v>
      </c>
      <c r="AI2199" s="2">
        <v>2983.76</v>
      </c>
      <c r="AJ2199">
        <v>860.12</v>
      </c>
      <c r="AK2199">
        <v>860.12</v>
      </c>
      <c r="AL2199" t="str">
        <f>"$"</f>
        <v>$</v>
      </c>
    </row>
    <row r="2200" spans="1:38" x14ac:dyDescent="0.3">
      <c r="A2200" t="str">
        <f>"SO22000469"</f>
        <v>SO22000469</v>
      </c>
      <c r="B2200" t="str">
        <f>"E000374099"</f>
        <v>E000374099</v>
      </c>
      <c r="C2200" t="str">
        <f>"הרכבה חלקית"</f>
        <v>הרכבה חלקית</v>
      </c>
      <c r="E2200" s="3">
        <v>44915</v>
      </c>
      <c r="F2200" s="3">
        <v>45052</v>
      </c>
      <c r="G2200" t="str">
        <f>"700065"</f>
        <v>700065</v>
      </c>
      <c r="H2200" t="str">
        <f>"אלתא מערכות בע""מ"</f>
        <v>אלתא מערכות בע"מ</v>
      </c>
      <c r="I2200" t="str">
        <f>"רחמים זרוק"</f>
        <v>רחמים זרוק</v>
      </c>
      <c r="J2200" t="str">
        <f>"OP-AR03468"</f>
        <v>OP-AR03468</v>
      </c>
      <c r="K2200" s="1" t="str">
        <f>"1021M632-002    HARNESS W09 - HVPS2 TO HVPS-J4"</f>
        <v>1021M632-002    HARNESS W09 - HVPS2 TO HVPS-J4</v>
      </c>
      <c r="L2200">
        <v>1</v>
      </c>
      <c r="M2200" t="str">
        <f>"PR22000904"</f>
        <v>PR22000904</v>
      </c>
      <c r="N2200" t="str">
        <f>"E000374099"</f>
        <v>E000374099</v>
      </c>
      <c r="O2200">
        <v>887.96</v>
      </c>
      <c r="P2200" t="str">
        <f>"$"</f>
        <v>$</v>
      </c>
      <c r="Q2200" t="str">
        <f>"117"</f>
        <v>117</v>
      </c>
      <c r="R2200" t="str">
        <f>"רתמות"</f>
        <v>רתמות</v>
      </c>
      <c r="S2200" t="str">
        <f>"040"</f>
        <v>040</v>
      </c>
      <c r="T2200" t="str">
        <f>"עמר ליגל"</f>
        <v>עמר ליגל</v>
      </c>
      <c r="U2200">
        <v>0</v>
      </c>
      <c r="V2200">
        <v>0</v>
      </c>
      <c r="W2200">
        <v>887.96</v>
      </c>
      <c r="X2200">
        <v>887.96</v>
      </c>
      <c r="Z2200" t="str">
        <f>"Y"</f>
        <v>Y</v>
      </c>
      <c r="AA2200">
        <v>0</v>
      </c>
      <c r="AC2200">
        <v>0</v>
      </c>
      <c r="AE2200">
        <v>0</v>
      </c>
      <c r="AF2200">
        <v>0</v>
      </c>
      <c r="AG2200" s="2">
        <v>3080.33</v>
      </c>
      <c r="AH2200">
        <v>0</v>
      </c>
      <c r="AI2200" s="2">
        <v>3080.33</v>
      </c>
      <c r="AJ2200">
        <v>887.96</v>
      </c>
      <c r="AK2200">
        <v>887.96</v>
      </c>
      <c r="AL2200" t="str">
        <f>"$"</f>
        <v>$</v>
      </c>
    </row>
    <row r="2201" spans="1:38" x14ac:dyDescent="0.3">
      <c r="A2201" t="str">
        <f>"SO22000469"</f>
        <v>SO22000469</v>
      </c>
      <c r="B2201" t="str">
        <f>"E000374099"</f>
        <v>E000374099</v>
      </c>
      <c r="C2201" t="str">
        <f>"הרכבה חלקית"</f>
        <v>הרכבה חלקית</v>
      </c>
      <c r="E2201" s="3">
        <v>44915</v>
      </c>
      <c r="F2201" s="3">
        <v>45052</v>
      </c>
      <c r="G2201" t="str">
        <f>"700065"</f>
        <v>700065</v>
      </c>
      <c r="H2201" t="str">
        <f>"אלתא מערכות בע""מ"</f>
        <v>אלתא מערכות בע"מ</v>
      </c>
      <c r="I2201" t="str">
        <f>"רחמים זרוק"</f>
        <v>רחמים זרוק</v>
      </c>
      <c r="J2201" t="str">
        <f>"OP-AR03469"</f>
        <v>OP-AR03469</v>
      </c>
      <c r="K2201" s="1" t="str">
        <f>"1021M633-002    HARNESS W10 - HVPS3 TO HVPS-J5"</f>
        <v>1021M633-002    HARNESS W10 - HVPS3 TO HVPS-J5</v>
      </c>
      <c r="L2201">
        <v>1</v>
      </c>
      <c r="M2201" t="str">
        <f>"PR22000904"</f>
        <v>PR22000904</v>
      </c>
      <c r="N2201" t="str">
        <f>"E000374099"</f>
        <v>E000374099</v>
      </c>
      <c r="O2201">
        <v>741.99</v>
      </c>
      <c r="P2201" t="str">
        <f>"$"</f>
        <v>$</v>
      </c>
      <c r="Q2201" t="str">
        <f>"117"</f>
        <v>117</v>
      </c>
      <c r="R2201" t="str">
        <f>"רתמות"</f>
        <v>רתמות</v>
      </c>
      <c r="S2201" t="str">
        <f>"040"</f>
        <v>040</v>
      </c>
      <c r="T2201" t="str">
        <f>"עמר ליגל"</f>
        <v>עמר ליגל</v>
      </c>
      <c r="U2201">
        <v>0</v>
      </c>
      <c r="V2201">
        <v>0</v>
      </c>
      <c r="W2201">
        <v>741.99</v>
      </c>
      <c r="X2201">
        <v>741.99</v>
      </c>
      <c r="Z2201" t="str">
        <f>"Y"</f>
        <v>Y</v>
      </c>
      <c r="AA2201">
        <v>0</v>
      </c>
      <c r="AC2201">
        <v>0</v>
      </c>
      <c r="AE2201">
        <v>0</v>
      </c>
      <c r="AF2201">
        <v>0</v>
      </c>
      <c r="AG2201" s="2">
        <v>2573.96</v>
      </c>
      <c r="AH2201">
        <v>0</v>
      </c>
      <c r="AI2201" s="2">
        <v>2573.96</v>
      </c>
      <c r="AJ2201">
        <v>741.99</v>
      </c>
      <c r="AK2201">
        <v>741.99</v>
      </c>
      <c r="AL2201" t="str">
        <f>"$"</f>
        <v>$</v>
      </c>
    </row>
    <row r="2202" spans="1:38" x14ac:dyDescent="0.3">
      <c r="A2202" t="str">
        <f>"SO22000469"</f>
        <v>SO22000469</v>
      </c>
      <c r="B2202" t="str">
        <f>"E000374099"</f>
        <v>E000374099</v>
      </c>
      <c r="C2202" t="str">
        <f>"הרכבה חלקית"</f>
        <v>הרכבה חלקית</v>
      </c>
      <c r="E2202" s="3">
        <v>44915</v>
      </c>
      <c r="F2202" s="3">
        <v>45052</v>
      </c>
      <c r="G2202" t="str">
        <f>"700065"</f>
        <v>700065</v>
      </c>
      <c r="H2202" t="str">
        <f>"אלתא מערכות בע""מ"</f>
        <v>אלתא מערכות בע"מ</v>
      </c>
      <c r="I2202" t="str">
        <f>"רחמים זרוק"</f>
        <v>רחמים זרוק</v>
      </c>
      <c r="J2202" t="str">
        <f>"OP-AR03470"</f>
        <v>OP-AR03470</v>
      </c>
      <c r="K2202" s="1" t="str">
        <f>"1021M634-002    HARNESS W11 - HVPS4 TO HVPS-J6"</f>
        <v>1021M634-002    HARNESS W11 - HVPS4 TO HVPS-J6</v>
      </c>
      <c r="L2202">
        <v>1</v>
      </c>
      <c r="M2202" t="str">
        <f>"PR22000904"</f>
        <v>PR22000904</v>
      </c>
      <c r="N2202" t="str">
        <f>"E000374099"</f>
        <v>E000374099</v>
      </c>
      <c r="O2202">
        <v>952.71</v>
      </c>
      <c r="P2202" t="str">
        <f>"$"</f>
        <v>$</v>
      </c>
      <c r="Q2202" t="str">
        <f>"117"</f>
        <v>117</v>
      </c>
      <c r="R2202" t="str">
        <f>"רתמות"</f>
        <v>רתמות</v>
      </c>
      <c r="S2202" t="str">
        <f>"040"</f>
        <v>040</v>
      </c>
      <c r="T2202" t="str">
        <f>"עמר ליגל"</f>
        <v>עמר ליגל</v>
      </c>
      <c r="U2202">
        <v>0</v>
      </c>
      <c r="V2202">
        <v>0</v>
      </c>
      <c r="W2202">
        <v>952.71</v>
      </c>
      <c r="X2202">
        <v>952.71</v>
      </c>
      <c r="Z2202" t="str">
        <f>"Y"</f>
        <v>Y</v>
      </c>
      <c r="AA2202">
        <v>0</v>
      </c>
      <c r="AC2202">
        <v>0</v>
      </c>
      <c r="AE2202">
        <v>0</v>
      </c>
      <c r="AF2202">
        <v>0</v>
      </c>
      <c r="AG2202" s="2">
        <v>3304.95</v>
      </c>
      <c r="AH2202">
        <v>0</v>
      </c>
      <c r="AI2202" s="2">
        <v>3304.95</v>
      </c>
      <c r="AJ2202">
        <v>952.71</v>
      </c>
      <c r="AK2202">
        <v>952.71</v>
      </c>
      <c r="AL2202" t="str">
        <f>"$"</f>
        <v>$</v>
      </c>
    </row>
    <row r="2203" spans="1:38" x14ac:dyDescent="0.3">
      <c r="A2203" t="str">
        <f>"SO22000469"</f>
        <v>SO22000469</v>
      </c>
      <c r="B2203" t="str">
        <f>"E000374099"</f>
        <v>E000374099</v>
      </c>
      <c r="C2203" t="str">
        <f>"הרכבה חלקית"</f>
        <v>הרכבה חלקית</v>
      </c>
      <c r="E2203" s="3">
        <v>44915</v>
      </c>
      <c r="F2203" s="3">
        <v>45052</v>
      </c>
      <c r="G2203" t="str">
        <f>"700065"</f>
        <v>700065</v>
      </c>
      <c r="H2203" t="str">
        <f>"אלתא מערכות בע""מ"</f>
        <v>אלתא מערכות בע"מ</v>
      </c>
      <c r="I2203" t="str">
        <f>"רחמים זרוק"</f>
        <v>רחמים זרוק</v>
      </c>
      <c r="J2203" t="str">
        <f>"OP-AR03471"</f>
        <v>OP-AR03471</v>
      </c>
      <c r="K2203" s="1" t="str">
        <f>"1021M635-002    HARNESS W12 - HVPS5 TO HVPS-J7"</f>
        <v>1021M635-002    HARNESS W12 - HVPS5 TO HVPS-J7</v>
      </c>
      <c r="L2203">
        <v>1</v>
      </c>
      <c r="M2203" t="str">
        <f>"PR22000904"</f>
        <v>PR22000904</v>
      </c>
      <c r="N2203" t="str">
        <f>"E000374099"</f>
        <v>E000374099</v>
      </c>
      <c r="O2203">
        <v>792.93</v>
      </c>
      <c r="P2203" t="str">
        <f>"$"</f>
        <v>$</v>
      </c>
      <c r="Q2203" t="str">
        <f>"117"</f>
        <v>117</v>
      </c>
      <c r="R2203" t="str">
        <f>"רתמות"</f>
        <v>רתמות</v>
      </c>
      <c r="S2203" t="str">
        <f>"040"</f>
        <v>040</v>
      </c>
      <c r="T2203" t="str">
        <f>"עמר ליגל"</f>
        <v>עמר ליגל</v>
      </c>
      <c r="U2203">
        <v>0</v>
      </c>
      <c r="V2203">
        <v>0</v>
      </c>
      <c r="W2203">
        <v>792.93</v>
      </c>
      <c r="X2203">
        <v>792.93</v>
      </c>
      <c r="Z2203" t="str">
        <f>"Y"</f>
        <v>Y</v>
      </c>
      <c r="AA2203">
        <v>0</v>
      </c>
      <c r="AC2203">
        <v>0</v>
      </c>
      <c r="AE2203">
        <v>0</v>
      </c>
      <c r="AF2203">
        <v>0</v>
      </c>
      <c r="AG2203" s="2">
        <v>2750.67</v>
      </c>
      <c r="AH2203">
        <v>0</v>
      </c>
      <c r="AI2203" s="2">
        <v>2750.67</v>
      </c>
      <c r="AJ2203">
        <v>792.93</v>
      </c>
      <c r="AK2203">
        <v>792.93</v>
      </c>
      <c r="AL2203" t="str">
        <f>"$"</f>
        <v>$</v>
      </c>
    </row>
    <row r="2204" spans="1:38" x14ac:dyDescent="0.3">
      <c r="A2204" t="str">
        <f>"SO22000469"</f>
        <v>SO22000469</v>
      </c>
      <c r="B2204" t="str">
        <f>"E000374099"</f>
        <v>E000374099</v>
      </c>
      <c r="C2204" t="str">
        <f>"הרכבה חלקית"</f>
        <v>הרכבה חלקית</v>
      </c>
      <c r="E2204" s="3">
        <v>44915</v>
      </c>
      <c r="F2204" s="3">
        <v>45052</v>
      </c>
      <c r="G2204" t="str">
        <f>"700065"</f>
        <v>700065</v>
      </c>
      <c r="H2204" t="str">
        <f>"אלתא מערכות בע""מ"</f>
        <v>אלתא מערכות בע"מ</v>
      </c>
      <c r="I2204" t="str">
        <f>"רחמים זרוק"</f>
        <v>רחמים זרוק</v>
      </c>
      <c r="J2204" t="str">
        <f>"OP-AR03472"</f>
        <v>OP-AR03472</v>
      </c>
      <c r="K2204" s="1" t="str">
        <f>"1021M637-001    HARNESS W14 - ACM TO HVPS"</f>
        <v>1021M637-001    HARNESS W14 - ACM TO HVPS</v>
      </c>
      <c r="L2204">
        <v>1</v>
      </c>
      <c r="M2204" t="str">
        <f>"PR22000904"</f>
        <v>PR22000904</v>
      </c>
      <c r="N2204" t="str">
        <f>"E000374099"</f>
        <v>E000374099</v>
      </c>
      <c r="O2204">
        <v>761.65</v>
      </c>
      <c r="P2204" t="str">
        <f>"$"</f>
        <v>$</v>
      </c>
      <c r="Q2204" t="str">
        <f>"117"</f>
        <v>117</v>
      </c>
      <c r="R2204" t="str">
        <f>"רתמות"</f>
        <v>רתמות</v>
      </c>
      <c r="S2204" t="str">
        <f>"040"</f>
        <v>040</v>
      </c>
      <c r="T2204" t="str">
        <f>"עמר ליגל"</f>
        <v>עמר ליגל</v>
      </c>
      <c r="U2204">
        <v>0</v>
      </c>
      <c r="V2204">
        <v>0</v>
      </c>
      <c r="W2204">
        <v>761.65</v>
      </c>
      <c r="X2204">
        <v>761.65</v>
      </c>
      <c r="Z2204" t="str">
        <f>"Y"</f>
        <v>Y</v>
      </c>
      <c r="AA2204">
        <v>0</v>
      </c>
      <c r="AC2204">
        <v>0</v>
      </c>
      <c r="AE2204">
        <v>0</v>
      </c>
      <c r="AF2204">
        <v>0</v>
      </c>
      <c r="AG2204" s="2">
        <v>2642.16</v>
      </c>
      <c r="AH2204">
        <v>0</v>
      </c>
      <c r="AI2204" s="2">
        <v>2642.16</v>
      </c>
      <c r="AJ2204">
        <v>761.65</v>
      </c>
      <c r="AK2204">
        <v>761.65</v>
      </c>
      <c r="AL2204" t="str">
        <f>"$"</f>
        <v>$</v>
      </c>
    </row>
    <row r="2205" spans="1:38" x14ac:dyDescent="0.3">
      <c r="A2205" t="str">
        <f>"SO22000469"</f>
        <v>SO22000469</v>
      </c>
      <c r="B2205" t="str">
        <f>"E000374099"</f>
        <v>E000374099</v>
      </c>
      <c r="C2205" t="str">
        <f>"הרכבה חלקית"</f>
        <v>הרכבה חלקית</v>
      </c>
      <c r="E2205" s="3">
        <v>44915</v>
      </c>
      <c r="F2205" s="3">
        <v>45052</v>
      </c>
      <c r="G2205" t="str">
        <f>"700065"</f>
        <v>700065</v>
      </c>
      <c r="H2205" t="str">
        <f>"אלתא מערכות בע""מ"</f>
        <v>אלתא מערכות בע"מ</v>
      </c>
      <c r="I2205" t="str">
        <f>"רחמים זרוק"</f>
        <v>רחמים זרוק</v>
      </c>
      <c r="J2205" t="str">
        <f>"OP-AR03398"</f>
        <v>OP-AR03398</v>
      </c>
      <c r="K2205" s="1" t="str">
        <f>"1032F134-001    HARNESS WL134 - RECTIFIER INPUT AC VOLT"</f>
        <v>1032F134-001    HARNESS WL134 - RECTIFIER INPUT AC VOLT</v>
      </c>
      <c r="L2205">
        <v>1</v>
      </c>
      <c r="M2205" t="str">
        <f>"PR22000904"</f>
        <v>PR22000904</v>
      </c>
      <c r="N2205" t="str">
        <f>"E000374099"</f>
        <v>E000374099</v>
      </c>
      <c r="O2205">
        <v>605.91</v>
      </c>
      <c r="P2205" t="str">
        <f>"$"</f>
        <v>$</v>
      </c>
      <c r="Q2205" t="str">
        <f>"117"</f>
        <v>117</v>
      </c>
      <c r="R2205" t="str">
        <f>"רתמות"</f>
        <v>רתמות</v>
      </c>
      <c r="S2205" t="str">
        <f>"040"</f>
        <v>040</v>
      </c>
      <c r="T2205" t="str">
        <f>"עמר ליגל"</f>
        <v>עמר ליגל</v>
      </c>
      <c r="U2205">
        <v>0</v>
      </c>
      <c r="V2205">
        <v>0</v>
      </c>
      <c r="W2205">
        <v>605.91</v>
      </c>
      <c r="X2205">
        <v>605.91</v>
      </c>
      <c r="Z2205" t="str">
        <f>"Y"</f>
        <v>Y</v>
      </c>
      <c r="AA2205">
        <v>0</v>
      </c>
      <c r="AC2205">
        <v>0</v>
      </c>
      <c r="AE2205">
        <v>0</v>
      </c>
      <c r="AF2205">
        <v>0</v>
      </c>
      <c r="AG2205" s="2">
        <v>2101.9</v>
      </c>
      <c r="AH2205">
        <v>0</v>
      </c>
      <c r="AI2205" s="2">
        <v>2101.9</v>
      </c>
      <c r="AJ2205">
        <v>605.91</v>
      </c>
      <c r="AK2205">
        <v>605.91</v>
      </c>
      <c r="AL2205" t="str">
        <f>"$"</f>
        <v>$</v>
      </c>
    </row>
    <row r="2206" spans="1:38" x14ac:dyDescent="0.3">
      <c r="A2206" t="str">
        <f>"SO22000469"</f>
        <v>SO22000469</v>
      </c>
      <c r="B2206" t="str">
        <f>"E000374099"</f>
        <v>E000374099</v>
      </c>
      <c r="C2206" t="str">
        <f>"הרכבה חלקית"</f>
        <v>הרכבה חלקית</v>
      </c>
      <c r="E2206" s="3">
        <v>44915</v>
      </c>
      <c r="F2206" s="3">
        <v>45052</v>
      </c>
      <c r="G2206" t="str">
        <f>"700065"</f>
        <v>700065</v>
      </c>
      <c r="H2206" t="str">
        <f>"אלתא מערכות בע""מ"</f>
        <v>אלתא מערכות בע"מ</v>
      </c>
      <c r="I2206" t="str">
        <f>"רחמים זרוק"</f>
        <v>רחמים זרוק</v>
      </c>
      <c r="J2206" t="str">
        <f>"OP-AR03398"</f>
        <v>OP-AR03398</v>
      </c>
      <c r="K2206" s="1" t="str">
        <f>"1032F134-001    HARNESS WL134 - RECTIFIER INPUT AC VOLT"</f>
        <v>1032F134-001    HARNESS WL134 - RECTIFIER INPUT AC VOLT</v>
      </c>
      <c r="L2206">
        <v>1</v>
      </c>
      <c r="M2206" t="str">
        <f>"PR22000904"</f>
        <v>PR22000904</v>
      </c>
      <c r="N2206" t="str">
        <f>"E000374099"</f>
        <v>E000374099</v>
      </c>
      <c r="O2206">
        <v>605.91</v>
      </c>
      <c r="P2206" t="str">
        <f>"$"</f>
        <v>$</v>
      </c>
      <c r="Q2206" t="str">
        <f>"117"</f>
        <v>117</v>
      </c>
      <c r="R2206" t="str">
        <f>"רתמות"</f>
        <v>רתמות</v>
      </c>
      <c r="S2206" t="str">
        <f>"040"</f>
        <v>040</v>
      </c>
      <c r="T2206" t="str">
        <f>"עמר ליגל"</f>
        <v>עמר ליגל</v>
      </c>
      <c r="U2206">
        <v>0</v>
      </c>
      <c r="V2206">
        <v>0</v>
      </c>
      <c r="W2206">
        <v>605.91</v>
      </c>
      <c r="X2206">
        <v>605.91</v>
      </c>
      <c r="Z2206" t="str">
        <f>"Y"</f>
        <v>Y</v>
      </c>
      <c r="AA2206">
        <v>0</v>
      </c>
      <c r="AC2206">
        <v>0</v>
      </c>
      <c r="AE2206">
        <v>0</v>
      </c>
      <c r="AF2206">
        <v>0</v>
      </c>
      <c r="AG2206" s="2">
        <v>2101.9</v>
      </c>
      <c r="AH2206">
        <v>0</v>
      </c>
      <c r="AI2206" s="2">
        <v>2101.9</v>
      </c>
      <c r="AJ2206">
        <v>605.91</v>
      </c>
      <c r="AK2206">
        <v>605.91</v>
      </c>
      <c r="AL2206" t="str">
        <f>"$"</f>
        <v>$</v>
      </c>
    </row>
    <row r="2207" spans="1:38" x14ac:dyDescent="0.3">
      <c r="A2207" t="str">
        <f>"SO22000469"</f>
        <v>SO22000469</v>
      </c>
      <c r="B2207" t="str">
        <f>"E000374099"</f>
        <v>E000374099</v>
      </c>
      <c r="C2207" t="str">
        <f>"הרכבה חלקית"</f>
        <v>הרכבה חלקית</v>
      </c>
      <c r="E2207" s="3">
        <v>44915</v>
      </c>
      <c r="F2207" s="3">
        <v>45052</v>
      </c>
      <c r="G2207" t="str">
        <f>"700065"</f>
        <v>700065</v>
      </c>
      <c r="H2207" t="str">
        <f>"אלתא מערכות בע""מ"</f>
        <v>אלתא מערכות בע"מ</v>
      </c>
      <c r="I2207" t="str">
        <f>"רחמים זרוק"</f>
        <v>רחמים זרוק</v>
      </c>
      <c r="J2207" t="str">
        <f>"OP-AR03517"</f>
        <v>OP-AR03517</v>
      </c>
      <c r="K2207" s="1" t="str">
        <f>"1032F135-001    HARNESS WL135 - BEL EPU1 TO LPX ACR FUL"</f>
        <v>1032F135-001    HARNESS WL135 - BEL EPU1 TO LPX ACR FUL</v>
      </c>
      <c r="L2207">
        <v>1</v>
      </c>
      <c r="M2207" t="str">
        <f>"PR22000904"</f>
        <v>PR22000904</v>
      </c>
      <c r="N2207" t="str">
        <f>"E000374099"</f>
        <v>E000374099</v>
      </c>
      <c r="O2207">
        <v>324.12</v>
      </c>
      <c r="P2207" t="str">
        <f>"$"</f>
        <v>$</v>
      </c>
      <c r="Q2207" t="str">
        <f>"117"</f>
        <v>117</v>
      </c>
      <c r="R2207" t="str">
        <f>"רתמות"</f>
        <v>רתמות</v>
      </c>
      <c r="S2207" t="str">
        <f>"040"</f>
        <v>040</v>
      </c>
      <c r="T2207" t="str">
        <f>"עמר ליגל"</f>
        <v>עמר ליגל</v>
      </c>
      <c r="U2207">
        <v>0</v>
      </c>
      <c r="V2207">
        <v>0</v>
      </c>
      <c r="W2207">
        <v>324.12</v>
      </c>
      <c r="X2207">
        <v>324.12</v>
      </c>
      <c r="Z2207" t="str">
        <f>"Y"</f>
        <v>Y</v>
      </c>
      <c r="AA2207">
        <v>0</v>
      </c>
      <c r="AC2207">
        <v>0</v>
      </c>
      <c r="AE2207">
        <v>0</v>
      </c>
      <c r="AF2207">
        <v>0</v>
      </c>
      <c r="AG2207" s="2">
        <v>1124.3699999999999</v>
      </c>
      <c r="AH2207">
        <v>0</v>
      </c>
      <c r="AI2207" s="2">
        <v>1124.3699999999999</v>
      </c>
      <c r="AJ2207">
        <v>324.12</v>
      </c>
      <c r="AK2207">
        <v>324.12</v>
      </c>
      <c r="AL2207" t="str">
        <f>"$"</f>
        <v>$</v>
      </c>
    </row>
    <row r="2208" spans="1:38" x14ac:dyDescent="0.3">
      <c r="A2208" t="str">
        <f>"SO22000469"</f>
        <v>SO22000469</v>
      </c>
      <c r="B2208" t="str">
        <f>"E000374099"</f>
        <v>E000374099</v>
      </c>
      <c r="C2208" t="str">
        <f>"הרכבה חלקית"</f>
        <v>הרכבה חלקית</v>
      </c>
      <c r="E2208" s="3">
        <v>44915</v>
      </c>
      <c r="F2208" s="3">
        <v>45052</v>
      </c>
      <c r="G2208" t="str">
        <f>"700065"</f>
        <v>700065</v>
      </c>
      <c r="H2208" t="str">
        <f>"אלתא מערכות בע""מ"</f>
        <v>אלתא מערכות בע"מ</v>
      </c>
      <c r="I2208" t="str">
        <f>"רחמים זרוק"</f>
        <v>רחמים זרוק</v>
      </c>
      <c r="J2208" t="str">
        <f>"OP-AR03517"</f>
        <v>OP-AR03517</v>
      </c>
      <c r="K2208" s="1" t="str">
        <f>"1032F135-001    HARNESS WL135 - BEL EPU1 TO LPX ACR FUL"</f>
        <v>1032F135-001    HARNESS WL135 - BEL EPU1 TO LPX ACR FUL</v>
      </c>
      <c r="L2208">
        <v>1</v>
      </c>
      <c r="M2208" t="str">
        <f>"PR22000904"</f>
        <v>PR22000904</v>
      </c>
      <c r="N2208" t="str">
        <f>"E000374099"</f>
        <v>E000374099</v>
      </c>
      <c r="O2208">
        <v>324.12</v>
      </c>
      <c r="P2208" t="str">
        <f>"$"</f>
        <v>$</v>
      </c>
      <c r="Q2208" t="str">
        <f>"117"</f>
        <v>117</v>
      </c>
      <c r="R2208" t="str">
        <f>"רתמות"</f>
        <v>רתמות</v>
      </c>
      <c r="S2208" t="str">
        <f>"040"</f>
        <v>040</v>
      </c>
      <c r="T2208" t="str">
        <f>"עמר ליגל"</f>
        <v>עמר ליגל</v>
      </c>
      <c r="U2208">
        <v>0</v>
      </c>
      <c r="V2208">
        <v>0</v>
      </c>
      <c r="W2208">
        <v>324.12</v>
      </c>
      <c r="X2208">
        <v>324.12</v>
      </c>
      <c r="Z2208" t="str">
        <f>"Y"</f>
        <v>Y</v>
      </c>
      <c r="AA2208">
        <v>0</v>
      </c>
      <c r="AC2208">
        <v>0</v>
      </c>
      <c r="AE2208">
        <v>0</v>
      </c>
      <c r="AF2208">
        <v>0</v>
      </c>
      <c r="AG2208" s="2">
        <v>1124.3699999999999</v>
      </c>
      <c r="AH2208">
        <v>0</v>
      </c>
      <c r="AI2208" s="2">
        <v>1124.3699999999999</v>
      </c>
      <c r="AJ2208">
        <v>324.12</v>
      </c>
      <c r="AK2208">
        <v>324.12</v>
      </c>
      <c r="AL2208" t="str">
        <f>"$"</f>
        <v>$</v>
      </c>
    </row>
    <row r="2209" spans="1:38" x14ac:dyDescent="0.3">
      <c r="A2209" t="str">
        <f>"SO22000469"</f>
        <v>SO22000469</v>
      </c>
      <c r="B2209" t="str">
        <f>"E000374099"</f>
        <v>E000374099</v>
      </c>
      <c r="C2209" t="str">
        <f>"הרכבה חלקית"</f>
        <v>הרכבה חלקית</v>
      </c>
      <c r="E2209" s="3">
        <v>44915</v>
      </c>
      <c r="F2209" s="3">
        <v>45052</v>
      </c>
      <c r="G2209" t="str">
        <f>"700065"</f>
        <v>700065</v>
      </c>
      <c r="H2209" t="str">
        <f>"אלתא מערכות בע""מ"</f>
        <v>אלתא מערכות בע"מ</v>
      </c>
      <c r="I2209" t="str">
        <f>"רחמים זרוק"</f>
        <v>רחמים זרוק</v>
      </c>
      <c r="J2209" t="str">
        <f>"OP-AR03474"</f>
        <v>OP-AR03474</v>
      </c>
      <c r="K2209" s="1" t="str">
        <f>"1032F608-001    HARNESS WB608 - LAB - POWER TO OC - 220V"</f>
        <v>1032F608-001    HARNESS WB608 - LAB - POWER TO OC - 220V</v>
      </c>
      <c r="L2209">
        <v>1</v>
      </c>
      <c r="M2209" t="str">
        <f>"PR22000904"</f>
        <v>PR22000904</v>
      </c>
      <c r="N2209" t="str">
        <f>"E000374099"</f>
        <v>E000374099</v>
      </c>
      <c r="O2209">
        <v>215.32</v>
      </c>
      <c r="P2209" t="str">
        <f>"$"</f>
        <v>$</v>
      </c>
      <c r="Q2209" t="str">
        <f>"117"</f>
        <v>117</v>
      </c>
      <c r="R2209" t="str">
        <f>"רתמות"</f>
        <v>רתמות</v>
      </c>
      <c r="S2209" t="str">
        <f>"040"</f>
        <v>040</v>
      </c>
      <c r="T2209" t="str">
        <f>"עמר ליגל"</f>
        <v>עמר ליגל</v>
      </c>
      <c r="U2209">
        <v>0</v>
      </c>
      <c r="V2209">
        <v>0</v>
      </c>
      <c r="W2209">
        <v>215.32</v>
      </c>
      <c r="X2209">
        <v>215.32</v>
      </c>
      <c r="Z2209" t="str">
        <f>"Y"</f>
        <v>Y</v>
      </c>
      <c r="AA2209">
        <v>0</v>
      </c>
      <c r="AC2209">
        <v>0</v>
      </c>
      <c r="AE2209">
        <v>0</v>
      </c>
      <c r="AF2209">
        <v>0</v>
      </c>
      <c r="AG2209">
        <v>746.95</v>
      </c>
      <c r="AH2209">
        <v>0</v>
      </c>
      <c r="AI2209">
        <v>746.95</v>
      </c>
      <c r="AJ2209">
        <v>215.32</v>
      </c>
      <c r="AK2209">
        <v>215.32</v>
      </c>
      <c r="AL2209" t="str">
        <f>"$"</f>
        <v>$</v>
      </c>
    </row>
    <row r="2210" spans="1:38" x14ac:dyDescent="0.3">
      <c r="A2210" t="str">
        <f>"SO22000469"</f>
        <v>SO22000469</v>
      </c>
      <c r="B2210" t="str">
        <f>"E000374099"</f>
        <v>E000374099</v>
      </c>
      <c r="C2210" t="str">
        <f>"הרכבה חלקית"</f>
        <v>הרכבה חלקית</v>
      </c>
      <c r="E2210" s="3">
        <v>44915</v>
      </c>
      <c r="F2210" s="3">
        <v>45052</v>
      </c>
      <c r="G2210" t="str">
        <f>"700065"</f>
        <v>700065</v>
      </c>
      <c r="H2210" t="str">
        <f>"אלתא מערכות בע""מ"</f>
        <v>אלתא מערכות בע"מ</v>
      </c>
      <c r="I2210" t="str">
        <f>"רחמים זרוק"</f>
        <v>רחמים זרוק</v>
      </c>
      <c r="J2210" t="str">
        <f>"OP-AR03475"</f>
        <v>OP-AR03475</v>
      </c>
      <c r="K2210" s="1" t="str">
        <f>"1032F609-001    HARNESS WB609 - LAB - POWER TO EPU2 - 38"</f>
        <v>1032F609-001    HARNESS WB609 - LAB - POWER TO EPU2 - 38</v>
      </c>
      <c r="L2210">
        <v>1</v>
      </c>
      <c r="M2210" t="str">
        <f>"PR22000904"</f>
        <v>PR22000904</v>
      </c>
      <c r="N2210" t="str">
        <f>"E000374099"</f>
        <v>E000374099</v>
      </c>
      <c r="O2210">
        <v>684.3</v>
      </c>
      <c r="P2210" t="str">
        <f>"$"</f>
        <v>$</v>
      </c>
      <c r="Q2210" t="str">
        <f>"117"</f>
        <v>117</v>
      </c>
      <c r="R2210" t="str">
        <f>"רתמות"</f>
        <v>רתמות</v>
      </c>
      <c r="S2210" t="str">
        <f>"040"</f>
        <v>040</v>
      </c>
      <c r="T2210" t="str">
        <f>"עמר ליגל"</f>
        <v>עמר ליגל</v>
      </c>
      <c r="U2210">
        <v>0</v>
      </c>
      <c r="V2210">
        <v>0</v>
      </c>
      <c r="W2210">
        <v>684.3</v>
      </c>
      <c r="X2210">
        <v>684.3</v>
      </c>
      <c r="Z2210" t="str">
        <f>"Y"</f>
        <v>Y</v>
      </c>
      <c r="AA2210">
        <v>0</v>
      </c>
      <c r="AC2210">
        <v>0</v>
      </c>
      <c r="AE2210">
        <v>0</v>
      </c>
      <c r="AF2210">
        <v>0</v>
      </c>
      <c r="AG2210" s="2">
        <v>2373.84</v>
      </c>
      <c r="AH2210">
        <v>0</v>
      </c>
      <c r="AI2210" s="2">
        <v>2373.84</v>
      </c>
      <c r="AJ2210">
        <v>684.3</v>
      </c>
      <c r="AK2210">
        <v>684.3</v>
      </c>
      <c r="AL2210" t="str">
        <f>"$"</f>
        <v>$</v>
      </c>
    </row>
    <row r="2211" spans="1:38" x14ac:dyDescent="0.3">
      <c r="A2211" t="str">
        <f>"SO22000469"</f>
        <v>SO22000469</v>
      </c>
      <c r="B2211" t="str">
        <f>"E000374099"</f>
        <v>E000374099</v>
      </c>
      <c r="C2211" t="str">
        <f>"הרכבה חלקית"</f>
        <v>הרכבה חלקית</v>
      </c>
      <c r="E2211" s="3">
        <v>44915</v>
      </c>
      <c r="F2211" s="3">
        <v>45052</v>
      </c>
      <c r="G2211" t="str">
        <f>"700065"</f>
        <v>700065</v>
      </c>
      <c r="H2211" t="str">
        <f>"אלתא מערכות בע""מ"</f>
        <v>אלתא מערכות בע"מ</v>
      </c>
      <c r="I2211" t="str">
        <f>"רחמים זרוק"</f>
        <v>רחמים זרוק</v>
      </c>
      <c r="J2211" t="str">
        <f>"OP-AR03476"</f>
        <v>OP-AR03476</v>
      </c>
      <c r="K2211" s="1" t="str">
        <f>"1032F612-001    HARNESS WB612 - LAB - HVPS_RACK TO SHELT"</f>
        <v>1032F612-001    HARNESS WB612 - LAB - HVPS_RACK TO SHELT</v>
      </c>
      <c r="L2211">
        <v>1</v>
      </c>
      <c r="M2211" t="str">
        <f>"PR22000904"</f>
        <v>PR22000904</v>
      </c>
      <c r="N2211" t="str">
        <f>"E000374099"</f>
        <v>E000374099</v>
      </c>
      <c r="O2211" s="2">
        <v>4196.28</v>
      </c>
      <c r="P2211" t="str">
        <f>"$"</f>
        <v>$</v>
      </c>
      <c r="Q2211" t="str">
        <f>"117"</f>
        <v>117</v>
      </c>
      <c r="R2211" t="str">
        <f>"רתמות"</f>
        <v>רתמות</v>
      </c>
      <c r="S2211" t="str">
        <f>"040"</f>
        <v>040</v>
      </c>
      <c r="T2211" t="str">
        <f>"עמר ליגל"</f>
        <v>עמר ליגל</v>
      </c>
      <c r="U2211">
        <v>0</v>
      </c>
      <c r="V2211">
        <v>0</v>
      </c>
      <c r="W2211" s="2">
        <v>4196.28</v>
      </c>
      <c r="X2211" s="2">
        <v>4196.28</v>
      </c>
      <c r="Z2211" t="str">
        <f>"Y"</f>
        <v>Y</v>
      </c>
      <c r="AA2211">
        <v>0</v>
      </c>
      <c r="AC2211">
        <v>0</v>
      </c>
      <c r="AE2211">
        <v>0</v>
      </c>
      <c r="AF2211">
        <v>0</v>
      </c>
      <c r="AG2211" s="2">
        <v>14556.9</v>
      </c>
      <c r="AH2211">
        <v>0</v>
      </c>
      <c r="AI2211" s="2">
        <v>14556.9</v>
      </c>
      <c r="AJ2211" s="2">
        <v>4196.28</v>
      </c>
      <c r="AK2211" s="2">
        <v>4196.28</v>
      </c>
      <c r="AL2211" t="str">
        <f>"$"</f>
        <v>$</v>
      </c>
    </row>
    <row r="2212" spans="1:38" x14ac:dyDescent="0.3">
      <c r="A2212" t="str">
        <f>"SO22000469"</f>
        <v>SO22000469</v>
      </c>
      <c r="B2212" t="str">
        <f>"E000374099"</f>
        <v>E000374099</v>
      </c>
      <c r="C2212" t="str">
        <f>"הרכבה חלקית"</f>
        <v>הרכבה חלקית</v>
      </c>
      <c r="E2212" s="3">
        <v>44915</v>
      </c>
      <c r="F2212" s="3">
        <v>45052</v>
      </c>
      <c r="G2212" t="str">
        <f>"700065"</f>
        <v>700065</v>
      </c>
      <c r="H2212" t="str">
        <f>"אלתא מערכות בע""מ"</f>
        <v>אלתא מערכות בע"מ</v>
      </c>
      <c r="I2212" t="str">
        <f>"רחמים זרוק"</f>
        <v>רחמים זרוק</v>
      </c>
      <c r="J2212" t="str">
        <f>"OP-AR03477"</f>
        <v>OP-AR03477</v>
      </c>
      <c r="K2212" s="1" t="str">
        <f>"1032F613-001    HARNESS WB613 - LAB - HVPS_RACK TO SHELT"</f>
        <v>1032F613-001    HARNESS WB613 - LAB - HVPS_RACK TO SHELT</v>
      </c>
      <c r="L2212">
        <v>1</v>
      </c>
      <c r="M2212" t="str">
        <f>"PR22000904"</f>
        <v>PR22000904</v>
      </c>
      <c r="N2212" t="str">
        <f>"E000374099"</f>
        <v>E000374099</v>
      </c>
      <c r="O2212" s="2">
        <v>4196.28</v>
      </c>
      <c r="P2212" t="str">
        <f>"$"</f>
        <v>$</v>
      </c>
      <c r="Q2212" t="str">
        <f>"117"</f>
        <v>117</v>
      </c>
      <c r="R2212" t="str">
        <f>"רתמות"</f>
        <v>רתמות</v>
      </c>
      <c r="S2212" t="str">
        <f>"040"</f>
        <v>040</v>
      </c>
      <c r="T2212" t="str">
        <f>"עמר ליגל"</f>
        <v>עמר ליגל</v>
      </c>
      <c r="U2212">
        <v>0</v>
      </c>
      <c r="V2212">
        <v>0</v>
      </c>
      <c r="W2212" s="2">
        <v>4196.28</v>
      </c>
      <c r="X2212" s="2">
        <v>4196.28</v>
      </c>
      <c r="Z2212" t="str">
        <f>"Y"</f>
        <v>Y</v>
      </c>
      <c r="AA2212">
        <v>0</v>
      </c>
      <c r="AC2212">
        <v>0</v>
      </c>
      <c r="AE2212">
        <v>0</v>
      </c>
      <c r="AF2212">
        <v>0</v>
      </c>
      <c r="AG2212" s="2">
        <v>14556.9</v>
      </c>
      <c r="AH2212">
        <v>0</v>
      </c>
      <c r="AI2212" s="2">
        <v>14556.9</v>
      </c>
      <c r="AJ2212" s="2">
        <v>4196.28</v>
      </c>
      <c r="AK2212" s="2">
        <v>4196.28</v>
      </c>
      <c r="AL2212" t="str">
        <f>"$"</f>
        <v>$</v>
      </c>
    </row>
    <row r="2213" spans="1:38" x14ac:dyDescent="0.3">
      <c r="A2213" t="str">
        <f>"SO22000469"</f>
        <v>SO22000469</v>
      </c>
      <c r="B2213" t="str">
        <f>"E000374099"</f>
        <v>E000374099</v>
      </c>
      <c r="C2213" t="str">
        <f>"הרכבה חלקית"</f>
        <v>הרכבה חלקית</v>
      </c>
      <c r="E2213" s="3">
        <v>44915</v>
      </c>
      <c r="F2213" s="3">
        <v>45052</v>
      </c>
      <c r="G2213" t="str">
        <f>"700065"</f>
        <v>700065</v>
      </c>
      <c r="H2213" t="str">
        <f>"אלתא מערכות בע""מ"</f>
        <v>אלתא מערכות בע"מ</v>
      </c>
      <c r="I2213" t="str">
        <f>"רחמים זרוק"</f>
        <v>רחמים זרוק</v>
      </c>
      <c r="J2213" t="str">
        <f>"OP-AR03478"</f>
        <v>OP-AR03478</v>
      </c>
      <c r="K2213" s="1" t="str">
        <f>"1032F620-001    HARNESS WB620 - LAB - SHELTER PANEL B TO"</f>
        <v>1032F620-001    HARNESS WB620 - LAB - SHELTER PANEL B TO</v>
      </c>
      <c r="L2213">
        <v>1</v>
      </c>
      <c r="M2213" t="str">
        <f>"PR22000904"</f>
        <v>PR22000904</v>
      </c>
      <c r="N2213" t="str">
        <f>"E000374099"</f>
        <v>E000374099</v>
      </c>
      <c r="O2213" s="2">
        <v>1753.81</v>
      </c>
      <c r="P2213" t="str">
        <f>"$"</f>
        <v>$</v>
      </c>
      <c r="Q2213" t="str">
        <f>"117"</f>
        <v>117</v>
      </c>
      <c r="R2213" t="str">
        <f>"רתמות"</f>
        <v>רתמות</v>
      </c>
      <c r="S2213" t="str">
        <f>"040"</f>
        <v>040</v>
      </c>
      <c r="T2213" t="str">
        <f>"עמר ליגל"</f>
        <v>עמר ליגל</v>
      </c>
      <c r="U2213">
        <v>0</v>
      </c>
      <c r="V2213">
        <v>0</v>
      </c>
      <c r="W2213" s="2">
        <v>1753.81</v>
      </c>
      <c r="X2213" s="2">
        <v>1753.81</v>
      </c>
      <c r="Z2213" t="str">
        <f>"Y"</f>
        <v>Y</v>
      </c>
      <c r="AA2213">
        <v>0</v>
      </c>
      <c r="AC2213">
        <v>0</v>
      </c>
      <c r="AE2213">
        <v>0</v>
      </c>
      <c r="AF2213">
        <v>0</v>
      </c>
      <c r="AG2213" s="2">
        <v>6083.97</v>
      </c>
      <c r="AH2213">
        <v>0</v>
      </c>
      <c r="AI2213" s="2">
        <v>6083.97</v>
      </c>
      <c r="AJ2213" s="2">
        <v>1753.81</v>
      </c>
      <c r="AK2213" s="2">
        <v>1753.81</v>
      </c>
      <c r="AL2213" t="str">
        <f>"$"</f>
        <v>$</v>
      </c>
    </row>
    <row r="2214" spans="1:38" x14ac:dyDescent="0.3">
      <c r="A2214" t="str">
        <f>"SO22000469"</f>
        <v>SO22000469</v>
      </c>
      <c r="B2214" t="str">
        <f>"E000374099"</f>
        <v>E000374099</v>
      </c>
      <c r="C2214" t="str">
        <f>"הרכבה חלקית"</f>
        <v>הרכבה חלקית</v>
      </c>
      <c r="E2214" s="3">
        <v>44915</v>
      </c>
      <c r="F2214" s="3">
        <v>45052</v>
      </c>
      <c r="G2214" t="str">
        <f>"700065"</f>
        <v>700065</v>
      </c>
      <c r="H2214" t="str">
        <f>"אלתא מערכות בע""מ"</f>
        <v>אלתא מערכות בע"מ</v>
      </c>
      <c r="I2214" t="str">
        <f>"רחמים זרוק"</f>
        <v>רחמים זרוק</v>
      </c>
      <c r="J2214" t="str">
        <f>"OP-AR03479"</f>
        <v>OP-AR03479</v>
      </c>
      <c r="K2214" s="1" t="str">
        <f>"1032F621-001    HARNESS WB621 - LAB - SHELTER PANEL B TO"</f>
        <v>1032F621-001    HARNESS WB621 - LAB - SHELTER PANEL B TO</v>
      </c>
      <c r="L2214">
        <v>1</v>
      </c>
      <c r="M2214" t="str">
        <f>"PR22000904"</f>
        <v>PR22000904</v>
      </c>
      <c r="N2214" t="str">
        <f>"E000374099"</f>
        <v>E000374099</v>
      </c>
      <c r="O2214" s="2">
        <v>1753.81</v>
      </c>
      <c r="P2214" t="str">
        <f>"$"</f>
        <v>$</v>
      </c>
      <c r="Q2214" t="str">
        <f>"117"</f>
        <v>117</v>
      </c>
      <c r="R2214" t="str">
        <f>"רתמות"</f>
        <v>רתמות</v>
      </c>
      <c r="S2214" t="str">
        <f>"040"</f>
        <v>040</v>
      </c>
      <c r="T2214" t="str">
        <f>"עמר ליגל"</f>
        <v>עמר ליגל</v>
      </c>
      <c r="U2214">
        <v>0</v>
      </c>
      <c r="V2214">
        <v>0</v>
      </c>
      <c r="W2214" s="2">
        <v>1753.81</v>
      </c>
      <c r="X2214" s="2">
        <v>1753.81</v>
      </c>
      <c r="Z2214" t="str">
        <f>"Y"</f>
        <v>Y</v>
      </c>
      <c r="AA2214">
        <v>0</v>
      </c>
      <c r="AC2214">
        <v>0</v>
      </c>
      <c r="AE2214">
        <v>0</v>
      </c>
      <c r="AF2214">
        <v>0</v>
      </c>
      <c r="AG2214" s="2">
        <v>6083.97</v>
      </c>
      <c r="AH2214">
        <v>0</v>
      </c>
      <c r="AI2214" s="2">
        <v>6083.97</v>
      </c>
      <c r="AJ2214" s="2">
        <v>1753.81</v>
      </c>
      <c r="AK2214" s="2">
        <v>1753.81</v>
      </c>
      <c r="AL2214" t="str">
        <f>"$"</f>
        <v>$</v>
      </c>
    </row>
    <row r="2215" spans="1:38" x14ac:dyDescent="0.3">
      <c r="A2215" t="str">
        <f>"SO22000469"</f>
        <v>SO22000469</v>
      </c>
      <c r="B2215" t="str">
        <f>"E000374099"</f>
        <v>E000374099</v>
      </c>
      <c r="C2215" t="str">
        <f>"הרכבה חלקית"</f>
        <v>הרכבה חלקית</v>
      </c>
      <c r="E2215" s="3">
        <v>44915</v>
      </c>
      <c r="F2215" s="3">
        <v>45052</v>
      </c>
      <c r="G2215" t="str">
        <f>"700065"</f>
        <v>700065</v>
      </c>
      <c r="H2215" t="str">
        <f>"אלתא מערכות בע""מ"</f>
        <v>אלתא מערכות בע"מ</v>
      </c>
      <c r="I2215" t="str">
        <f>"רחמים זרוק"</f>
        <v>רחמים זרוק</v>
      </c>
      <c r="J2215" t="str">
        <f>"OP-AR03480"</f>
        <v>OP-AR03480</v>
      </c>
      <c r="K2215" s="1" t="str">
        <f>"1032F651-001    HARNESS WB651 - LAB - HVPS RACK TO EPU1"</f>
        <v>1032F651-001    HARNESS WB651 - LAB - HVPS RACK TO EPU1</v>
      </c>
      <c r="L2215">
        <v>1</v>
      </c>
      <c r="M2215" t="str">
        <f>"PR22000904"</f>
        <v>PR22000904</v>
      </c>
      <c r="N2215" t="str">
        <f>"E000374099"</f>
        <v>E000374099</v>
      </c>
      <c r="O2215">
        <v>412.71</v>
      </c>
      <c r="P2215" t="str">
        <f>"$"</f>
        <v>$</v>
      </c>
      <c r="Q2215" t="str">
        <f>"117"</f>
        <v>117</v>
      </c>
      <c r="R2215" t="str">
        <f>"רתמות"</f>
        <v>רתמות</v>
      </c>
      <c r="S2215" t="str">
        <f>"040"</f>
        <v>040</v>
      </c>
      <c r="T2215" t="str">
        <f>"עמר ליגל"</f>
        <v>עמר ליגל</v>
      </c>
      <c r="U2215">
        <v>0</v>
      </c>
      <c r="V2215">
        <v>0</v>
      </c>
      <c r="W2215">
        <v>412.71</v>
      </c>
      <c r="X2215">
        <v>412.71</v>
      </c>
      <c r="Z2215" t="str">
        <f>"Y"</f>
        <v>Y</v>
      </c>
      <c r="AA2215">
        <v>0</v>
      </c>
      <c r="AC2215">
        <v>0</v>
      </c>
      <c r="AE2215">
        <v>0</v>
      </c>
      <c r="AF2215">
        <v>0</v>
      </c>
      <c r="AG2215" s="2">
        <v>1431.69</v>
      </c>
      <c r="AH2215">
        <v>0</v>
      </c>
      <c r="AI2215" s="2">
        <v>1431.69</v>
      </c>
      <c r="AJ2215">
        <v>412.71</v>
      </c>
      <c r="AK2215">
        <v>412.71</v>
      </c>
      <c r="AL2215" t="str">
        <f>"$"</f>
        <v>$</v>
      </c>
    </row>
    <row r="2216" spans="1:38" x14ac:dyDescent="0.3">
      <c r="A2216" t="str">
        <f>"SO22000469"</f>
        <v>SO22000469</v>
      </c>
      <c r="B2216" t="str">
        <f>"E000374099"</f>
        <v>E000374099</v>
      </c>
      <c r="C2216" t="str">
        <f>"הרכבה חלקית"</f>
        <v>הרכבה חלקית</v>
      </c>
      <c r="E2216" s="3">
        <v>44915</v>
      </c>
      <c r="F2216" s="3">
        <v>45052</v>
      </c>
      <c r="G2216" t="str">
        <f>"700065"</f>
        <v>700065</v>
      </c>
      <c r="H2216" t="str">
        <f>"אלתא מערכות בע""מ"</f>
        <v>אלתא מערכות בע"מ</v>
      </c>
      <c r="I2216" t="str">
        <f>"רחמים זרוק"</f>
        <v>רחמים זרוק</v>
      </c>
      <c r="J2216" t="str">
        <f>"OP-AR01883"</f>
        <v>OP-AR01883</v>
      </c>
      <c r="K2216" s="1" t="str">
        <f>"1032F652-001 - HARNESS WB652 - LAB - EPU1 TO INS"</f>
        <v>1032F652-001 - HARNESS WB652 - LAB - EPU1 TO INS</v>
      </c>
      <c r="L2216">
        <v>1</v>
      </c>
      <c r="M2216" t="str">
        <f>"PR22000904"</f>
        <v>PR22000904</v>
      </c>
      <c r="N2216" t="str">
        <f>"E000374099"</f>
        <v>E000374099</v>
      </c>
      <c r="O2216">
        <v>462.24</v>
      </c>
      <c r="P2216" t="str">
        <f>"$"</f>
        <v>$</v>
      </c>
      <c r="Q2216" t="str">
        <f>"117"</f>
        <v>117</v>
      </c>
      <c r="R2216" t="str">
        <f>"רתמות"</f>
        <v>רתמות</v>
      </c>
      <c r="S2216" t="str">
        <f>"040"</f>
        <v>040</v>
      </c>
      <c r="T2216" t="str">
        <f>"עמר ליגל"</f>
        <v>עמר ליגל</v>
      </c>
      <c r="U2216">
        <v>0</v>
      </c>
      <c r="V2216">
        <v>0</v>
      </c>
      <c r="W2216">
        <v>462.24</v>
      </c>
      <c r="X2216">
        <v>462.24</v>
      </c>
      <c r="Z2216" t="str">
        <f>"Y"</f>
        <v>Y</v>
      </c>
      <c r="AA2216">
        <v>0</v>
      </c>
      <c r="AC2216">
        <v>0</v>
      </c>
      <c r="AE2216">
        <v>0</v>
      </c>
      <c r="AF2216">
        <v>0</v>
      </c>
      <c r="AG2216" s="2">
        <v>1603.51</v>
      </c>
      <c r="AH2216">
        <v>0</v>
      </c>
      <c r="AI2216" s="2">
        <v>1603.51</v>
      </c>
      <c r="AJ2216">
        <v>462.24</v>
      </c>
      <c r="AK2216">
        <v>462.24</v>
      </c>
      <c r="AL2216" t="str">
        <f>"$"</f>
        <v>$</v>
      </c>
    </row>
    <row r="2217" spans="1:38" x14ac:dyDescent="0.3">
      <c r="A2217" t="str">
        <f>"SO22000469"</f>
        <v>SO22000469</v>
      </c>
      <c r="B2217" t="str">
        <f>"E000374099"</f>
        <v>E000374099</v>
      </c>
      <c r="C2217" t="str">
        <f>"הרכבה חלקית"</f>
        <v>הרכבה חלקית</v>
      </c>
      <c r="E2217" s="3">
        <v>44915</v>
      </c>
      <c r="F2217" s="3">
        <v>45052</v>
      </c>
      <c r="G2217" t="str">
        <f>"700065"</f>
        <v>700065</v>
      </c>
      <c r="H2217" t="str">
        <f>"אלתא מערכות בע""מ"</f>
        <v>אלתא מערכות בע"מ</v>
      </c>
      <c r="I2217" t="str">
        <f>"רחמים זרוק"</f>
        <v>רחמים זרוק</v>
      </c>
      <c r="J2217" t="str">
        <f>"OP-AR01884"</f>
        <v>OP-AR01884</v>
      </c>
      <c r="K2217" s="1" t="str">
        <f>"1032F653-001 - HARNESS WB653 - LAB - EPU1 TO INS"</f>
        <v>1032F653-001 - HARNESS WB653 - LAB - EPU1 TO INS</v>
      </c>
      <c r="L2217">
        <v>1</v>
      </c>
      <c r="M2217" t="str">
        <f>"PR22000904"</f>
        <v>PR22000904</v>
      </c>
      <c r="N2217" t="str">
        <f>"E000374099"</f>
        <v>E000374099</v>
      </c>
      <c r="O2217">
        <v>462.24</v>
      </c>
      <c r="P2217" t="str">
        <f>"$"</f>
        <v>$</v>
      </c>
      <c r="Q2217" t="str">
        <f>"117"</f>
        <v>117</v>
      </c>
      <c r="R2217" t="str">
        <f>"רתמות"</f>
        <v>רתמות</v>
      </c>
      <c r="S2217" t="str">
        <f>"040"</f>
        <v>040</v>
      </c>
      <c r="T2217" t="str">
        <f>"עמר ליגל"</f>
        <v>עמר ליגל</v>
      </c>
      <c r="U2217">
        <v>0</v>
      </c>
      <c r="V2217">
        <v>0</v>
      </c>
      <c r="W2217">
        <v>462.24</v>
      </c>
      <c r="X2217">
        <v>462.24</v>
      </c>
      <c r="Z2217" t="str">
        <f>"Y"</f>
        <v>Y</v>
      </c>
      <c r="AA2217">
        <v>0</v>
      </c>
      <c r="AC2217">
        <v>0</v>
      </c>
      <c r="AE2217">
        <v>0</v>
      </c>
      <c r="AF2217">
        <v>0</v>
      </c>
      <c r="AG2217" s="2">
        <v>1603.51</v>
      </c>
      <c r="AH2217">
        <v>0</v>
      </c>
      <c r="AI2217" s="2">
        <v>1603.51</v>
      </c>
      <c r="AJ2217">
        <v>462.24</v>
      </c>
      <c r="AK2217">
        <v>462.24</v>
      </c>
      <c r="AL2217" t="str">
        <f>"$"</f>
        <v>$</v>
      </c>
    </row>
    <row r="2218" spans="1:38" x14ac:dyDescent="0.3">
      <c r="A2218" t="str">
        <f>"SO22000469"</f>
        <v>SO22000469</v>
      </c>
      <c r="B2218" t="str">
        <f>"E000374099"</f>
        <v>E000374099</v>
      </c>
      <c r="C2218" t="str">
        <f>"הרכבה חלקית"</f>
        <v>הרכבה חלקית</v>
      </c>
      <c r="E2218" s="3">
        <v>44915</v>
      </c>
      <c r="F2218" s="3">
        <v>45052</v>
      </c>
      <c r="G2218" t="str">
        <f>"700065"</f>
        <v>700065</v>
      </c>
      <c r="H2218" t="str">
        <f>"אלתא מערכות בע""מ"</f>
        <v>אלתא מערכות בע"מ</v>
      </c>
      <c r="I2218" t="str">
        <f>"רחמים זרוק"</f>
        <v>רחמים זרוק</v>
      </c>
      <c r="J2218" t="str">
        <f>"OP-AR03481"</f>
        <v>OP-AR03481</v>
      </c>
      <c r="K2218" s="1" t="str">
        <f>"1032F655-001    HARNESS WB655 - LAB - EPU1 TO OC - CONTR"</f>
        <v>1032F655-001    HARNESS WB655 - LAB - EPU1 TO OC - CONTR</v>
      </c>
      <c r="L2218">
        <v>1</v>
      </c>
      <c r="M2218" t="str">
        <f>"PR22000904"</f>
        <v>PR22000904</v>
      </c>
      <c r="N2218" t="str">
        <f>"E000374099"</f>
        <v>E000374099</v>
      </c>
      <c r="O2218">
        <v>576.41999999999996</v>
      </c>
      <c r="P2218" t="str">
        <f>"$"</f>
        <v>$</v>
      </c>
      <c r="Q2218" t="str">
        <f>"117"</f>
        <v>117</v>
      </c>
      <c r="R2218" t="str">
        <f>"רתמות"</f>
        <v>רתמות</v>
      </c>
      <c r="S2218" t="str">
        <f>"040"</f>
        <v>040</v>
      </c>
      <c r="T2218" t="str">
        <f>"עמר ליגל"</f>
        <v>עמר ליגל</v>
      </c>
      <c r="U2218">
        <v>0</v>
      </c>
      <c r="V2218">
        <v>0</v>
      </c>
      <c r="W2218">
        <v>576.41999999999996</v>
      </c>
      <c r="X2218">
        <v>576.41999999999996</v>
      </c>
      <c r="Z2218" t="str">
        <f>"Y"</f>
        <v>Y</v>
      </c>
      <c r="AA2218">
        <v>0</v>
      </c>
      <c r="AC2218">
        <v>0</v>
      </c>
      <c r="AE2218">
        <v>0</v>
      </c>
      <c r="AF2218">
        <v>0</v>
      </c>
      <c r="AG2218" s="2">
        <v>1999.6</v>
      </c>
      <c r="AH2218">
        <v>0</v>
      </c>
      <c r="AI2218" s="2">
        <v>1999.6</v>
      </c>
      <c r="AJ2218">
        <v>576.41999999999996</v>
      </c>
      <c r="AK2218">
        <v>576.41999999999996</v>
      </c>
      <c r="AL2218" t="str">
        <f>"$"</f>
        <v>$</v>
      </c>
    </row>
    <row r="2219" spans="1:38" x14ac:dyDescent="0.3">
      <c r="A2219" t="str">
        <f>"SO22000469"</f>
        <v>SO22000469</v>
      </c>
      <c r="B2219" t="str">
        <f>"E000374099"</f>
        <v>E000374099</v>
      </c>
      <c r="C2219" t="str">
        <f>"הרכבה חלקית"</f>
        <v>הרכבה חלקית</v>
      </c>
      <c r="E2219" s="3">
        <v>44915</v>
      </c>
      <c r="F2219" s="3">
        <v>45052</v>
      </c>
      <c r="G2219" t="str">
        <f>"700065"</f>
        <v>700065</v>
      </c>
      <c r="H2219" t="str">
        <f>"אלתא מערכות בע""מ"</f>
        <v>אלתא מערכות בע"מ</v>
      </c>
      <c r="I2219" t="str">
        <f>"רחמים זרוק"</f>
        <v>רחמים זרוק</v>
      </c>
      <c r="J2219" t="str">
        <f>"OP-AR03482"</f>
        <v>OP-AR03482</v>
      </c>
      <c r="K2219" s="1" t="str">
        <f>"1032F664-001    HARNESS WB664 - LAB - EPU1 TO EPU2 - POW"</f>
        <v>1032F664-001    HARNESS WB664 - LAB - EPU1 TO EPU2 - POW</v>
      </c>
      <c r="L2219">
        <v>1</v>
      </c>
      <c r="M2219" t="str">
        <f>"PR22000904"</f>
        <v>PR22000904</v>
      </c>
      <c r="N2219" t="str">
        <f>"E000374099"</f>
        <v>E000374099</v>
      </c>
      <c r="O2219" s="2">
        <v>1078.48</v>
      </c>
      <c r="P2219" t="str">
        <f>"$"</f>
        <v>$</v>
      </c>
      <c r="Q2219" t="str">
        <f>"117"</f>
        <v>117</v>
      </c>
      <c r="R2219" t="str">
        <f>"רתמות"</f>
        <v>רתמות</v>
      </c>
      <c r="S2219" t="str">
        <f>"040"</f>
        <v>040</v>
      </c>
      <c r="T2219" t="str">
        <f>"עמר ליגל"</f>
        <v>עמר ליגל</v>
      </c>
      <c r="U2219">
        <v>0</v>
      </c>
      <c r="V2219">
        <v>0</v>
      </c>
      <c r="W2219" s="2">
        <v>1078.48</v>
      </c>
      <c r="X2219" s="2">
        <v>1078.48</v>
      </c>
      <c r="Z2219" t="str">
        <f>"Y"</f>
        <v>Y</v>
      </c>
      <c r="AA2219">
        <v>0</v>
      </c>
      <c r="AC2219">
        <v>0</v>
      </c>
      <c r="AE2219">
        <v>0</v>
      </c>
      <c r="AF2219">
        <v>0</v>
      </c>
      <c r="AG2219" s="2">
        <v>3741.25</v>
      </c>
      <c r="AH2219">
        <v>0</v>
      </c>
      <c r="AI2219" s="2">
        <v>3741.25</v>
      </c>
      <c r="AJ2219" s="2">
        <v>1078.48</v>
      </c>
      <c r="AK2219" s="2">
        <v>1078.48</v>
      </c>
      <c r="AL2219" t="str">
        <f>"$"</f>
        <v>$</v>
      </c>
    </row>
    <row r="2220" spans="1:38" x14ac:dyDescent="0.3">
      <c r="A2220" t="str">
        <f>"SO22000469"</f>
        <v>SO22000469</v>
      </c>
      <c r="B2220" t="str">
        <f>"E000374099"</f>
        <v>E000374099</v>
      </c>
      <c r="C2220" t="str">
        <f>"הרכבה חלקית"</f>
        <v>הרכבה חלקית</v>
      </c>
      <c r="E2220" s="3">
        <v>44915</v>
      </c>
      <c r="F2220" s="3">
        <v>45052</v>
      </c>
      <c r="G2220" t="str">
        <f>"700065"</f>
        <v>700065</v>
      </c>
      <c r="H2220" t="str">
        <f>"אלתא מערכות בע""מ"</f>
        <v>אלתא מערכות בע"מ</v>
      </c>
      <c r="I2220" t="str">
        <f>"רחמים זרוק"</f>
        <v>רחמים זרוק</v>
      </c>
      <c r="J2220" t="str">
        <f>"OP-AR03483"</f>
        <v>OP-AR03483</v>
      </c>
      <c r="K2220" s="1" t="str">
        <f>"1032F665-001    HARNESS WB665 - LAB - EPU1 TO EPU2 (HVP"</f>
        <v>1032F665-001    HARNESS WB665 - LAB - EPU1 TO EPU2 (HVP</v>
      </c>
      <c r="L2220">
        <v>1</v>
      </c>
      <c r="M2220" t="str">
        <f>"PR22000904"</f>
        <v>PR22000904</v>
      </c>
      <c r="N2220" t="str">
        <f>"E000374099"</f>
        <v>E000374099</v>
      </c>
      <c r="O2220">
        <v>552.02</v>
      </c>
      <c r="P2220" t="str">
        <f>"$"</f>
        <v>$</v>
      </c>
      <c r="Q2220" t="str">
        <f>"117"</f>
        <v>117</v>
      </c>
      <c r="R2220" t="str">
        <f>"רתמות"</f>
        <v>רתמות</v>
      </c>
      <c r="S2220" t="str">
        <f>"040"</f>
        <v>040</v>
      </c>
      <c r="T2220" t="str">
        <f>"עמר ליגל"</f>
        <v>עמר ליגל</v>
      </c>
      <c r="U2220">
        <v>0</v>
      </c>
      <c r="V2220">
        <v>0</v>
      </c>
      <c r="W2220">
        <v>552.02</v>
      </c>
      <c r="X2220">
        <v>552.02</v>
      </c>
      <c r="Z2220" t="str">
        <f>"Y"</f>
        <v>Y</v>
      </c>
      <c r="AA2220">
        <v>0</v>
      </c>
      <c r="AC2220">
        <v>0</v>
      </c>
      <c r="AE2220">
        <v>0</v>
      </c>
      <c r="AF2220">
        <v>0</v>
      </c>
      <c r="AG2220" s="2">
        <v>1914.96</v>
      </c>
      <c r="AH2220">
        <v>0</v>
      </c>
      <c r="AI2220" s="2">
        <v>1914.96</v>
      </c>
      <c r="AJ2220">
        <v>552.02</v>
      </c>
      <c r="AK2220">
        <v>552.02</v>
      </c>
      <c r="AL2220" t="str">
        <f>"$"</f>
        <v>$</v>
      </c>
    </row>
    <row r="2221" spans="1:38" x14ac:dyDescent="0.3">
      <c r="A2221" t="str">
        <f>"SO22000469"</f>
        <v>SO22000469</v>
      </c>
      <c r="B2221" t="str">
        <f>"E000374099"</f>
        <v>E000374099</v>
      </c>
      <c r="C2221" t="str">
        <f>"הרכבה חלקית"</f>
        <v>הרכבה חלקית</v>
      </c>
      <c r="E2221" s="3">
        <v>44915</v>
      </c>
      <c r="F2221" s="3">
        <v>45052</v>
      </c>
      <c r="G2221" t="str">
        <f>"700065"</f>
        <v>700065</v>
      </c>
      <c r="H2221" t="str">
        <f>"אלתא מערכות בע""מ"</f>
        <v>אלתא מערכות בע"מ</v>
      </c>
      <c r="I2221" t="str">
        <f>"רחמים זרוק"</f>
        <v>רחמים זרוק</v>
      </c>
      <c r="J2221" t="str">
        <f>"OP-AR03484"</f>
        <v>OP-AR03484</v>
      </c>
      <c r="K2221" s="1" t="str">
        <f>"1032F666-001    HARNESS WB666 - LAB - EPU1 TO EPU2 - PO"</f>
        <v>1032F666-001    HARNESS WB666 - LAB - EPU1 TO EPU2 - PO</v>
      </c>
      <c r="L2221">
        <v>1</v>
      </c>
      <c r="M2221" t="str">
        <f>"PR22000904"</f>
        <v>PR22000904</v>
      </c>
      <c r="N2221" t="str">
        <f>"E000374099"</f>
        <v>E000374099</v>
      </c>
      <c r="O2221">
        <v>464.79</v>
      </c>
      <c r="P2221" t="str">
        <f>"$"</f>
        <v>$</v>
      </c>
      <c r="Q2221" t="str">
        <f>"117"</f>
        <v>117</v>
      </c>
      <c r="R2221" t="str">
        <f>"רתמות"</f>
        <v>רתמות</v>
      </c>
      <c r="S2221" t="str">
        <f>"040"</f>
        <v>040</v>
      </c>
      <c r="T2221" t="str">
        <f>"עמר ליגל"</f>
        <v>עמר ליגל</v>
      </c>
      <c r="U2221">
        <v>0</v>
      </c>
      <c r="V2221">
        <v>0</v>
      </c>
      <c r="W2221">
        <v>464.79</v>
      </c>
      <c r="X2221">
        <v>464.79</v>
      </c>
      <c r="Z2221" t="str">
        <f>"Y"</f>
        <v>Y</v>
      </c>
      <c r="AA2221">
        <v>0</v>
      </c>
      <c r="AC2221">
        <v>0</v>
      </c>
      <c r="AE2221">
        <v>0</v>
      </c>
      <c r="AF2221">
        <v>0</v>
      </c>
      <c r="AG2221" s="2">
        <v>1612.36</v>
      </c>
      <c r="AH2221">
        <v>0</v>
      </c>
      <c r="AI2221" s="2">
        <v>1612.36</v>
      </c>
      <c r="AJ2221">
        <v>464.79</v>
      </c>
      <c r="AK2221">
        <v>464.79</v>
      </c>
      <c r="AL2221" t="str">
        <f>"$"</f>
        <v>$</v>
      </c>
    </row>
    <row r="2222" spans="1:38" x14ac:dyDescent="0.3">
      <c r="A2222" t="str">
        <f>"SO22000469"</f>
        <v>SO22000469</v>
      </c>
      <c r="B2222" t="str">
        <f>"E000374099"</f>
        <v>E000374099</v>
      </c>
      <c r="C2222" t="str">
        <f>"הרכבה חלקית"</f>
        <v>הרכבה חלקית</v>
      </c>
      <c r="E2222" s="3">
        <v>44915</v>
      </c>
      <c r="F2222" s="3">
        <v>45052</v>
      </c>
      <c r="G2222" t="str">
        <f>"700065"</f>
        <v>700065</v>
      </c>
      <c r="H2222" t="str">
        <f>"אלתא מערכות בע""מ"</f>
        <v>אלתא מערכות בע"מ</v>
      </c>
      <c r="I2222" t="str">
        <f>"רחמים זרוק"</f>
        <v>רחמים זרוק</v>
      </c>
      <c r="J2222" t="str">
        <f>"OP-AR03485"</f>
        <v>OP-AR03485</v>
      </c>
      <c r="K2222" s="1" t="str">
        <f>"1032F667-001    ETHERNET CABLE WB667 - LAB - EPU1 TO EPU"</f>
        <v>1032F667-001    ETHERNET CABLE WB667 - LAB - EPU1 TO EPU</v>
      </c>
      <c r="L2222">
        <v>1</v>
      </c>
      <c r="M2222" t="str">
        <f>"PR22000904"</f>
        <v>PR22000904</v>
      </c>
      <c r="N2222" t="str">
        <f>"E000374099"</f>
        <v>E000374099</v>
      </c>
      <c r="O2222">
        <v>364.31</v>
      </c>
      <c r="P2222" t="str">
        <f>"$"</f>
        <v>$</v>
      </c>
      <c r="Q2222" t="str">
        <f>"117"</f>
        <v>117</v>
      </c>
      <c r="R2222" t="str">
        <f>"רתמות"</f>
        <v>רתמות</v>
      </c>
      <c r="S2222" t="str">
        <f>"040"</f>
        <v>040</v>
      </c>
      <c r="T2222" t="str">
        <f>"עמר ליגל"</f>
        <v>עמר ליגל</v>
      </c>
      <c r="U2222">
        <v>0</v>
      </c>
      <c r="V2222">
        <v>0</v>
      </c>
      <c r="W2222">
        <v>364.31</v>
      </c>
      <c r="X2222">
        <v>364.31</v>
      </c>
      <c r="Z2222" t="str">
        <f>"Y"</f>
        <v>Y</v>
      </c>
      <c r="AA2222">
        <v>0</v>
      </c>
      <c r="AC2222">
        <v>0</v>
      </c>
      <c r="AE2222">
        <v>0</v>
      </c>
      <c r="AF2222">
        <v>0</v>
      </c>
      <c r="AG2222" s="2">
        <v>1263.79</v>
      </c>
      <c r="AH2222">
        <v>0</v>
      </c>
      <c r="AI2222" s="2">
        <v>1263.79</v>
      </c>
      <c r="AJ2222">
        <v>364.31</v>
      </c>
      <c r="AK2222">
        <v>364.31</v>
      </c>
      <c r="AL2222" t="str">
        <f>"$"</f>
        <v>$</v>
      </c>
    </row>
    <row r="2223" spans="1:38" x14ac:dyDescent="0.3">
      <c r="A2223" t="str">
        <f>"SO22000469"</f>
        <v>SO22000469</v>
      </c>
      <c r="B2223" t="str">
        <f>"E000374099"</f>
        <v>E000374099</v>
      </c>
      <c r="C2223" t="str">
        <f>"הרכבה חלקית"</f>
        <v>הרכבה חלקית</v>
      </c>
      <c r="E2223" s="3">
        <v>44915</v>
      </c>
      <c r="F2223" s="3">
        <v>45052</v>
      </c>
      <c r="G2223" t="str">
        <f>"700065"</f>
        <v>700065</v>
      </c>
      <c r="H2223" t="str">
        <f>"אלתא מערכות בע""מ"</f>
        <v>אלתא מערכות בע"מ</v>
      </c>
      <c r="I2223" t="str">
        <f>"רחמים זרוק"</f>
        <v>רחמים זרוק</v>
      </c>
      <c r="J2223" t="str">
        <f>"OP-AR03486"</f>
        <v>OP-AR03486</v>
      </c>
      <c r="K2223" s="1" t="str">
        <f>"1032F668-001    ETHERNET CABLE WB668 - LAB - EPU1 TO EPU"</f>
        <v>1032F668-001    ETHERNET CABLE WB668 - LAB - EPU1 TO EPU</v>
      </c>
      <c r="L2223">
        <v>1</v>
      </c>
      <c r="M2223" t="str">
        <f>"PR22000904"</f>
        <v>PR22000904</v>
      </c>
      <c r="N2223" t="str">
        <f>"E000374099"</f>
        <v>E000374099</v>
      </c>
      <c r="O2223">
        <v>364.31</v>
      </c>
      <c r="P2223" t="str">
        <f>"$"</f>
        <v>$</v>
      </c>
      <c r="Q2223" t="str">
        <f>"117"</f>
        <v>117</v>
      </c>
      <c r="R2223" t="str">
        <f>"רתמות"</f>
        <v>רתמות</v>
      </c>
      <c r="S2223" t="str">
        <f>"040"</f>
        <v>040</v>
      </c>
      <c r="T2223" t="str">
        <f>"עמר ליגל"</f>
        <v>עמר ליגל</v>
      </c>
      <c r="U2223">
        <v>0</v>
      </c>
      <c r="V2223">
        <v>0</v>
      </c>
      <c r="W2223">
        <v>364.31</v>
      </c>
      <c r="X2223">
        <v>364.31</v>
      </c>
      <c r="Z2223" t="str">
        <f>"Y"</f>
        <v>Y</v>
      </c>
      <c r="AA2223">
        <v>0</v>
      </c>
      <c r="AC2223">
        <v>0</v>
      </c>
      <c r="AE2223">
        <v>0</v>
      </c>
      <c r="AF2223">
        <v>0</v>
      </c>
      <c r="AG2223" s="2">
        <v>1263.79</v>
      </c>
      <c r="AH2223">
        <v>0</v>
      </c>
      <c r="AI2223" s="2">
        <v>1263.79</v>
      </c>
      <c r="AJ2223">
        <v>364.31</v>
      </c>
      <c r="AK2223">
        <v>364.31</v>
      </c>
      <c r="AL2223" t="str">
        <f>"$"</f>
        <v>$</v>
      </c>
    </row>
    <row r="2224" spans="1:38" x14ac:dyDescent="0.3">
      <c r="A2224" t="str">
        <f>"SO22000469"</f>
        <v>SO22000469</v>
      </c>
      <c r="B2224" t="str">
        <f>"E000374099"</f>
        <v>E000374099</v>
      </c>
      <c r="C2224" t="str">
        <f>"הרכבה חלקית"</f>
        <v>הרכבה חלקית</v>
      </c>
      <c r="E2224" s="3">
        <v>44915</v>
      </c>
      <c r="F2224" s="3">
        <v>45052</v>
      </c>
      <c r="G2224" t="str">
        <f>"700065"</f>
        <v>700065</v>
      </c>
      <c r="H2224" t="str">
        <f>"אלתא מערכות בע""מ"</f>
        <v>אלתא מערכות בע"מ</v>
      </c>
      <c r="I2224" t="str">
        <f>"רחמים זרוק"</f>
        <v>רחמים זרוק</v>
      </c>
      <c r="J2224" t="str">
        <f>"OP-AR03487"</f>
        <v>OP-AR03487</v>
      </c>
      <c r="K2224" s="1" t="str">
        <f>"1032F748-001    HARNESS W748 - RSU FRONT DEBUG"</f>
        <v>1032F748-001    HARNESS W748 - RSU FRONT DEBUG</v>
      </c>
      <c r="L2224">
        <v>1</v>
      </c>
      <c r="M2224" t="str">
        <f>"PR22000904"</f>
        <v>PR22000904</v>
      </c>
      <c r="N2224" t="str">
        <f>"E000374099"</f>
        <v>E000374099</v>
      </c>
      <c r="O2224" s="2">
        <v>1201.02</v>
      </c>
      <c r="P2224" t="str">
        <f>"$"</f>
        <v>$</v>
      </c>
      <c r="Q2224" t="str">
        <f>"117"</f>
        <v>117</v>
      </c>
      <c r="R2224" t="str">
        <f>"רתמות"</f>
        <v>רתמות</v>
      </c>
      <c r="S2224" t="str">
        <f>"040"</f>
        <v>040</v>
      </c>
      <c r="T2224" t="str">
        <f>"עמר ליגל"</f>
        <v>עמר ליגל</v>
      </c>
      <c r="U2224">
        <v>0</v>
      </c>
      <c r="V2224">
        <v>0</v>
      </c>
      <c r="W2224" s="2">
        <v>1201.02</v>
      </c>
      <c r="X2224" s="2">
        <v>1201.02</v>
      </c>
      <c r="Z2224" t="str">
        <f>"Y"</f>
        <v>Y</v>
      </c>
      <c r="AA2224">
        <v>0</v>
      </c>
      <c r="AC2224">
        <v>0</v>
      </c>
      <c r="AE2224">
        <v>0</v>
      </c>
      <c r="AF2224">
        <v>0</v>
      </c>
      <c r="AG2224" s="2">
        <v>4166.34</v>
      </c>
      <c r="AH2224">
        <v>0</v>
      </c>
      <c r="AI2224" s="2">
        <v>4166.34</v>
      </c>
      <c r="AJ2224" s="2">
        <v>1201.02</v>
      </c>
      <c r="AK2224" s="2">
        <v>1201.02</v>
      </c>
      <c r="AL2224" t="str">
        <f>"$"</f>
        <v>$</v>
      </c>
    </row>
    <row r="2225" spans="1:38" x14ac:dyDescent="0.3">
      <c r="A2225" t="str">
        <f>"SO22000469"</f>
        <v>SO22000469</v>
      </c>
      <c r="B2225" t="str">
        <f>"E000374099"</f>
        <v>E000374099</v>
      </c>
      <c r="C2225" t="str">
        <f>"הרכבה חלקית"</f>
        <v>הרכבה חלקית</v>
      </c>
      <c r="E2225" s="3">
        <v>44915</v>
      </c>
      <c r="F2225" s="3">
        <v>45052</v>
      </c>
      <c r="G2225" t="str">
        <f>"700065"</f>
        <v>700065</v>
      </c>
      <c r="H2225" t="str">
        <f>"אלתא מערכות בע""מ"</f>
        <v>אלתא מערכות בע"מ</v>
      </c>
      <c r="I2225" t="str">
        <f>"רחמים זרוק"</f>
        <v>רחמים זרוק</v>
      </c>
      <c r="J2225" t="str">
        <f>"OP-AR03488"</f>
        <v>OP-AR03488</v>
      </c>
      <c r="K2225" s="1" t="str">
        <f>"1032F914-002    HARNESS W914 - A1-ACM TO HVPS J10"</f>
        <v>1032F914-002    HARNESS W914 - A1-ACM TO HVPS J10</v>
      </c>
      <c r="L2225">
        <v>1</v>
      </c>
      <c r="M2225" t="str">
        <f>"PR22000904"</f>
        <v>PR22000904</v>
      </c>
      <c r="N2225" t="str">
        <f>"E000374099"</f>
        <v>E000374099</v>
      </c>
      <c r="O2225">
        <v>758.72</v>
      </c>
      <c r="P2225" t="str">
        <f>"$"</f>
        <v>$</v>
      </c>
      <c r="Q2225" t="str">
        <f>"117"</f>
        <v>117</v>
      </c>
      <c r="R2225" t="str">
        <f>"רתמות"</f>
        <v>רתמות</v>
      </c>
      <c r="S2225" t="str">
        <f>"040"</f>
        <v>040</v>
      </c>
      <c r="T2225" t="str">
        <f>"עמר ליגל"</f>
        <v>עמר ליגל</v>
      </c>
      <c r="U2225">
        <v>0</v>
      </c>
      <c r="V2225">
        <v>0</v>
      </c>
      <c r="W2225">
        <v>758.72</v>
      </c>
      <c r="X2225">
        <v>758.72</v>
      </c>
      <c r="Z2225" t="str">
        <f>"Y"</f>
        <v>Y</v>
      </c>
      <c r="AA2225">
        <v>0</v>
      </c>
      <c r="AC2225">
        <v>0</v>
      </c>
      <c r="AE2225">
        <v>0</v>
      </c>
      <c r="AF2225">
        <v>0</v>
      </c>
      <c r="AG2225" s="2">
        <v>2632</v>
      </c>
      <c r="AH2225">
        <v>0</v>
      </c>
      <c r="AI2225" s="2">
        <v>2632</v>
      </c>
      <c r="AJ2225">
        <v>758.72</v>
      </c>
      <c r="AK2225">
        <v>758.72</v>
      </c>
      <c r="AL2225" t="str">
        <f>"$"</f>
        <v>$</v>
      </c>
    </row>
    <row r="2226" spans="1:38" x14ac:dyDescent="0.3">
      <c r="A2226" t="str">
        <f>"SO22000469"</f>
        <v>SO22000469</v>
      </c>
      <c r="B2226" t="str">
        <f>"E000374099"</f>
        <v>E000374099</v>
      </c>
      <c r="C2226" t="str">
        <f>"הרכבה חלקית"</f>
        <v>הרכבה חלקית</v>
      </c>
      <c r="E2226" s="3">
        <v>44915</v>
      </c>
      <c r="F2226" s="3">
        <v>45052</v>
      </c>
      <c r="G2226" t="str">
        <f>"700065"</f>
        <v>700065</v>
      </c>
      <c r="H2226" t="str">
        <f>"אלתא מערכות בע""מ"</f>
        <v>אלתא מערכות בע"מ</v>
      </c>
      <c r="I2226" t="str">
        <f>"רחמים זרוק"</f>
        <v>רחמים זרוק</v>
      </c>
      <c r="J2226" t="str">
        <f>"OP-AR03489"</f>
        <v>OP-AR03489</v>
      </c>
      <c r="K2226" s="1" t="str">
        <f>"1032F917-001    GROUND CABLE W917 - HVPS - TB1 TO GND"</f>
        <v>1032F917-001    GROUND CABLE W917 - HVPS - TB1 TO GND</v>
      </c>
      <c r="L2226">
        <v>1</v>
      </c>
      <c r="M2226" t="str">
        <f>"PR22000904"</f>
        <v>PR22000904</v>
      </c>
      <c r="N2226" t="str">
        <f>"E000374099"</f>
        <v>E000374099</v>
      </c>
      <c r="O2226">
        <v>119.09</v>
      </c>
      <c r="P2226" t="str">
        <f>"$"</f>
        <v>$</v>
      </c>
      <c r="Q2226" t="str">
        <f>"117"</f>
        <v>117</v>
      </c>
      <c r="R2226" t="str">
        <f>"רתמות"</f>
        <v>רתמות</v>
      </c>
      <c r="S2226" t="str">
        <f>"040"</f>
        <v>040</v>
      </c>
      <c r="T2226" t="str">
        <f>"עמר ליגל"</f>
        <v>עמר ליגל</v>
      </c>
      <c r="U2226">
        <v>0</v>
      </c>
      <c r="V2226">
        <v>0</v>
      </c>
      <c r="W2226">
        <v>119.09</v>
      </c>
      <c r="X2226">
        <v>119.09</v>
      </c>
      <c r="Z2226" t="str">
        <f>"Y"</f>
        <v>Y</v>
      </c>
      <c r="AA2226">
        <v>0</v>
      </c>
      <c r="AC2226">
        <v>0</v>
      </c>
      <c r="AE2226">
        <v>0</v>
      </c>
      <c r="AF2226">
        <v>0</v>
      </c>
      <c r="AG2226">
        <v>413.12</v>
      </c>
      <c r="AH2226">
        <v>0</v>
      </c>
      <c r="AI2226">
        <v>413.12</v>
      </c>
      <c r="AJ2226">
        <v>119.09</v>
      </c>
      <c r="AK2226">
        <v>119.09</v>
      </c>
      <c r="AL2226" t="str">
        <f>"$"</f>
        <v>$</v>
      </c>
    </row>
    <row r="2227" spans="1:38" x14ac:dyDescent="0.3">
      <c r="A2227" t="str">
        <f>"SO22000469"</f>
        <v>SO22000469</v>
      </c>
      <c r="B2227" t="str">
        <f>"E000374099"</f>
        <v>E000374099</v>
      </c>
      <c r="C2227" t="str">
        <f>"הרכבה חלקית"</f>
        <v>הרכבה חלקית</v>
      </c>
      <c r="E2227" s="3">
        <v>44915</v>
      </c>
      <c r="F2227" s="3">
        <v>45052</v>
      </c>
      <c r="G2227" t="str">
        <f>"700065"</f>
        <v>700065</v>
      </c>
      <c r="H2227" t="str">
        <f>"אלתא מערכות בע""מ"</f>
        <v>אלתא מערכות בע"מ</v>
      </c>
      <c r="I2227" t="str">
        <f>"רחמים זרוק"</f>
        <v>רחמים זרוק</v>
      </c>
      <c r="J2227" t="str">
        <f>"OP-AR03490"</f>
        <v>OP-AR03490</v>
      </c>
      <c r="K2227" s="1" t="str">
        <f>"1032F951-001    GROUND CABLE W951 - HVPS-2 TO GND"</f>
        <v>1032F951-001    GROUND CABLE W951 - HVPS-2 TO GND</v>
      </c>
      <c r="L2227">
        <v>1</v>
      </c>
      <c r="M2227" t="str">
        <f>"PR22000904"</f>
        <v>PR22000904</v>
      </c>
      <c r="N2227" t="str">
        <f>"E000374099"</f>
        <v>E000374099</v>
      </c>
      <c r="O2227">
        <v>65.12</v>
      </c>
      <c r="P2227" t="str">
        <f>"$"</f>
        <v>$</v>
      </c>
      <c r="Q2227" t="str">
        <f>"117"</f>
        <v>117</v>
      </c>
      <c r="R2227" t="str">
        <f>"רתמות"</f>
        <v>רתמות</v>
      </c>
      <c r="S2227" t="str">
        <f>"040"</f>
        <v>040</v>
      </c>
      <c r="T2227" t="str">
        <f>"עמר ליגל"</f>
        <v>עמר ליגל</v>
      </c>
      <c r="U2227">
        <v>0</v>
      </c>
      <c r="V2227">
        <v>0</v>
      </c>
      <c r="W2227">
        <v>65.12</v>
      </c>
      <c r="X2227">
        <v>65.12</v>
      </c>
      <c r="Z2227" t="str">
        <f>"Y"</f>
        <v>Y</v>
      </c>
      <c r="AA2227">
        <v>0</v>
      </c>
      <c r="AC2227">
        <v>0</v>
      </c>
      <c r="AE2227">
        <v>0</v>
      </c>
      <c r="AF2227">
        <v>0</v>
      </c>
      <c r="AG2227">
        <v>225.9</v>
      </c>
      <c r="AH2227">
        <v>0</v>
      </c>
      <c r="AI2227">
        <v>225.9</v>
      </c>
      <c r="AJ2227">
        <v>65.12</v>
      </c>
      <c r="AK2227">
        <v>65.12</v>
      </c>
      <c r="AL2227" t="str">
        <f>"$"</f>
        <v>$</v>
      </c>
    </row>
    <row r="2228" spans="1:38" x14ac:dyDescent="0.3">
      <c r="A2228" t="str">
        <f>"SO22000469"</f>
        <v>SO22000469</v>
      </c>
      <c r="B2228" t="str">
        <f>"E000374099"</f>
        <v>E000374099</v>
      </c>
      <c r="C2228" t="str">
        <f>"הרכבה חלקית"</f>
        <v>הרכבה חלקית</v>
      </c>
      <c r="E2228" s="3">
        <v>44915</v>
      </c>
      <c r="F2228" s="3">
        <v>45052</v>
      </c>
      <c r="G2228" t="str">
        <f>"700065"</f>
        <v>700065</v>
      </c>
      <c r="H2228" t="str">
        <f>"אלתא מערכות בע""מ"</f>
        <v>אלתא מערכות בע"מ</v>
      </c>
      <c r="I2228" t="str">
        <f>"רחמים זרוק"</f>
        <v>רחמים זרוק</v>
      </c>
      <c r="J2228" t="str">
        <f>"OP-AR03491"</f>
        <v>OP-AR03491</v>
      </c>
      <c r="K2228" s="1" t="str">
        <f>"1036C701-001    HARNESS WE001 - EPU1 - POPWER ,MAIN"</f>
        <v>1036C701-001    HARNESS WE001 - EPU1 - POPWER ,MAIN</v>
      </c>
      <c r="L2228">
        <v>1</v>
      </c>
      <c r="M2228" t="str">
        <f>"PR22000904"</f>
        <v>PR22000904</v>
      </c>
      <c r="N2228" t="str">
        <f>"E000374099"</f>
        <v>E000374099</v>
      </c>
      <c r="O2228" s="2">
        <v>1307.24</v>
      </c>
      <c r="P2228" t="str">
        <f>"$"</f>
        <v>$</v>
      </c>
      <c r="Q2228" t="str">
        <f>"117"</f>
        <v>117</v>
      </c>
      <c r="R2228" t="str">
        <f>"רתמות"</f>
        <v>רתמות</v>
      </c>
      <c r="S2228" t="str">
        <f>"040"</f>
        <v>040</v>
      </c>
      <c r="T2228" t="str">
        <f>"עמר ליגל"</f>
        <v>עמר ליגל</v>
      </c>
      <c r="U2228">
        <v>0</v>
      </c>
      <c r="V2228">
        <v>0</v>
      </c>
      <c r="W2228" s="2">
        <v>1307.24</v>
      </c>
      <c r="X2228" s="2">
        <v>1307.24</v>
      </c>
      <c r="Z2228" t="str">
        <f>"Y"</f>
        <v>Y</v>
      </c>
      <c r="AA2228">
        <v>0</v>
      </c>
      <c r="AC2228">
        <v>0</v>
      </c>
      <c r="AE2228">
        <v>0</v>
      </c>
      <c r="AF2228">
        <v>0</v>
      </c>
      <c r="AG2228" s="2">
        <v>4534.82</v>
      </c>
      <c r="AH2228">
        <v>0</v>
      </c>
      <c r="AI2228" s="2">
        <v>4534.82</v>
      </c>
      <c r="AJ2228" s="2">
        <v>1307.24</v>
      </c>
      <c r="AK2228" s="2">
        <v>1307.24</v>
      </c>
      <c r="AL2228" t="str">
        <f>"$"</f>
        <v>$</v>
      </c>
    </row>
    <row r="2229" spans="1:38" x14ac:dyDescent="0.3">
      <c r="A2229" t="str">
        <f>"SO22000469"</f>
        <v>SO22000469</v>
      </c>
      <c r="B2229" t="str">
        <f>"E000374099"</f>
        <v>E000374099</v>
      </c>
      <c r="C2229" t="str">
        <f>"הרכבה חלקית"</f>
        <v>הרכבה חלקית</v>
      </c>
      <c r="E2229" s="3">
        <v>44915</v>
      </c>
      <c r="F2229" s="3">
        <v>45052</v>
      </c>
      <c r="G2229" t="str">
        <f>"700065"</f>
        <v>700065</v>
      </c>
      <c r="H2229" t="str">
        <f>"אלתא מערכות בע""מ"</f>
        <v>אלתא מערכות בע"מ</v>
      </c>
      <c r="I2229" t="str">
        <f>"רחמים זרוק"</f>
        <v>רחמים זרוק</v>
      </c>
      <c r="J2229" t="str">
        <f>"OP-AR03492"</f>
        <v>OP-AR03492</v>
      </c>
      <c r="K2229" s="1" t="str">
        <f>"1036C702-001    HARNESS WE002 - EPU1 - POWER PDU TO OTXU"</f>
        <v>1036C702-001    HARNESS WE002 - EPU1 - POWER PDU TO OTXU</v>
      </c>
      <c r="L2229">
        <v>1</v>
      </c>
      <c r="M2229" t="str">
        <f>"PR22000904"</f>
        <v>PR22000904</v>
      </c>
      <c r="N2229" t="str">
        <f>"E000374099"</f>
        <v>E000374099</v>
      </c>
      <c r="O2229">
        <v>419.72</v>
      </c>
      <c r="P2229" t="str">
        <f>"$"</f>
        <v>$</v>
      </c>
      <c r="Q2229" t="str">
        <f>"117"</f>
        <v>117</v>
      </c>
      <c r="R2229" t="str">
        <f>"רתמות"</f>
        <v>רתמות</v>
      </c>
      <c r="S2229" t="str">
        <f>"040"</f>
        <v>040</v>
      </c>
      <c r="T2229" t="str">
        <f>"עמר ליגל"</f>
        <v>עמר ליגל</v>
      </c>
      <c r="U2229">
        <v>0</v>
      </c>
      <c r="V2229">
        <v>0</v>
      </c>
      <c r="W2229">
        <v>419.72</v>
      </c>
      <c r="X2229">
        <v>419.72</v>
      </c>
      <c r="Z2229" t="str">
        <f>"Y"</f>
        <v>Y</v>
      </c>
      <c r="AA2229">
        <v>0</v>
      </c>
      <c r="AC2229">
        <v>0</v>
      </c>
      <c r="AE2229">
        <v>0</v>
      </c>
      <c r="AF2229">
        <v>0</v>
      </c>
      <c r="AG2229" s="2">
        <v>1456.01</v>
      </c>
      <c r="AH2229">
        <v>0</v>
      </c>
      <c r="AI2229" s="2">
        <v>1456.01</v>
      </c>
      <c r="AJ2229">
        <v>419.72</v>
      </c>
      <c r="AK2229">
        <v>419.72</v>
      </c>
      <c r="AL2229" t="str">
        <f>"$"</f>
        <v>$</v>
      </c>
    </row>
    <row r="2230" spans="1:38" x14ac:dyDescent="0.3">
      <c r="A2230" t="str">
        <f>"SO22000469"</f>
        <v>SO22000469</v>
      </c>
      <c r="B2230" t="str">
        <f>"E000374099"</f>
        <v>E000374099</v>
      </c>
      <c r="C2230" t="str">
        <f>"הרכבה חלקית"</f>
        <v>הרכבה חלקית</v>
      </c>
      <c r="E2230" s="3">
        <v>44915</v>
      </c>
      <c r="F2230" s="3">
        <v>45052</v>
      </c>
      <c r="G2230" t="str">
        <f>"700065"</f>
        <v>700065</v>
      </c>
      <c r="H2230" t="str">
        <f>"אלתא מערכות בע""מ"</f>
        <v>אלתא מערכות בע"מ</v>
      </c>
      <c r="I2230" t="str">
        <f>"רחמים זרוק"</f>
        <v>רחמים זרוק</v>
      </c>
      <c r="J2230" t="str">
        <f>"OP-AR03493"</f>
        <v>OP-AR03493</v>
      </c>
      <c r="K2230" s="1" t="str">
        <f>"1036C704-001    HARNESS WE004 - EPU1 - POWER PDU TO OTXU"</f>
        <v>1036C704-001    HARNESS WE004 - EPU1 - POWER PDU TO OTXU</v>
      </c>
      <c r="L2230">
        <v>1</v>
      </c>
      <c r="M2230" t="str">
        <f>"PR22000904"</f>
        <v>PR22000904</v>
      </c>
      <c r="N2230" t="str">
        <f>"E000374099"</f>
        <v>E000374099</v>
      </c>
      <c r="O2230">
        <v>419.72</v>
      </c>
      <c r="P2230" t="str">
        <f>"$"</f>
        <v>$</v>
      </c>
      <c r="Q2230" t="str">
        <f>"117"</f>
        <v>117</v>
      </c>
      <c r="R2230" t="str">
        <f>"רתמות"</f>
        <v>רתמות</v>
      </c>
      <c r="S2230" t="str">
        <f>"040"</f>
        <v>040</v>
      </c>
      <c r="T2230" t="str">
        <f>"עמר ליגל"</f>
        <v>עמר ליגל</v>
      </c>
      <c r="U2230">
        <v>0</v>
      </c>
      <c r="V2230">
        <v>0</v>
      </c>
      <c r="W2230">
        <v>419.72</v>
      </c>
      <c r="X2230">
        <v>419.72</v>
      </c>
      <c r="Z2230" t="str">
        <f>"Y"</f>
        <v>Y</v>
      </c>
      <c r="AA2230">
        <v>0</v>
      </c>
      <c r="AC2230">
        <v>0</v>
      </c>
      <c r="AE2230">
        <v>0</v>
      </c>
      <c r="AF2230">
        <v>0</v>
      </c>
      <c r="AG2230" s="2">
        <v>1456.01</v>
      </c>
      <c r="AH2230">
        <v>0</v>
      </c>
      <c r="AI2230" s="2">
        <v>1456.01</v>
      </c>
      <c r="AJ2230">
        <v>419.72</v>
      </c>
      <c r="AK2230">
        <v>419.72</v>
      </c>
      <c r="AL2230" t="str">
        <f>"$"</f>
        <v>$</v>
      </c>
    </row>
    <row r="2231" spans="1:38" x14ac:dyDescent="0.3">
      <c r="A2231" t="str">
        <f>"SO22000469"</f>
        <v>SO22000469</v>
      </c>
      <c r="B2231" t="str">
        <f>"E000374099"</f>
        <v>E000374099</v>
      </c>
      <c r="C2231" t="str">
        <f>"הרכבה חלקית"</f>
        <v>הרכבה חלקית</v>
      </c>
      <c r="E2231" s="3">
        <v>44915</v>
      </c>
      <c r="F2231" s="3">
        <v>45052</v>
      </c>
      <c r="G2231" t="str">
        <f>"700065"</f>
        <v>700065</v>
      </c>
      <c r="H2231" t="str">
        <f>"אלתא מערכות בע""מ"</f>
        <v>אלתא מערכות בע"מ</v>
      </c>
      <c r="I2231" t="str">
        <f>"רחמים זרוק"</f>
        <v>רחמים זרוק</v>
      </c>
      <c r="J2231" t="str">
        <f>"OP-AR03494"</f>
        <v>OP-AR03494</v>
      </c>
      <c r="K2231" s="1" t="str">
        <f>"1036C706-001    HARNESS WE006 - EPU1 - POWER PDU TO RSU"</f>
        <v>1036C706-001    HARNESS WE006 - EPU1 - POWER PDU TO RSU</v>
      </c>
      <c r="L2231">
        <v>1</v>
      </c>
      <c r="M2231" t="str">
        <f>"PR22000904"</f>
        <v>PR22000904</v>
      </c>
      <c r="N2231" t="str">
        <f>"E000374099"</f>
        <v>E000374099</v>
      </c>
      <c r="O2231">
        <v>502.82</v>
      </c>
      <c r="P2231" t="str">
        <f>"$"</f>
        <v>$</v>
      </c>
      <c r="Q2231" t="str">
        <f>"117"</f>
        <v>117</v>
      </c>
      <c r="R2231" t="str">
        <f>"רתמות"</f>
        <v>רתמות</v>
      </c>
      <c r="S2231" t="str">
        <f>"040"</f>
        <v>040</v>
      </c>
      <c r="T2231" t="str">
        <f>"עמר ליגל"</f>
        <v>עמר ליגל</v>
      </c>
      <c r="U2231">
        <v>0</v>
      </c>
      <c r="V2231">
        <v>0</v>
      </c>
      <c r="W2231">
        <v>502.82</v>
      </c>
      <c r="X2231">
        <v>502.82</v>
      </c>
      <c r="Z2231" t="str">
        <f>"Y"</f>
        <v>Y</v>
      </c>
      <c r="AA2231">
        <v>0</v>
      </c>
      <c r="AC2231">
        <v>0</v>
      </c>
      <c r="AE2231">
        <v>0</v>
      </c>
      <c r="AF2231">
        <v>0</v>
      </c>
      <c r="AG2231" s="2">
        <v>1744.28</v>
      </c>
      <c r="AH2231">
        <v>0</v>
      </c>
      <c r="AI2231" s="2">
        <v>1744.28</v>
      </c>
      <c r="AJ2231">
        <v>502.82</v>
      </c>
      <c r="AK2231">
        <v>502.82</v>
      </c>
      <c r="AL2231" t="str">
        <f>"$"</f>
        <v>$</v>
      </c>
    </row>
    <row r="2232" spans="1:38" x14ac:dyDescent="0.3">
      <c r="A2232" t="str">
        <f>"SO22000469"</f>
        <v>SO22000469</v>
      </c>
      <c r="B2232" t="str">
        <f>"E000374099"</f>
        <v>E000374099</v>
      </c>
      <c r="C2232" t="str">
        <f>"הרכבה חלקית"</f>
        <v>הרכבה חלקית</v>
      </c>
      <c r="E2232" s="3">
        <v>44915</v>
      </c>
      <c r="F2232" s="3">
        <v>45052</v>
      </c>
      <c r="G2232" t="str">
        <f>"700065"</f>
        <v>700065</v>
      </c>
      <c r="H2232" t="str">
        <f>"אלתא מערכות בע""מ"</f>
        <v>אלתא מערכות בע"מ</v>
      </c>
      <c r="I2232" t="str">
        <f>"רחמים זרוק"</f>
        <v>רחמים זרוק</v>
      </c>
      <c r="J2232" t="str">
        <f>"OP-AR03495"</f>
        <v>OP-AR03495</v>
      </c>
      <c r="K2232" s="1" t="str">
        <f>"1036C707-001    HARNESS WE007 - EPU1 - POWER PDU TO RC"</f>
        <v>1036C707-001    HARNESS WE007 - EPU1 - POWER PDU TO RC</v>
      </c>
      <c r="L2232">
        <v>1</v>
      </c>
      <c r="M2232" t="str">
        <f>"PR22000904"</f>
        <v>PR22000904</v>
      </c>
      <c r="N2232" t="str">
        <f>"E000374099"</f>
        <v>E000374099</v>
      </c>
      <c r="O2232">
        <v>655.1</v>
      </c>
      <c r="P2232" t="str">
        <f>"$"</f>
        <v>$</v>
      </c>
      <c r="Q2232" t="str">
        <f>"117"</f>
        <v>117</v>
      </c>
      <c r="R2232" t="str">
        <f>"רתמות"</f>
        <v>רתמות</v>
      </c>
      <c r="S2232" t="str">
        <f>"040"</f>
        <v>040</v>
      </c>
      <c r="T2232" t="str">
        <f>"עמר ליגל"</f>
        <v>עמר ליגל</v>
      </c>
      <c r="U2232">
        <v>0</v>
      </c>
      <c r="V2232">
        <v>0</v>
      </c>
      <c r="W2232">
        <v>655.1</v>
      </c>
      <c r="X2232">
        <v>655.1</v>
      </c>
      <c r="Z2232" t="str">
        <f>"Y"</f>
        <v>Y</v>
      </c>
      <c r="AA2232">
        <v>0</v>
      </c>
      <c r="AC2232">
        <v>0</v>
      </c>
      <c r="AE2232">
        <v>0</v>
      </c>
      <c r="AF2232">
        <v>0</v>
      </c>
      <c r="AG2232" s="2">
        <v>2272.54</v>
      </c>
      <c r="AH2232">
        <v>0</v>
      </c>
      <c r="AI2232" s="2">
        <v>2272.54</v>
      </c>
      <c r="AJ2232">
        <v>655.1</v>
      </c>
      <c r="AK2232">
        <v>655.1</v>
      </c>
      <c r="AL2232" t="str">
        <f>"$"</f>
        <v>$</v>
      </c>
    </row>
    <row r="2233" spans="1:38" x14ac:dyDescent="0.3">
      <c r="A2233" t="str">
        <f>"SO22000469"</f>
        <v>SO22000469</v>
      </c>
      <c r="B2233" t="str">
        <f>"E000374099"</f>
        <v>E000374099</v>
      </c>
      <c r="C2233" t="str">
        <f>"הרכבה חלקית"</f>
        <v>הרכבה חלקית</v>
      </c>
      <c r="E2233" s="3">
        <v>44915</v>
      </c>
      <c r="F2233" s="3">
        <v>45052</v>
      </c>
      <c r="G2233" t="str">
        <f>"700065"</f>
        <v>700065</v>
      </c>
      <c r="H2233" t="str">
        <f>"אלתא מערכות בע""מ"</f>
        <v>אלתא מערכות בע"מ</v>
      </c>
      <c r="I2233" t="str">
        <f>"רחמים זרוק"</f>
        <v>רחמים זרוק</v>
      </c>
      <c r="J2233" t="str">
        <f>"OP-AR03496"</f>
        <v>OP-AR03496</v>
      </c>
      <c r="K2233" s="1" t="str">
        <f>"1036C708-001    HARNESS WE008 - EPU1 - POWER PDU TO PSPU"</f>
        <v>1036C708-001    HARNESS WE008 - EPU1 - POWER PDU TO PSPU</v>
      </c>
      <c r="L2233">
        <v>1</v>
      </c>
      <c r="M2233" t="str">
        <f>"PR22000904"</f>
        <v>PR22000904</v>
      </c>
      <c r="N2233" t="str">
        <f>"E000374099"</f>
        <v>E000374099</v>
      </c>
      <c r="O2233">
        <v>633.20000000000005</v>
      </c>
      <c r="P2233" t="str">
        <f>"$"</f>
        <v>$</v>
      </c>
      <c r="Q2233" t="str">
        <f>"117"</f>
        <v>117</v>
      </c>
      <c r="R2233" t="str">
        <f>"רתמות"</f>
        <v>רתמות</v>
      </c>
      <c r="S2233" t="str">
        <f>"040"</f>
        <v>040</v>
      </c>
      <c r="T2233" t="str">
        <f>"עמר ליגל"</f>
        <v>עמר ליגל</v>
      </c>
      <c r="U2233">
        <v>0</v>
      </c>
      <c r="V2233">
        <v>0</v>
      </c>
      <c r="W2233">
        <v>633.20000000000005</v>
      </c>
      <c r="X2233">
        <v>633.20000000000005</v>
      </c>
      <c r="Z2233" t="str">
        <f>"Y"</f>
        <v>Y</v>
      </c>
      <c r="AA2233">
        <v>0</v>
      </c>
      <c r="AC2233">
        <v>0</v>
      </c>
      <c r="AE2233">
        <v>0</v>
      </c>
      <c r="AF2233">
        <v>0</v>
      </c>
      <c r="AG2233" s="2">
        <v>2196.5700000000002</v>
      </c>
      <c r="AH2233">
        <v>0</v>
      </c>
      <c r="AI2233" s="2">
        <v>2196.5700000000002</v>
      </c>
      <c r="AJ2233">
        <v>633.20000000000005</v>
      </c>
      <c r="AK2233">
        <v>633.20000000000005</v>
      </c>
      <c r="AL2233" t="str">
        <f>"$"</f>
        <v>$</v>
      </c>
    </row>
    <row r="2234" spans="1:38" x14ac:dyDescent="0.3">
      <c r="A2234" t="str">
        <f>"SO22000469"</f>
        <v>SO22000469</v>
      </c>
      <c r="B2234" t="str">
        <f>"E000374099"</f>
        <v>E000374099</v>
      </c>
      <c r="C2234" t="str">
        <f>"הרכבה חלקית"</f>
        <v>הרכבה חלקית</v>
      </c>
      <c r="E2234" s="3">
        <v>44915</v>
      </c>
      <c r="F2234" s="3">
        <v>45052</v>
      </c>
      <c r="G2234" t="str">
        <f>"700065"</f>
        <v>700065</v>
      </c>
      <c r="H2234" t="str">
        <f>"אלתא מערכות בע""מ"</f>
        <v>אלתא מערכות בע"מ</v>
      </c>
      <c r="I2234" t="str">
        <f>"רחמים זרוק"</f>
        <v>רחמים זרוק</v>
      </c>
      <c r="J2234" t="str">
        <f>"OP-AR03497"</f>
        <v>OP-AR03497</v>
      </c>
      <c r="K2234" s="1" t="str">
        <f>"1036C710-001    HARNESS WE010 - EPU1 - POWER PDU TO PSPU"</f>
        <v>1036C710-001    HARNESS WE010 - EPU1 - POWER PDU TO PSPU</v>
      </c>
      <c r="L2234">
        <v>1</v>
      </c>
      <c r="M2234" t="str">
        <f>"PR22000904"</f>
        <v>PR22000904</v>
      </c>
      <c r="N2234" t="str">
        <f>"E000374099"</f>
        <v>E000374099</v>
      </c>
      <c r="O2234">
        <v>642.78</v>
      </c>
      <c r="P2234" t="str">
        <f>"$"</f>
        <v>$</v>
      </c>
      <c r="Q2234" t="str">
        <f>"117"</f>
        <v>117</v>
      </c>
      <c r="R2234" t="str">
        <f>"רתמות"</f>
        <v>רתמות</v>
      </c>
      <c r="S2234" t="str">
        <f>"040"</f>
        <v>040</v>
      </c>
      <c r="T2234" t="str">
        <f>"עמר ליגל"</f>
        <v>עמר ליגל</v>
      </c>
      <c r="U2234">
        <v>0</v>
      </c>
      <c r="V2234">
        <v>0</v>
      </c>
      <c r="W2234">
        <v>642.78</v>
      </c>
      <c r="X2234">
        <v>642.78</v>
      </c>
      <c r="Z2234" t="str">
        <f>"Y"</f>
        <v>Y</v>
      </c>
      <c r="AA2234">
        <v>0</v>
      </c>
      <c r="AC2234">
        <v>0</v>
      </c>
      <c r="AE2234">
        <v>0</v>
      </c>
      <c r="AF2234">
        <v>0</v>
      </c>
      <c r="AG2234" s="2">
        <v>2229.8000000000002</v>
      </c>
      <c r="AH2234">
        <v>0</v>
      </c>
      <c r="AI2234" s="2">
        <v>2229.8000000000002</v>
      </c>
      <c r="AJ2234">
        <v>642.78</v>
      </c>
      <c r="AK2234">
        <v>642.78</v>
      </c>
      <c r="AL2234" t="str">
        <f>"$"</f>
        <v>$</v>
      </c>
    </row>
    <row r="2235" spans="1:38" x14ac:dyDescent="0.3">
      <c r="A2235" t="str">
        <f>"SO22000469"</f>
        <v>SO22000469</v>
      </c>
      <c r="B2235" t="str">
        <f>"E000374099"</f>
        <v>E000374099</v>
      </c>
      <c r="C2235" t="str">
        <f>"הרכבה חלקית"</f>
        <v>הרכבה חלקית</v>
      </c>
      <c r="E2235" s="3">
        <v>44915</v>
      </c>
      <c r="F2235" s="3">
        <v>45052</v>
      </c>
      <c r="G2235" t="str">
        <f>"700065"</f>
        <v>700065</v>
      </c>
      <c r="H2235" t="str">
        <f>"אלתא מערכות בע""מ"</f>
        <v>אלתא מערכות בע"מ</v>
      </c>
      <c r="I2235" t="str">
        <f>"רחמים זרוק"</f>
        <v>רחמים זרוק</v>
      </c>
      <c r="J2235" t="str">
        <f>"OP-AR03498"</f>
        <v>OP-AR03498</v>
      </c>
      <c r="K2235" s="1" t="str">
        <f>"1036C711-001    HARNESS WE011 - EPU1 - POWER PDU TO PSPU"</f>
        <v>1036C711-001    HARNESS WE011 - EPU1 - POWER PDU TO PSPU</v>
      </c>
      <c r="L2235">
        <v>1</v>
      </c>
      <c r="M2235" t="str">
        <f>"PR22000904"</f>
        <v>PR22000904</v>
      </c>
      <c r="N2235" t="str">
        <f>"E000374099"</f>
        <v>E000374099</v>
      </c>
      <c r="O2235">
        <v>634.78</v>
      </c>
      <c r="P2235" t="str">
        <f>"$"</f>
        <v>$</v>
      </c>
      <c r="Q2235" t="str">
        <f>"117"</f>
        <v>117</v>
      </c>
      <c r="R2235" t="str">
        <f>"רתמות"</f>
        <v>רתמות</v>
      </c>
      <c r="S2235" t="str">
        <f>"040"</f>
        <v>040</v>
      </c>
      <c r="T2235" t="str">
        <f>"עמר ליגל"</f>
        <v>עמר ליגל</v>
      </c>
      <c r="U2235">
        <v>0</v>
      </c>
      <c r="V2235">
        <v>0</v>
      </c>
      <c r="W2235">
        <v>634.78</v>
      </c>
      <c r="X2235">
        <v>634.78</v>
      </c>
      <c r="Z2235" t="str">
        <f>"Y"</f>
        <v>Y</v>
      </c>
      <c r="AA2235">
        <v>0</v>
      </c>
      <c r="AC2235">
        <v>0</v>
      </c>
      <c r="AE2235">
        <v>0</v>
      </c>
      <c r="AF2235">
        <v>0</v>
      </c>
      <c r="AG2235" s="2">
        <v>2202.0500000000002</v>
      </c>
      <c r="AH2235">
        <v>0</v>
      </c>
      <c r="AI2235" s="2">
        <v>2202.0500000000002</v>
      </c>
      <c r="AJ2235">
        <v>634.78</v>
      </c>
      <c r="AK2235">
        <v>634.78</v>
      </c>
      <c r="AL2235" t="str">
        <f>"$"</f>
        <v>$</v>
      </c>
    </row>
    <row r="2236" spans="1:38" x14ac:dyDescent="0.3">
      <c r="A2236" t="str">
        <f>"SO22000469"</f>
        <v>SO22000469</v>
      </c>
      <c r="B2236" t="str">
        <f>"E000374099"</f>
        <v>E000374099</v>
      </c>
      <c r="C2236" t="str">
        <f>"הרכבה חלקית"</f>
        <v>הרכבה חלקית</v>
      </c>
      <c r="E2236" s="3">
        <v>44915</v>
      </c>
      <c r="F2236" s="3">
        <v>45052</v>
      </c>
      <c r="G2236" t="str">
        <f>"700065"</f>
        <v>700065</v>
      </c>
      <c r="H2236" t="str">
        <f>"אלתא מערכות בע""מ"</f>
        <v>אלתא מערכות בע"מ</v>
      </c>
      <c r="I2236" t="str">
        <f>"רחמים זרוק"</f>
        <v>רחמים זרוק</v>
      </c>
      <c r="J2236" t="str">
        <f>"OP-AR03499"</f>
        <v>OP-AR03499</v>
      </c>
      <c r="K2236" s="1" t="str">
        <f>"1036C712-001    HARNESS WE012 - EPU1 - POWER PDU TO ETHS"</f>
        <v>1036C712-001    HARNESS WE012 - EPU1 - POWER PDU TO ETHS</v>
      </c>
      <c r="L2236">
        <v>1</v>
      </c>
      <c r="M2236" t="str">
        <f>"PR22000904"</f>
        <v>PR22000904</v>
      </c>
      <c r="N2236" t="str">
        <f>"E000374099"</f>
        <v>E000374099</v>
      </c>
      <c r="O2236">
        <v>364.69</v>
      </c>
      <c r="P2236" t="str">
        <f>"$"</f>
        <v>$</v>
      </c>
      <c r="Q2236" t="str">
        <f>"117"</f>
        <v>117</v>
      </c>
      <c r="R2236" t="str">
        <f>"רתמות"</f>
        <v>רתמות</v>
      </c>
      <c r="S2236" t="str">
        <f>"040"</f>
        <v>040</v>
      </c>
      <c r="T2236" t="str">
        <f>"עמר ליגל"</f>
        <v>עמר ליגל</v>
      </c>
      <c r="U2236">
        <v>0</v>
      </c>
      <c r="V2236">
        <v>0</v>
      </c>
      <c r="W2236">
        <v>364.69</v>
      </c>
      <c r="X2236">
        <v>364.69</v>
      </c>
      <c r="Z2236" t="str">
        <f>"Y"</f>
        <v>Y</v>
      </c>
      <c r="AA2236">
        <v>0</v>
      </c>
      <c r="AC2236">
        <v>0</v>
      </c>
      <c r="AE2236">
        <v>0</v>
      </c>
      <c r="AF2236">
        <v>0</v>
      </c>
      <c r="AG2236" s="2">
        <v>1265.1099999999999</v>
      </c>
      <c r="AH2236">
        <v>0</v>
      </c>
      <c r="AI2236" s="2">
        <v>1265.1099999999999</v>
      </c>
      <c r="AJ2236">
        <v>364.69</v>
      </c>
      <c r="AK2236">
        <v>364.69</v>
      </c>
      <c r="AL2236" t="str">
        <f>"$"</f>
        <v>$</v>
      </c>
    </row>
    <row r="2237" spans="1:38" x14ac:dyDescent="0.3">
      <c r="A2237" t="str">
        <f>"SO22000469"</f>
        <v>SO22000469</v>
      </c>
      <c r="B2237" t="str">
        <f>"E000374099"</f>
        <v>E000374099</v>
      </c>
      <c r="C2237" t="str">
        <f>"הרכבה חלקית"</f>
        <v>הרכבה חלקית</v>
      </c>
      <c r="E2237" s="3">
        <v>44915</v>
      </c>
      <c r="F2237" s="3">
        <v>45052</v>
      </c>
      <c r="G2237" t="str">
        <f>"700065"</f>
        <v>700065</v>
      </c>
      <c r="H2237" t="str">
        <f>"אלתא מערכות בע""מ"</f>
        <v>אלתא מערכות בע"מ</v>
      </c>
      <c r="I2237" t="str">
        <f>"רחמים זרוק"</f>
        <v>רחמים זרוק</v>
      </c>
      <c r="J2237" t="str">
        <f>"OP-AR03500"</f>
        <v>OP-AR03500</v>
      </c>
      <c r="K2237" s="1" t="str">
        <f>"1036C713-001    HARNESS WE013 - EPU1 - POWER PDU TO KVM"</f>
        <v>1036C713-001    HARNESS WE013 - EPU1 - POWER PDU TO KVM</v>
      </c>
      <c r="L2237">
        <v>1</v>
      </c>
      <c r="M2237" t="str">
        <f>"PR22000904"</f>
        <v>PR22000904</v>
      </c>
      <c r="N2237" t="str">
        <f>"E000374099"</f>
        <v>E000374099</v>
      </c>
      <c r="O2237">
        <v>267.99</v>
      </c>
      <c r="P2237" t="str">
        <f>"$"</f>
        <v>$</v>
      </c>
      <c r="Q2237" t="str">
        <f>"117"</f>
        <v>117</v>
      </c>
      <c r="R2237" t="str">
        <f>"רתמות"</f>
        <v>רתמות</v>
      </c>
      <c r="S2237" t="str">
        <f>"040"</f>
        <v>040</v>
      </c>
      <c r="T2237" t="str">
        <f>"עמר ליגל"</f>
        <v>עמר ליגל</v>
      </c>
      <c r="U2237">
        <v>0</v>
      </c>
      <c r="V2237">
        <v>0</v>
      </c>
      <c r="W2237">
        <v>267.99</v>
      </c>
      <c r="X2237">
        <v>267.99</v>
      </c>
      <c r="Z2237" t="str">
        <f>"Y"</f>
        <v>Y</v>
      </c>
      <c r="AA2237">
        <v>0</v>
      </c>
      <c r="AC2237">
        <v>0</v>
      </c>
      <c r="AE2237">
        <v>0</v>
      </c>
      <c r="AF2237">
        <v>0</v>
      </c>
      <c r="AG2237">
        <v>929.66</v>
      </c>
      <c r="AH2237">
        <v>0</v>
      </c>
      <c r="AI2237">
        <v>929.66</v>
      </c>
      <c r="AJ2237">
        <v>267.99</v>
      </c>
      <c r="AK2237">
        <v>267.99</v>
      </c>
      <c r="AL2237" t="str">
        <f>"$"</f>
        <v>$</v>
      </c>
    </row>
    <row r="2238" spans="1:38" x14ac:dyDescent="0.3">
      <c r="A2238" t="str">
        <f>"SO22000469"</f>
        <v>SO22000469</v>
      </c>
      <c r="B2238" t="str">
        <f>"E000374099"</f>
        <v>E000374099</v>
      </c>
      <c r="C2238" t="str">
        <f>"הרכבה חלקית"</f>
        <v>הרכבה חלקית</v>
      </c>
      <c r="E2238" s="3">
        <v>44915</v>
      </c>
      <c r="F2238" s="3">
        <v>45052</v>
      </c>
      <c r="G2238" t="str">
        <f>"700065"</f>
        <v>700065</v>
      </c>
      <c r="H2238" t="str">
        <f>"אלתא מערכות בע""מ"</f>
        <v>אלתא מערכות בע"מ</v>
      </c>
      <c r="I2238" t="str">
        <f>"רחמים זרוק"</f>
        <v>רחמים זרוק</v>
      </c>
      <c r="J2238" t="str">
        <f>"OP-AR03501"</f>
        <v>OP-AR03501</v>
      </c>
      <c r="K2238" s="1" t="str">
        <f>"1036C719-001    HARNESS WE019 - EPU1 - ETHERNET ETH TO P"</f>
        <v>1036C719-001    HARNESS WE019 - EPU1 - ETHERNET ETH TO P</v>
      </c>
      <c r="L2238">
        <v>1</v>
      </c>
      <c r="M2238" t="str">
        <f>"PR22000904"</f>
        <v>PR22000904</v>
      </c>
      <c r="N2238" t="str">
        <f>"E000374099"</f>
        <v>E000374099</v>
      </c>
      <c r="O2238">
        <v>327.31</v>
      </c>
      <c r="P2238" t="str">
        <f>"$"</f>
        <v>$</v>
      </c>
      <c r="Q2238" t="str">
        <f>"117"</f>
        <v>117</v>
      </c>
      <c r="R2238" t="str">
        <f>"רתמות"</f>
        <v>רתמות</v>
      </c>
      <c r="S2238" t="str">
        <f>"040"</f>
        <v>040</v>
      </c>
      <c r="T2238" t="str">
        <f>"עמר ליגל"</f>
        <v>עמר ליגל</v>
      </c>
      <c r="U2238">
        <v>0</v>
      </c>
      <c r="V2238">
        <v>0</v>
      </c>
      <c r="W2238">
        <v>327.31</v>
      </c>
      <c r="X2238">
        <v>327.31</v>
      </c>
      <c r="Z2238" t="str">
        <f>"Y"</f>
        <v>Y</v>
      </c>
      <c r="AA2238">
        <v>0</v>
      </c>
      <c r="AC2238">
        <v>0</v>
      </c>
      <c r="AE2238">
        <v>0</v>
      </c>
      <c r="AF2238">
        <v>0</v>
      </c>
      <c r="AG2238" s="2">
        <v>1135.44</v>
      </c>
      <c r="AH2238">
        <v>0</v>
      </c>
      <c r="AI2238" s="2">
        <v>1135.44</v>
      </c>
      <c r="AJ2238">
        <v>327.31</v>
      </c>
      <c r="AK2238">
        <v>327.31</v>
      </c>
      <c r="AL2238" t="str">
        <f>"$"</f>
        <v>$</v>
      </c>
    </row>
    <row r="2239" spans="1:38" x14ac:dyDescent="0.3">
      <c r="A2239" t="str">
        <f>"SO22000469"</f>
        <v>SO22000469</v>
      </c>
      <c r="B2239" t="str">
        <f>"E000374099"</f>
        <v>E000374099</v>
      </c>
      <c r="C2239" t="str">
        <f>"הרכבה חלקית"</f>
        <v>הרכבה חלקית</v>
      </c>
      <c r="E2239" s="3">
        <v>44915</v>
      </c>
      <c r="F2239" s="3">
        <v>45052</v>
      </c>
      <c r="G2239" t="str">
        <f>"700065"</f>
        <v>700065</v>
      </c>
      <c r="H2239" t="str">
        <f>"אלתא מערכות בע""מ"</f>
        <v>אלתא מערכות בע"מ</v>
      </c>
      <c r="I2239" t="str">
        <f>"רחמים זרוק"</f>
        <v>רחמים זרוק</v>
      </c>
      <c r="J2239" t="str">
        <f>"OP-AR03502"</f>
        <v>OP-AR03502</v>
      </c>
      <c r="K2239" s="1" t="str">
        <f>"1036C720-001    HARNESS WE020 - EPU1 - ETHERNET ETH TO P"</f>
        <v>1036C720-001    HARNESS WE020 - EPU1 - ETHERNET ETH TO P</v>
      </c>
      <c r="L2239">
        <v>1</v>
      </c>
      <c r="M2239" t="str">
        <f>"PR22000904"</f>
        <v>PR22000904</v>
      </c>
      <c r="N2239" t="str">
        <f>"E000374099"</f>
        <v>E000374099</v>
      </c>
      <c r="O2239">
        <v>461.21</v>
      </c>
      <c r="P2239" t="str">
        <f>"$"</f>
        <v>$</v>
      </c>
      <c r="Q2239" t="str">
        <f>"117"</f>
        <v>117</v>
      </c>
      <c r="R2239" t="str">
        <f>"רתמות"</f>
        <v>רתמות</v>
      </c>
      <c r="S2239" t="str">
        <f>"040"</f>
        <v>040</v>
      </c>
      <c r="T2239" t="str">
        <f>"עמר ליגל"</f>
        <v>עמר ליגל</v>
      </c>
      <c r="U2239">
        <v>0</v>
      </c>
      <c r="V2239">
        <v>0</v>
      </c>
      <c r="W2239">
        <v>461.21</v>
      </c>
      <c r="X2239">
        <v>461.21</v>
      </c>
      <c r="Z2239" t="str">
        <f>"Y"</f>
        <v>Y</v>
      </c>
      <c r="AA2239">
        <v>0</v>
      </c>
      <c r="AC2239">
        <v>0</v>
      </c>
      <c r="AE2239">
        <v>0</v>
      </c>
      <c r="AF2239">
        <v>0</v>
      </c>
      <c r="AG2239" s="2">
        <v>1599.94</v>
      </c>
      <c r="AH2239">
        <v>0</v>
      </c>
      <c r="AI2239" s="2">
        <v>1599.94</v>
      </c>
      <c r="AJ2239">
        <v>461.21</v>
      </c>
      <c r="AK2239">
        <v>461.21</v>
      </c>
      <c r="AL2239" t="str">
        <f>"$"</f>
        <v>$</v>
      </c>
    </row>
    <row r="2240" spans="1:38" x14ac:dyDescent="0.3">
      <c r="A2240" t="str">
        <f>"SO22000469"</f>
        <v>SO22000469</v>
      </c>
      <c r="B2240" t="str">
        <f>"E000374099"</f>
        <v>E000374099</v>
      </c>
      <c r="C2240" t="str">
        <f>"הרכבה חלקית"</f>
        <v>הרכבה חלקית</v>
      </c>
      <c r="E2240" s="3">
        <v>44915</v>
      </c>
      <c r="F2240" s="3">
        <v>45052</v>
      </c>
      <c r="G2240" t="str">
        <f>"700065"</f>
        <v>700065</v>
      </c>
      <c r="H2240" t="str">
        <f>"אלתא מערכות בע""מ"</f>
        <v>אלתא מערכות בע"מ</v>
      </c>
      <c r="I2240" t="str">
        <f>"רחמים זרוק"</f>
        <v>רחמים זרוק</v>
      </c>
      <c r="J2240" t="str">
        <f>"OP-AR03503"</f>
        <v>OP-AR03503</v>
      </c>
      <c r="K2240" s="1" t="str">
        <f>"1036C721-001    HARNESS WE021 - EPU1 - ETHERNET ETH TO P"</f>
        <v>1036C721-001    HARNESS WE021 - EPU1 - ETHERNET ETH TO P</v>
      </c>
      <c r="L2240">
        <v>1</v>
      </c>
      <c r="M2240" t="str">
        <f>"PR22000904"</f>
        <v>PR22000904</v>
      </c>
      <c r="N2240" t="str">
        <f>"E000374099"</f>
        <v>E000374099</v>
      </c>
      <c r="O2240">
        <v>431.73</v>
      </c>
      <c r="P2240" t="str">
        <f>"$"</f>
        <v>$</v>
      </c>
      <c r="Q2240" t="str">
        <f>"117"</f>
        <v>117</v>
      </c>
      <c r="R2240" t="str">
        <f>"רתמות"</f>
        <v>רתמות</v>
      </c>
      <c r="S2240" t="str">
        <f>"040"</f>
        <v>040</v>
      </c>
      <c r="T2240" t="str">
        <f>"עמר ליגל"</f>
        <v>עמר ליגל</v>
      </c>
      <c r="U2240">
        <v>0</v>
      </c>
      <c r="V2240">
        <v>0</v>
      </c>
      <c r="W2240">
        <v>431.73</v>
      </c>
      <c r="X2240">
        <v>431.73</v>
      </c>
      <c r="Z2240" t="str">
        <f>"Y"</f>
        <v>Y</v>
      </c>
      <c r="AA2240">
        <v>0</v>
      </c>
      <c r="AC2240">
        <v>0</v>
      </c>
      <c r="AE2240">
        <v>0</v>
      </c>
      <c r="AF2240">
        <v>0</v>
      </c>
      <c r="AG2240" s="2">
        <v>1497.67</v>
      </c>
      <c r="AH2240">
        <v>0</v>
      </c>
      <c r="AI2240" s="2">
        <v>1497.67</v>
      </c>
      <c r="AJ2240">
        <v>431.73</v>
      </c>
      <c r="AK2240">
        <v>431.73</v>
      </c>
      <c r="AL2240" t="str">
        <f>"$"</f>
        <v>$</v>
      </c>
    </row>
    <row r="2241" spans="1:38" x14ac:dyDescent="0.3">
      <c r="A2241" t="str">
        <f>"SO22000469"</f>
        <v>SO22000469</v>
      </c>
      <c r="B2241" t="str">
        <f>"E000374099"</f>
        <v>E000374099</v>
      </c>
      <c r="C2241" t="str">
        <f>"הרכבה חלקית"</f>
        <v>הרכבה חלקית</v>
      </c>
      <c r="E2241" s="3">
        <v>44915</v>
      </c>
      <c r="F2241" s="3">
        <v>45052</v>
      </c>
      <c r="G2241" t="str">
        <f>"700065"</f>
        <v>700065</v>
      </c>
      <c r="H2241" t="str">
        <f>"אלתא מערכות בע""מ"</f>
        <v>אלתא מערכות בע"מ</v>
      </c>
      <c r="I2241" t="str">
        <f>"רחמים זרוק"</f>
        <v>רחמים זרוק</v>
      </c>
      <c r="J2241" t="str">
        <f>"OP-AR03504"</f>
        <v>OP-AR03504</v>
      </c>
      <c r="K2241" s="1" t="str">
        <f>"1036C722-001    HARNESS WE022 - EPU1 - ETHERNET ETH TO P"</f>
        <v>1036C722-001    HARNESS WE022 - EPU1 - ETHERNET ETH TO P</v>
      </c>
      <c r="L2241">
        <v>1</v>
      </c>
      <c r="M2241" t="str">
        <f>"PR22000904"</f>
        <v>PR22000904</v>
      </c>
      <c r="N2241" t="str">
        <f>"E000374099"</f>
        <v>E000374099</v>
      </c>
      <c r="O2241">
        <v>461.21</v>
      </c>
      <c r="P2241" t="str">
        <f>"$"</f>
        <v>$</v>
      </c>
      <c r="Q2241" t="str">
        <f>"117"</f>
        <v>117</v>
      </c>
      <c r="R2241" t="str">
        <f>"רתמות"</f>
        <v>רתמות</v>
      </c>
      <c r="S2241" t="str">
        <f>"040"</f>
        <v>040</v>
      </c>
      <c r="T2241" t="str">
        <f>"עמר ליגל"</f>
        <v>עמר ליגל</v>
      </c>
      <c r="U2241">
        <v>0</v>
      </c>
      <c r="V2241">
        <v>0</v>
      </c>
      <c r="W2241">
        <v>461.21</v>
      </c>
      <c r="X2241">
        <v>461.21</v>
      </c>
      <c r="Z2241" t="str">
        <f>"Y"</f>
        <v>Y</v>
      </c>
      <c r="AA2241">
        <v>0</v>
      </c>
      <c r="AC2241">
        <v>0</v>
      </c>
      <c r="AE2241">
        <v>0</v>
      </c>
      <c r="AF2241">
        <v>0</v>
      </c>
      <c r="AG2241" s="2">
        <v>1599.94</v>
      </c>
      <c r="AH2241">
        <v>0</v>
      </c>
      <c r="AI2241" s="2">
        <v>1599.94</v>
      </c>
      <c r="AJ2241">
        <v>461.21</v>
      </c>
      <c r="AK2241">
        <v>461.21</v>
      </c>
      <c r="AL2241" t="str">
        <f>"$"</f>
        <v>$</v>
      </c>
    </row>
    <row r="2242" spans="1:38" x14ac:dyDescent="0.3">
      <c r="A2242" t="str">
        <f>"SO22000469"</f>
        <v>SO22000469</v>
      </c>
      <c r="B2242" t="str">
        <f>"E000374099"</f>
        <v>E000374099</v>
      </c>
      <c r="C2242" t="str">
        <f>"הרכבה חלקית"</f>
        <v>הרכבה חלקית</v>
      </c>
      <c r="E2242" s="3">
        <v>44915</v>
      </c>
      <c r="F2242" s="3">
        <v>45052</v>
      </c>
      <c r="G2242" t="str">
        <f>"700065"</f>
        <v>700065</v>
      </c>
      <c r="H2242" t="str">
        <f>"אלתא מערכות בע""מ"</f>
        <v>אלתא מערכות בע"מ</v>
      </c>
      <c r="I2242" t="str">
        <f>"רחמים זרוק"</f>
        <v>רחמים זרוק</v>
      </c>
      <c r="J2242" t="str">
        <f>"OP-AR03505"</f>
        <v>OP-AR03505</v>
      </c>
      <c r="K2242" s="1" t="str">
        <f>"1036C723-001    HARNESS WE023 - EPU1 - ETHERNET ETH TO P"</f>
        <v>1036C723-001    HARNESS WE023 - EPU1 - ETHERNET ETH TO P</v>
      </c>
      <c r="L2242">
        <v>1</v>
      </c>
      <c r="M2242" t="str">
        <f>"PR22000904"</f>
        <v>PR22000904</v>
      </c>
      <c r="N2242" t="str">
        <f>"E000374099"</f>
        <v>E000374099</v>
      </c>
      <c r="O2242">
        <v>461.21</v>
      </c>
      <c r="P2242" t="str">
        <f>"$"</f>
        <v>$</v>
      </c>
      <c r="Q2242" t="str">
        <f>"117"</f>
        <v>117</v>
      </c>
      <c r="R2242" t="str">
        <f>"רתמות"</f>
        <v>רתמות</v>
      </c>
      <c r="S2242" t="str">
        <f>"040"</f>
        <v>040</v>
      </c>
      <c r="T2242" t="str">
        <f>"עמר ליגל"</f>
        <v>עמר ליגל</v>
      </c>
      <c r="U2242">
        <v>0</v>
      </c>
      <c r="V2242">
        <v>0</v>
      </c>
      <c r="W2242">
        <v>461.21</v>
      </c>
      <c r="X2242">
        <v>461.21</v>
      </c>
      <c r="Z2242" t="str">
        <f>"Y"</f>
        <v>Y</v>
      </c>
      <c r="AA2242">
        <v>0</v>
      </c>
      <c r="AC2242">
        <v>0</v>
      </c>
      <c r="AE2242">
        <v>0</v>
      </c>
      <c r="AF2242">
        <v>0</v>
      </c>
      <c r="AG2242" s="2">
        <v>1599.94</v>
      </c>
      <c r="AH2242">
        <v>0</v>
      </c>
      <c r="AI2242" s="2">
        <v>1599.94</v>
      </c>
      <c r="AJ2242">
        <v>461.21</v>
      </c>
      <c r="AK2242">
        <v>461.21</v>
      </c>
      <c r="AL2242" t="str">
        <f>"$"</f>
        <v>$</v>
      </c>
    </row>
    <row r="2243" spans="1:38" x14ac:dyDescent="0.3">
      <c r="A2243" t="str">
        <f>"SO22000469"</f>
        <v>SO22000469</v>
      </c>
      <c r="B2243" t="str">
        <f>"E000374099"</f>
        <v>E000374099</v>
      </c>
      <c r="C2243" t="str">
        <f>"הרכבה חלקית"</f>
        <v>הרכבה חלקית</v>
      </c>
      <c r="E2243" s="3">
        <v>44915</v>
      </c>
      <c r="F2243" s="3">
        <v>45052</v>
      </c>
      <c r="G2243" t="str">
        <f>"700065"</f>
        <v>700065</v>
      </c>
      <c r="H2243" t="str">
        <f>"אלתא מערכות בע""מ"</f>
        <v>אלתא מערכות בע"מ</v>
      </c>
      <c r="I2243" t="str">
        <f>"רחמים זרוק"</f>
        <v>רחמים זרוק</v>
      </c>
      <c r="J2243" t="str">
        <f>"OP-AR03506"</f>
        <v>OP-AR03506</v>
      </c>
      <c r="K2243" s="1" t="str">
        <f>"1036C731-001    HARNESS WE031 - EPU1 - PSPU1 TO KVM"</f>
        <v>1036C731-001    HARNESS WE031 - EPU1 - PSPU1 TO KVM</v>
      </c>
      <c r="L2243">
        <v>1</v>
      </c>
      <c r="M2243" t="str">
        <f>"PR22000904"</f>
        <v>PR22000904</v>
      </c>
      <c r="N2243" t="str">
        <f>"E000374099"</f>
        <v>E000374099</v>
      </c>
      <c r="O2243">
        <v>844.71</v>
      </c>
      <c r="P2243" t="str">
        <f>"$"</f>
        <v>$</v>
      </c>
      <c r="Q2243" t="str">
        <f>"117"</f>
        <v>117</v>
      </c>
      <c r="R2243" t="str">
        <f>"רתמות"</f>
        <v>רתמות</v>
      </c>
      <c r="S2243" t="str">
        <f>"040"</f>
        <v>040</v>
      </c>
      <c r="T2243" t="str">
        <f>"עמר ליגל"</f>
        <v>עמר ליגל</v>
      </c>
      <c r="U2243">
        <v>0</v>
      </c>
      <c r="V2243">
        <v>0</v>
      </c>
      <c r="W2243">
        <v>844.71</v>
      </c>
      <c r="X2243">
        <v>844.71</v>
      </c>
      <c r="Z2243" t="str">
        <f>"Y"</f>
        <v>Y</v>
      </c>
      <c r="AA2243">
        <v>0</v>
      </c>
      <c r="AC2243">
        <v>0</v>
      </c>
      <c r="AE2243">
        <v>0</v>
      </c>
      <c r="AF2243">
        <v>0</v>
      </c>
      <c r="AG2243" s="2">
        <v>2930.3</v>
      </c>
      <c r="AH2243">
        <v>0</v>
      </c>
      <c r="AI2243" s="2">
        <v>2930.3</v>
      </c>
      <c r="AJ2243">
        <v>844.71</v>
      </c>
      <c r="AK2243">
        <v>844.71</v>
      </c>
      <c r="AL2243" t="str">
        <f>"$"</f>
        <v>$</v>
      </c>
    </row>
    <row r="2244" spans="1:38" x14ac:dyDescent="0.3">
      <c r="A2244" t="str">
        <f>"SO22000469"</f>
        <v>SO22000469</v>
      </c>
      <c r="B2244" t="str">
        <f>"E000374099"</f>
        <v>E000374099</v>
      </c>
      <c r="C2244" t="str">
        <f>"הרכבה חלקית"</f>
        <v>הרכבה חלקית</v>
      </c>
      <c r="E2244" s="3">
        <v>44915</v>
      </c>
      <c r="F2244" s="3">
        <v>45052</v>
      </c>
      <c r="G2244" t="str">
        <f>"700065"</f>
        <v>700065</v>
      </c>
      <c r="H2244" t="str">
        <f>"אלתא מערכות בע""מ"</f>
        <v>אלתא מערכות בע"מ</v>
      </c>
      <c r="I2244" t="str">
        <f>"רחמים זרוק"</f>
        <v>רחמים זרוק</v>
      </c>
      <c r="J2244" t="str">
        <f>"OP-AR03507"</f>
        <v>OP-AR03507</v>
      </c>
      <c r="K2244" s="1" t="str">
        <f>"1036C732-001    HARNESS WE032 - EPU1 - PSPU2 TO KVM"</f>
        <v>1036C732-001    HARNESS WE032 - EPU1 - PSPU2 TO KVM</v>
      </c>
      <c r="L2244">
        <v>1</v>
      </c>
      <c r="M2244" t="str">
        <f>"PR22000904"</f>
        <v>PR22000904</v>
      </c>
      <c r="N2244" t="str">
        <f>"E000374099"</f>
        <v>E000374099</v>
      </c>
      <c r="O2244">
        <v>848.09</v>
      </c>
      <c r="P2244" t="str">
        <f>"$"</f>
        <v>$</v>
      </c>
      <c r="Q2244" t="str">
        <f>"117"</f>
        <v>117</v>
      </c>
      <c r="R2244" t="str">
        <f>"רתמות"</f>
        <v>רתמות</v>
      </c>
      <c r="S2244" t="str">
        <f>"040"</f>
        <v>040</v>
      </c>
      <c r="T2244" t="str">
        <f>"עמר ליגל"</f>
        <v>עמר ליגל</v>
      </c>
      <c r="U2244">
        <v>0</v>
      </c>
      <c r="V2244">
        <v>0</v>
      </c>
      <c r="W2244">
        <v>848.09</v>
      </c>
      <c r="X2244">
        <v>848.09</v>
      </c>
      <c r="Z2244" t="str">
        <f>"Y"</f>
        <v>Y</v>
      </c>
      <c r="AA2244">
        <v>0</v>
      </c>
      <c r="AC2244">
        <v>0</v>
      </c>
      <c r="AE2244">
        <v>0</v>
      </c>
      <c r="AF2244">
        <v>0</v>
      </c>
      <c r="AG2244" s="2">
        <v>2942.02</v>
      </c>
      <c r="AH2244">
        <v>0</v>
      </c>
      <c r="AI2244" s="2">
        <v>2942.02</v>
      </c>
      <c r="AJ2244">
        <v>848.09</v>
      </c>
      <c r="AK2244">
        <v>848.09</v>
      </c>
      <c r="AL2244" t="str">
        <f>"$"</f>
        <v>$</v>
      </c>
    </row>
    <row r="2245" spans="1:38" x14ac:dyDescent="0.3">
      <c r="A2245" t="str">
        <f>"SO22000469"</f>
        <v>SO22000469</v>
      </c>
      <c r="B2245" t="str">
        <f>"E000374099"</f>
        <v>E000374099</v>
      </c>
      <c r="C2245" t="str">
        <f>"הרכבה חלקית"</f>
        <v>הרכבה חלקית</v>
      </c>
      <c r="E2245" s="3">
        <v>44915</v>
      </c>
      <c r="F2245" s="3">
        <v>45052</v>
      </c>
      <c r="G2245" t="str">
        <f>"700065"</f>
        <v>700065</v>
      </c>
      <c r="H2245" t="str">
        <f>"אלתא מערכות בע""מ"</f>
        <v>אלתא מערכות בע"מ</v>
      </c>
      <c r="I2245" t="str">
        <f>"רחמים זרוק"</f>
        <v>רחמים זרוק</v>
      </c>
      <c r="J2245" t="str">
        <f>"OP-AR03508"</f>
        <v>OP-AR03508</v>
      </c>
      <c r="K2245" s="1" t="str">
        <f>"1036C733-001    HARNESS WE032 - EPU1 - PSPU3 TO KVM"</f>
        <v>1036C733-001    HARNESS WE032 - EPU1 - PSPU3 TO KVM</v>
      </c>
      <c r="L2245">
        <v>1</v>
      </c>
      <c r="M2245" t="str">
        <f>"PR22000904"</f>
        <v>PR22000904</v>
      </c>
      <c r="N2245" t="str">
        <f>"E000374099"</f>
        <v>E000374099</v>
      </c>
      <c r="O2245">
        <v>851.16</v>
      </c>
      <c r="P2245" t="str">
        <f>"$"</f>
        <v>$</v>
      </c>
      <c r="Q2245" t="str">
        <f>"117"</f>
        <v>117</v>
      </c>
      <c r="R2245" t="str">
        <f>"רתמות"</f>
        <v>רתמות</v>
      </c>
      <c r="S2245" t="str">
        <f>"040"</f>
        <v>040</v>
      </c>
      <c r="T2245" t="str">
        <f>"עמר ליגל"</f>
        <v>עמר ליגל</v>
      </c>
      <c r="U2245">
        <v>0</v>
      </c>
      <c r="V2245">
        <v>0</v>
      </c>
      <c r="W2245">
        <v>851.16</v>
      </c>
      <c r="X2245">
        <v>851.16</v>
      </c>
      <c r="Z2245" t="str">
        <f>"Y"</f>
        <v>Y</v>
      </c>
      <c r="AA2245">
        <v>0</v>
      </c>
      <c r="AC2245">
        <v>0</v>
      </c>
      <c r="AE2245">
        <v>0</v>
      </c>
      <c r="AF2245">
        <v>0</v>
      </c>
      <c r="AG2245" s="2">
        <v>2952.67</v>
      </c>
      <c r="AH2245">
        <v>0</v>
      </c>
      <c r="AI2245" s="2">
        <v>2952.67</v>
      </c>
      <c r="AJ2245">
        <v>851.16</v>
      </c>
      <c r="AK2245">
        <v>851.16</v>
      </c>
      <c r="AL2245" t="str">
        <f>"$"</f>
        <v>$</v>
      </c>
    </row>
    <row r="2246" spans="1:38" x14ac:dyDescent="0.3">
      <c r="A2246" t="str">
        <f>"SO22000469"</f>
        <v>SO22000469</v>
      </c>
      <c r="B2246" t="str">
        <f>"E000374099"</f>
        <v>E000374099</v>
      </c>
      <c r="C2246" t="str">
        <f>"הרכבה חלקית"</f>
        <v>הרכבה חלקית</v>
      </c>
      <c r="E2246" s="3">
        <v>44915</v>
      </c>
      <c r="F2246" s="3">
        <v>45052</v>
      </c>
      <c r="G2246" t="str">
        <f>"700065"</f>
        <v>700065</v>
      </c>
      <c r="H2246" t="str">
        <f>"אלתא מערכות בע""מ"</f>
        <v>אלתא מערכות בע"מ</v>
      </c>
      <c r="I2246" t="str">
        <f>"רחמים זרוק"</f>
        <v>רחמים זרוק</v>
      </c>
      <c r="J2246" t="str">
        <f>"OP-AR03509"</f>
        <v>OP-AR03509</v>
      </c>
      <c r="K2246" s="1" t="str">
        <f>"1036C734-001    HARNESS WE032 - EPU1 - PSPU4 TO KVM"</f>
        <v>1036C734-001    HARNESS WE032 - EPU1 - PSPU4 TO KVM</v>
      </c>
      <c r="L2246">
        <v>1</v>
      </c>
      <c r="M2246" t="str">
        <f>"PR22000904"</f>
        <v>PR22000904</v>
      </c>
      <c r="N2246" t="str">
        <f>"E000374099"</f>
        <v>E000374099</v>
      </c>
      <c r="O2246">
        <v>857.46</v>
      </c>
      <c r="P2246" t="str">
        <f>"$"</f>
        <v>$</v>
      </c>
      <c r="Q2246" t="str">
        <f>"117"</f>
        <v>117</v>
      </c>
      <c r="R2246" t="str">
        <f>"רתמות"</f>
        <v>רתמות</v>
      </c>
      <c r="S2246" t="str">
        <f>"040"</f>
        <v>040</v>
      </c>
      <c r="T2246" t="str">
        <f>"עמר ליגל"</f>
        <v>עמר ליגל</v>
      </c>
      <c r="U2246">
        <v>0</v>
      </c>
      <c r="V2246">
        <v>0</v>
      </c>
      <c r="W2246">
        <v>857.46</v>
      </c>
      <c r="X2246">
        <v>857.46</v>
      </c>
      <c r="Z2246" t="str">
        <f>"Y"</f>
        <v>Y</v>
      </c>
      <c r="AA2246">
        <v>0</v>
      </c>
      <c r="AC2246">
        <v>0</v>
      </c>
      <c r="AE2246">
        <v>0</v>
      </c>
      <c r="AF2246">
        <v>0</v>
      </c>
      <c r="AG2246" s="2">
        <v>2974.53</v>
      </c>
      <c r="AH2246">
        <v>0</v>
      </c>
      <c r="AI2246" s="2">
        <v>2974.53</v>
      </c>
      <c r="AJ2246">
        <v>857.46</v>
      </c>
      <c r="AK2246">
        <v>857.46</v>
      </c>
      <c r="AL2246" t="str">
        <f>"$"</f>
        <v>$</v>
      </c>
    </row>
    <row r="2247" spans="1:38" x14ac:dyDescent="0.3">
      <c r="A2247" t="str">
        <f>"SO22000469"</f>
        <v>SO22000469</v>
      </c>
      <c r="B2247" t="str">
        <f>"E000374099"</f>
        <v>E000374099</v>
      </c>
      <c r="C2247" t="str">
        <f>"הרכבה חלקית"</f>
        <v>הרכבה חלקית</v>
      </c>
      <c r="E2247" s="3">
        <v>44915</v>
      </c>
      <c r="F2247" s="3">
        <v>45052</v>
      </c>
      <c r="G2247" t="str">
        <f>"700065"</f>
        <v>700065</v>
      </c>
      <c r="H2247" t="str">
        <f>"אלתא מערכות בע""מ"</f>
        <v>אלתא מערכות בע"מ</v>
      </c>
      <c r="I2247" t="str">
        <f>"רחמים זרוק"</f>
        <v>רחמים זרוק</v>
      </c>
      <c r="J2247" t="str">
        <f>"OP-AR03510"</f>
        <v>OP-AR03510</v>
      </c>
      <c r="K2247" s="1" t="str">
        <f>"1036C735-001    HARNESS WE035 - EPU1 - RC TO KVM"</f>
        <v>1036C735-001    HARNESS WE035 - EPU1 - RC TO KVM</v>
      </c>
      <c r="L2247">
        <v>1</v>
      </c>
      <c r="M2247" t="str">
        <f>"PR22000904"</f>
        <v>PR22000904</v>
      </c>
      <c r="N2247" t="str">
        <f>"E000374099"</f>
        <v>E000374099</v>
      </c>
      <c r="O2247" s="2">
        <v>1295.32</v>
      </c>
      <c r="P2247" t="str">
        <f>"$"</f>
        <v>$</v>
      </c>
      <c r="Q2247" t="str">
        <f>"117"</f>
        <v>117</v>
      </c>
      <c r="R2247" t="str">
        <f>"רתמות"</f>
        <v>רתמות</v>
      </c>
      <c r="S2247" t="str">
        <f>"040"</f>
        <v>040</v>
      </c>
      <c r="T2247" t="str">
        <f>"עמר ליגל"</f>
        <v>עמר ליגל</v>
      </c>
      <c r="U2247">
        <v>0</v>
      </c>
      <c r="V2247">
        <v>0</v>
      </c>
      <c r="W2247" s="2">
        <v>1295.32</v>
      </c>
      <c r="X2247" s="2">
        <v>1295.32</v>
      </c>
      <c r="Z2247" t="str">
        <f>"Y"</f>
        <v>Y</v>
      </c>
      <c r="AA2247">
        <v>0</v>
      </c>
      <c r="AC2247">
        <v>0</v>
      </c>
      <c r="AE2247">
        <v>0</v>
      </c>
      <c r="AF2247">
        <v>0</v>
      </c>
      <c r="AG2247" s="2">
        <v>4493.47</v>
      </c>
      <c r="AH2247">
        <v>0</v>
      </c>
      <c r="AI2247" s="2">
        <v>4493.47</v>
      </c>
      <c r="AJ2247" s="2">
        <v>1295.32</v>
      </c>
      <c r="AK2247" s="2">
        <v>1295.32</v>
      </c>
      <c r="AL2247" t="str">
        <f>"$"</f>
        <v>$</v>
      </c>
    </row>
    <row r="2248" spans="1:38" x14ac:dyDescent="0.3">
      <c r="A2248" t="str">
        <f>"SO22000469"</f>
        <v>SO22000469</v>
      </c>
      <c r="B2248" t="str">
        <f>"E000374099"</f>
        <v>E000374099</v>
      </c>
      <c r="C2248" t="str">
        <f>"הרכבה חלקית"</f>
        <v>הרכבה חלקית</v>
      </c>
      <c r="E2248" s="3">
        <v>44915</v>
      </c>
      <c r="F2248" s="3">
        <v>45052</v>
      </c>
      <c r="G2248" t="str">
        <f>"700065"</f>
        <v>700065</v>
      </c>
      <c r="H2248" t="str">
        <f>"אלתא מערכות בע""מ"</f>
        <v>אלתא מערכות בע"מ</v>
      </c>
      <c r="I2248" t="str">
        <f>"רחמים זרוק"</f>
        <v>רחמים זרוק</v>
      </c>
      <c r="J2248" t="str">
        <f>"OP-AR03511"</f>
        <v>OP-AR03511</v>
      </c>
      <c r="K2248" s="1" t="str">
        <f>"1036C736-001    HARNESS WE036 - EPU1 - RC TO KVM"</f>
        <v>1036C736-001    HARNESS WE036 - EPU1 - RC TO KVM</v>
      </c>
      <c r="L2248">
        <v>1</v>
      </c>
      <c r="M2248" t="str">
        <f>"PR22000904"</f>
        <v>PR22000904</v>
      </c>
      <c r="N2248" t="str">
        <f>"E000374099"</f>
        <v>E000374099</v>
      </c>
      <c r="O2248" s="2">
        <v>1303.02</v>
      </c>
      <c r="P2248" t="str">
        <f>"$"</f>
        <v>$</v>
      </c>
      <c r="Q2248" t="str">
        <f>"117"</f>
        <v>117</v>
      </c>
      <c r="R2248" t="str">
        <f>"רתמות"</f>
        <v>רתמות</v>
      </c>
      <c r="S2248" t="str">
        <f>"040"</f>
        <v>040</v>
      </c>
      <c r="T2248" t="str">
        <f>"עמר ליגל"</f>
        <v>עמר ליגל</v>
      </c>
      <c r="U2248">
        <v>0</v>
      </c>
      <c r="V2248">
        <v>0</v>
      </c>
      <c r="W2248" s="2">
        <v>1303.02</v>
      </c>
      <c r="X2248" s="2">
        <v>1303.02</v>
      </c>
      <c r="Z2248" t="str">
        <f>"Y"</f>
        <v>Y</v>
      </c>
      <c r="AA2248">
        <v>0</v>
      </c>
      <c r="AC2248">
        <v>0</v>
      </c>
      <c r="AE2248">
        <v>0</v>
      </c>
      <c r="AF2248">
        <v>0</v>
      </c>
      <c r="AG2248" s="2">
        <v>4520.18</v>
      </c>
      <c r="AH2248">
        <v>0</v>
      </c>
      <c r="AI2248" s="2">
        <v>4520.18</v>
      </c>
      <c r="AJ2248" s="2">
        <v>1303.02</v>
      </c>
      <c r="AK2248" s="2">
        <v>1303.02</v>
      </c>
      <c r="AL2248" t="str">
        <f>"$"</f>
        <v>$</v>
      </c>
    </row>
    <row r="2249" spans="1:38" x14ac:dyDescent="0.3">
      <c r="A2249" t="str">
        <f>"SO22000469"</f>
        <v>SO22000469</v>
      </c>
      <c r="B2249" t="str">
        <f>"E000374099"</f>
        <v>E000374099</v>
      </c>
      <c r="C2249" t="str">
        <f>"הרכבה חלקית"</f>
        <v>הרכבה חלקית</v>
      </c>
      <c r="E2249" s="3">
        <v>44915</v>
      </c>
      <c r="F2249" s="3">
        <v>45052</v>
      </c>
      <c r="G2249" t="str">
        <f>"700065"</f>
        <v>700065</v>
      </c>
      <c r="H2249" t="str">
        <f>"אלתא מערכות בע""מ"</f>
        <v>אלתא מערכות בע"מ</v>
      </c>
      <c r="I2249" t="str">
        <f>"רחמים זרוק"</f>
        <v>רחמים זרוק</v>
      </c>
      <c r="J2249" t="str">
        <f>"OP-AR03512"</f>
        <v>OP-AR03512</v>
      </c>
      <c r="K2249" s="1" t="str">
        <f>"1036C738-001    HARNESS WE038 - EPU1 - ETHERNET, RC TO E"</f>
        <v>1036C738-001    HARNESS WE038 - EPU1 - ETHERNET, RC TO E</v>
      </c>
      <c r="L2249">
        <v>1</v>
      </c>
      <c r="M2249" t="str">
        <f>"PR22000904"</f>
        <v>PR22000904</v>
      </c>
      <c r="N2249" t="str">
        <f>"E000374099"</f>
        <v>E000374099</v>
      </c>
      <c r="O2249" s="2">
        <v>1789.64</v>
      </c>
      <c r="P2249" t="str">
        <f>"$"</f>
        <v>$</v>
      </c>
      <c r="Q2249" t="str">
        <f>"117"</f>
        <v>117</v>
      </c>
      <c r="R2249" t="str">
        <f>"רתמות"</f>
        <v>רתמות</v>
      </c>
      <c r="S2249" t="str">
        <f>"040"</f>
        <v>040</v>
      </c>
      <c r="T2249" t="str">
        <f>"עמר ליגל"</f>
        <v>עמר ליגל</v>
      </c>
      <c r="U2249">
        <v>0</v>
      </c>
      <c r="V2249">
        <v>0</v>
      </c>
      <c r="W2249" s="2">
        <v>1789.64</v>
      </c>
      <c r="X2249" s="2">
        <v>1789.64</v>
      </c>
      <c r="Z2249" t="str">
        <f>"Y"</f>
        <v>Y</v>
      </c>
      <c r="AA2249">
        <v>0</v>
      </c>
      <c r="AC2249">
        <v>0</v>
      </c>
      <c r="AE2249">
        <v>0</v>
      </c>
      <c r="AF2249">
        <v>0</v>
      </c>
      <c r="AG2249" s="2">
        <v>6208.26</v>
      </c>
      <c r="AH2249">
        <v>0</v>
      </c>
      <c r="AI2249" s="2">
        <v>6208.26</v>
      </c>
      <c r="AJ2249" s="2">
        <v>1789.64</v>
      </c>
      <c r="AK2249" s="2">
        <v>1789.64</v>
      </c>
      <c r="AL2249" t="str">
        <f>"$"</f>
        <v>$</v>
      </c>
    </row>
    <row r="2250" spans="1:38" x14ac:dyDescent="0.3">
      <c r="A2250" t="str">
        <f>"SO22000469"</f>
        <v>SO22000469</v>
      </c>
      <c r="B2250" t="str">
        <f>"E000374099"</f>
        <v>E000374099</v>
      </c>
      <c r="C2250" t="str">
        <f>"הרכבה חלקית"</f>
        <v>הרכבה חלקית</v>
      </c>
      <c r="E2250" s="3">
        <v>44915</v>
      </c>
      <c r="F2250" s="3">
        <v>45052</v>
      </c>
      <c r="G2250" t="str">
        <f>"700065"</f>
        <v>700065</v>
      </c>
      <c r="H2250" t="str">
        <f>"אלתא מערכות בע""מ"</f>
        <v>אלתא מערכות בע"מ</v>
      </c>
      <c r="I2250" t="str">
        <f>"רחמים זרוק"</f>
        <v>רחמים זרוק</v>
      </c>
      <c r="J2250" t="str">
        <f>"OP-AR03513"</f>
        <v>OP-AR03513</v>
      </c>
      <c r="K2250" s="1" t="str">
        <f>"1036C761-001    HARNESS WE061 - EPU1 - MAIN R"</f>
        <v>1036C761-001    HARNESS WE061 - EPU1 - MAIN R</v>
      </c>
      <c r="L2250">
        <v>1</v>
      </c>
      <c r="M2250" t="str">
        <f>"PR22000904"</f>
        <v>PR22000904</v>
      </c>
      <c r="N2250" t="str">
        <f>"E000374099"</f>
        <v>E000374099</v>
      </c>
      <c r="O2250">
        <v>102.29</v>
      </c>
      <c r="P2250" t="str">
        <f>"$"</f>
        <v>$</v>
      </c>
      <c r="Q2250" t="str">
        <f>"117"</f>
        <v>117</v>
      </c>
      <c r="R2250" t="str">
        <f>"רתמות"</f>
        <v>רתמות</v>
      </c>
      <c r="S2250" t="str">
        <f>"040"</f>
        <v>040</v>
      </c>
      <c r="T2250" t="str">
        <f>"עמר ליגל"</f>
        <v>עמר ליגל</v>
      </c>
      <c r="U2250">
        <v>0</v>
      </c>
      <c r="V2250">
        <v>0</v>
      </c>
      <c r="W2250">
        <v>102.29</v>
      </c>
      <c r="X2250">
        <v>102.29</v>
      </c>
      <c r="Z2250" t="str">
        <f>"Y"</f>
        <v>Y</v>
      </c>
      <c r="AA2250">
        <v>0</v>
      </c>
      <c r="AC2250">
        <v>0</v>
      </c>
      <c r="AE2250">
        <v>0</v>
      </c>
      <c r="AF2250">
        <v>0</v>
      </c>
      <c r="AG2250">
        <v>354.84</v>
      </c>
      <c r="AH2250">
        <v>0</v>
      </c>
      <c r="AI2250">
        <v>354.84</v>
      </c>
      <c r="AJ2250">
        <v>102.29</v>
      </c>
      <c r="AK2250">
        <v>102.29</v>
      </c>
      <c r="AL2250" t="str">
        <f>"$"</f>
        <v>$</v>
      </c>
    </row>
    <row r="2251" spans="1:38" x14ac:dyDescent="0.3">
      <c r="A2251" t="str">
        <f>"SO22000469"</f>
        <v>SO22000469</v>
      </c>
      <c r="B2251" t="str">
        <f>"E000374099"</f>
        <v>E000374099</v>
      </c>
      <c r="C2251" t="str">
        <f>"הרכבה חלקית"</f>
        <v>הרכבה חלקית</v>
      </c>
      <c r="E2251" s="3">
        <v>44915</v>
      </c>
      <c r="F2251" s="3">
        <v>45052</v>
      </c>
      <c r="G2251" t="str">
        <f>"700065"</f>
        <v>700065</v>
      </c>
      <c r="H2251" t="str">
        <f>"אלתא מערכות בע""מ"</f>
        <v>אלתא מערכות בע"מ</v>
      </c>
      <c r="I2251" t="str">
        <f>"רחמים זרוק"</f>
        <v>רחמים זרוק</v>
      </c>
      <c r="J2251" t="str">
        <f>"OP-AR03514"</f>
        <v>OP-AR03514</v>
      </c>
      <c r="K2251" s="1" t="str">
        <f>"1036C762-001    HARNESS WE062 - EPU1 - OTXU"</f>
        <v>1036C762-001    HARNESS WE062 - EPU1 - OTXU</v>
      </c>
      <c r="L2251">
        <v>4</v>
      </c>
      <c r="M2251" t="str">
        <f>"PR22000904"</f>
        <v>PR22000904</v>
      </c>
      <c r="N2251" t="str">
        <f>"E000374099"</f>
        <v>E000374099</v>
      </c>
      <c r="O2251">
        <v>135.68</v>
      </c>
      <c r="P2251" t="str">
        <f>"$"</f>
        <v>$</v>
      </c>
      <c r="Q2251" t="str">
        <f>"117"</f>
        <v>117</v>
      </c>
      <c r="R2251" t="str">
        <f>"רתמות"</f>
        <v>רתמות</v>
      </c>
      <c r="S2251" t="str">
        <f>"040"</f>
        <v>040</v>
      </c>
      <c r="T2251" t="str">
        <f>"עמר ליגל"</f>
        <v>עמר ליגל</v>
      </c>
      <c r="U2251">
        <v>0</v>
      </c>
      <c r="V2251">
        <v>0</v>
      </c>
      <c r="W2251">
        <v>135.68</v>
      </c>
      <c r="X2251">
        <v>542.72</v>
      </c>
      <c r="Z2251" t="str">
        <f>"Y"</f>
        <v>Y</v>
      </c>
      <c r="AA2251">
        <v>0</v>
      </c>
      <c r="AC2251">
        <v>0</v>
      </c>
      <c r="AE2251">
        <v>0</v>
      </c>
      <c r="AF2251">
        <v>0</v>
      </c>
      <c r="AG2251">
        <v>470.67</v>
      </c>
      <c r="AH2251">
        <v>0</v>
      </c>
      <c r="AI2251" s="2">
        <v>1882.7</v>
      </c>
      <c r="AJ2251">
        <v>542.72</v>
      </c>
      <c r="AK2251">
        <v>542.72</v>
      </c>
      <c r="AL2251" t="str">
        <f>"$"</f>
        <v>$</v>
      </c>
    </row>
    <row r="2252" spans="1:38" x14ac:dyDescent="0.3">
      <c r="A2252" t="str">
        <f>"SO22000469"</f>
        <v>SO22000469</v>
      </c>
      <c r="B2252" t="str">
        <f>"E000374099"</f>
        <v>E000374099</v>
      </c>
      <c r="C2252" t="str">
        <f>"הרכבה חלקית"</f>
        <v>הרכבה חלקית</v>
      </c>
      <c r="E2252" s="3">
        <v>44915</v>
      </c>
      <c r="F2252" s="3">
        <v>45052</v>
      </c>
      <c r="G2252" t="str">
        <f>"700065"</f>
        <v>700065</v>
      </c>
      <c r="H2252" t="str">
        <f>"אלתא מערכות בע""מ"</f>
        <v>אלתא מערכות בע"מ</v>
      </c>
      <c r="I2252" t="str">
        <f>"רחמים זרוק"</f>
        <v>רחמים זרוק</v>
      </c>
      <c r="J2252" t="str">
        <f>"OP-AR03515"</f>
        <v>OP-AR03515</v>
      </c>
      <c r="K2252" s="1" t="str">
        <f>"1036C766-001    HARNESS WE066 - EPU1 - PSPU/RC"</f>
        <v>1036C766-001    HARNESS WE066 - EPU1 - PSPU/RC</v>
      </c>
      <c r="L2252">
        <v>5</v>
      </c>
      <c r="M2252" t="str">
        <f>"PR22000904"</f>
        <v>PR22000904</v>
      </c>
      <c r="N2252" t="str">
        <f>"E000374099"</f>
        <v>E000374099</v>
      </c>
      <c r="O2252">
        <v>135.68</v>
      </c>
      <c r="P2252" t="str">
        <f>"$"</f>
        <v>$</v>
      </c>
      <c r="Q2252" t="str">
        <f>"117"</f>
        <v>117</v>
      </c>
      <c r="R2252" t="str">
        <f>"רתמות"</f>
        <v>רתמות</v>
      </c>
      <c r="S2252" t="str">
        <f>"040"</f>
        <v>040</v>
      </c>
      <c r="T2252" t="str">
        <f>"עמר ליגל"</f>
        <v>עמר ליגל</v>
      </c>
      <c r="U2252">
        <v>0</v>
      </c>
      <c r="V2252">
        <v>0</v>
      </c>
      <c r="W2252">
        <v>135.68</v>
      </c>
      <c r="X2252">
        <v>678.4</v>
      </c>
      <c r="Z2252" t="str">
        <f>"Y"</f>
        <v>Y</v>
      </c>
      <c r="AA2252">
        <v>0</v>
      </c>
      <c r="AC2252">
        <v>0</v>
      </c>
      <c r="AE2252">
        <v>0</v>
      </c>
      <c r="AF2252">
        <v>0</v>
      </c>
      <c r="AG2252">
        <v>470.67</v>
      </c>
      <c r="AH2252">
        <v>0</v>
      </c>
      <c r="AI2252" s="2">
        <v>2353.37</v>
      </c>
      <c r="AJ2252">
        <v>678.4</v>
      </c>
      <c r="AK2252">
        <v>678.4</v>
      </c>
      <c r="AL2252" t="str">
        <f>"$"</f>
        <v>$</v>
      </c>
    </row>
    <row r="2253" spans="1:38" x14ac:dyDescent="0.3">
      <c r="A2253" t="str">
        <f>"SO22000469"</f>
        <v>SO22000469</v>
      </c>
      <c r="B2253" t="str">
        <f>"E000374099"</f>
        <v>E000374099</v>
      </c>
      <c r="C2253" t="str">
        <f>"הרכבה חלקית"</f>
        <v>הרכבה חלקית</v>
      </c>
      <c r="E2253" s="3">
        <v>44915</v>
      </c>
      <c r="F2253" s="3">
        <v>45052</v>
      </c>
      <c r="G2253" t="str">
        <f>"700065"</f>
        <v>700065</v>
      </c>
      <c r="H2253" t="str">
        <f>"אלתא מערכות בע""מ"</f>
        <v>אלתא מערכות בע"מ</v>
      </c>
      <c r="I2253" t="str">
        <f>"רחמים זרוק"</f>
        <v>רחמים זרוק</v>
      </c>
      <c r="J2253" t="str">
        <f>"OP-AR03516"</f>
        <v>OP-AR03516</v>
      </c>
      <c r="K2253" s="1" t="str">
        <f>"1036C767-001    HARNESS WE067 - ETH SW"</f>
        <v>1036C767-001    HARNESS WE067 - ETH SW</v>
      </c>
      <c r="L2253">
        <v>1</v>
      </c>
      <c r="M2253" t="str">
        <f>"PR22000904"</f>
        <v>PR22000904</v>
      </c>
      <c r="N2253" t="str">
        <f>"E000374099"</f>
        <v>E000374099</v>
      </c>
      <c r="O2253">
        <v>135.68</v>
      </c>
      <c r="P2253" t="str">
        <f>"$"</f>
        <v>$</v>
      </c>
      <c r="Q2253" t="str">
        <f>"117"</f>
        <v>117</v>
      </c>
      <c r="R2253" t="str">
        <f>"רתמות"</f>
        <v>רתמות</v>
      </c>
      <c r="S2253" t="str">
        <f>"040"</f>
        <v>040</v>
      </c>
      <c r="T2253" t="str">
        <f>"עמר ליגל"</f>
        <v>עמר ליגל</v>
      </c>
      <c r="U2253">
        <v>0</v>
      </c>
      <c r="V2253">
        <v>0</v>
      </c>
      <c r="W2253">
        <v>135.68</v>
      </c>
      <c r="X2253">
        <v>135.68</v>
      </c>
      <c r="Z2253" t="str">
        <f>"Y"</f>
        <v>Y</v>
      </c>
      <c r="AA2253">
        <v>0</v>
      </c>
      <c r="AC2253">
        <v>0</v>
      </c>
      <c r="AE2253">
        <v>0</v>
      </c>
      <c r="AF2253">
        <v>0</v>
      </c>
      <c r="AG2253">
        <v>470.67</v>
      </c>
      <c r="AH2253">
        <v>0</v>
      </c>
      <c r="AI2253">
        <v>470.67</v>
      </c>
      <c r="AJ2253">
        <v>135.68</v>
      </c>
      <c r="AK2253">
        <v>135.68</v>
      </c>
      <c r="AL2253" t="str">
        <f>"$"</f>
        <v>$</v>
      </c>
    </row>
    <row r="2254" spans="1:38" x14ac:dyDescent="0.3">
      <c r="A2254" t="str">
        <f>"SO22000469"</f>
        <v>SO22000469</v>
      </c>
      <c r="B2254" t="str">
        <f>"E000374099"</f>
        <v>E000374099</v>
      </c>
      <c r="C2254" t="str">
        <f>"הרכבה חלקית"</f>
        <v>הרכבה חלקית</v>
      </c>
      <c r="E2254" s="3">
        <v>44915</v>
      </c>
      <c r="F2254" s="3">
        <v>45052</v>
      </c>
      <c r="G2254" t="str">
        <f>"700065"</f>
        <v>700065</v>
      </c>
      <c r="H2254" t="str">
        <f>"אלתא מערכות בע""מ"</f>
        <v>אלתא מערכות בע"מ</v>
      </c>
      <c r="I2254" t="str">
        <f>"רחמים זרוק"</f>
        <v>רחמים זרוק</v>
      </c>
      <c r="J2254" t="str">
        <f>"OP-AR03517"</f>
        <v>OP-AR03517</v>
      </c>
      <c r="K2254" s="1" t="str">
        <f>"1032F135-001    HARNESS WL135 - BEL EPU1 TO LPX ACR FUL"</f>
        <v>1032F135-001    HARNESS WL135 - BEL EPU1 TO LPX ACR FUL</v>
      </c>
      <c r="L2254">
        <v>3</v>
      </c>
      <c r="M2254" t="str">
        <f>"PR22000904"</f>
        <v>PR22000904</v>
      </c>
      <c r="N2254" t="str">
        <f>"E000374099"</f>
        <v>E000374099</v>
      </c>
      <c r="O2254">
        <v>324.12</v>
      </c>
      <c r="P2254" t="str">
        <f>"$"</f>
        <v>$</v>
      </c>
      <c r="Q2254" t="str">
        <f>"117"</f>
        <v>117</v>
      </c>
      <c r="R2254" t="str">
        <f>"רתמות"</f>
        <v>רתמות</v>
      </c>
      <c r="S2254" t="str">
        <f>"040"</f>
        <v>040</v>
      </c>
      <c r="T2254" t="str">
        <f>"עמר ליגל"</f>
        <v>עמר ליגל</v>
      </c>
      <c r="U2254">
        <v>0</v>
      </c>
      <c r="V2254">
        <v>0</v>
      </c>
      <c r="W2254">
        <v>324.12</v>
      </c>
      <c r="X2254">
        <v>972.36</v>
      </c>
      <c r="AA2254">
        <v>1</v>
      </c>
      <c r="AC2254">
        <v>0</v>
      </c>
      <c r="AE2254">
        <v>0</v>
      </c>
      <c r="AF2254">
        <v>0</v>
      </c>
      <c r="AG2254" s="2">
        <v>1124.3699999999999</v>
      </c>
      <c r="AH2254">
        <v>0</v>
      </c>
      <c r="AI2254" s="2">
        <v>3373.12</v>
      </c>
      <c r="AJ2254">
        <v>972.36</v>
      </c>
      <c r="AK2254">
        <v>972.36</v>
      </c>
      <c r="AL2254" t="str">
        <f>"$"</f>
        <v>$</v>
      </c>
    </row>
    <row r="2255" spans="1:38" x14ac:dyDescent="0.3">
      <c r="A2255" t="str">
        <f>"SO22000469"</f>
        <v>SO22000469</v>
      </c>
      <c r="B2255" t="str">
        <f>"E000374099"</f>
        <v>E000374099</v>
      </c>
      <c r="C2255" t="str">
        <f>"הרכבה חלקית"</f>
        <v>הרכבה חלקית</v>
      </c>
      <c r="E2255" s="3">
        <v>44915</v>
      </c>
      <c r="F2255" s="3">
        <v>44885</v>
      </c>
      <c r="G2255" t="str">
        <f>"700065"</f>
        <v>700065</v>
      </c>
      <c r="H2255" t="str">
        <f>"אלתא מערכות בע""מ"</f>
        <v>אלתא מערכות בע"מ</v>
      </c>
      <c r="I2255" t="str">
        <f>"רחמים זרוק"</f>
        <v>רחמים זרוק</v>
      </c>
      <c r="J2255" t="str">
        <f>"000"</f>
        <v>000</v>
      </c>
      <c r="K2255" s="1" t="str">
        <f>"MOQ for E000374099"</f>
        <v>MOQ for E000374099</v>
      </c>
      <c r="L2255">
        <v>1</v>
      </c>
      <c r="M2255" t="str">
        <f>"PR22000904"</f>
        <v>PR22000904</v>
      </c>
      <c r="N2255" t="str">
        <f>"E000374099"</f>
        <v>E000374099</v>
      </c>
      <c r="O2255" s="2">
        <v>32400</v>
      </c>
      <c r="P2255" t="str">
        <f>"$"</f>
        <v>$</v>
      </c>
      <c r="Q2255" t="str">
        <f>"117"</f>
        <v>117</v>
      </c>
      <c r="R2255" t="str">
        <f>"רתמות"</f>
        <v>רתמות</v>
      </c>
      <c r="S2255" t="str">
        <f>"040"</f>
        <v>040</v>
      </c>
      <c r="T2255" t="str">
        <f>"עמר ליגל"</f>
        <v>עמר ליגל</v>
      </c>
      <c r="U2255">
        <v>0</v>
      </c>
      <c r="V2255">
        <v>0</v>
      </c>
      <c r="W2255" s="2">
        <v>32400</v>
      </c>
      <c r="X2255" s="2">
        <v>32400</v>
      </c>
      <c r="AA2255">
        <v>1</v>
      </c>
      <c r="AC2255">
        <v>0</v>
      </c>
      <c r="AE2255">
        <v>0</v>
      </c>
      <c r="AF2255">
        <v>0</v>
      </c>
      <c r="AG2255" s="2">
        <v>112395.6</v>
      </c>
      <c r="AH2255">
        <v>0</v>
      </c>
      <c r="AI2255" s="2">
        <v>112395.6</v>
      </c>
      <c r="AJ2255" s="2">
        <v>32400</v>
      </c>
      <c r="AK2255" s="2">
        <v>32400</v>
      </c>
      <c r="AL2255" t="str">
        <f>"$"</f>
        <v>$</v>
      </c>
    </row>
    <row r="2256" spans="1:38" x14ac:dyDescent="0.3">
      <c r="A2256" t="str">
        <f>"SO22000469"</f>
        <v>SO22000469</v>
      </c>
      <c r="B2256" t="str">
        <f>"E000374099"</f>
        <v>E000374099</v>
      </c>
      <c r="C2256" t="str">
        <f>"הרכבה חלקית"</f>
        <v>הרכבה חלקית</v>
      </c>
      <c r="E2256" s="3">
        <v>44915</v>
      </c>
      <c r="F2256" s="3">
        <v>45074</v>
      </c>
      <c r="G2256" t="str">
        <f>"700065"</f>
        <v>700065</v>
      </c>
      <c r="H2256" t="str">
        <f>"אלתא מערכות בע""מ"</f>
        <v>אלתא מערכות בע"מ</v>
      </c>
      <c r="I2256" t="str">
        <f>"רחמים זרוק"</f>
        <v>רחמים זרוק</v>
      </c>
      <c r="J2256" t="str">
        <f>"OP-AR03473"</f>
        <v>OP-AR03473</v>
      </c>
      <c r="K2256" s="1" t="str">
        <f>"1032F606-001    HARNESS WB606 - LAB - POWER1 TO HVPS RAC"</f>
        <v>1032F606-001    HARNESS WB606 - LAB - POWER1 TO HVPS RAC</v>
      </c>
      <c r="L2256">
        <v>2</v>
      </c>
      <c r="O2256">
        <v>628.14</v>
      </c>
      <c r="P2256" t="str">
        <f>"$"</f>
        <v>$</v>
      </c>
      <c r="Q2256" t="str">
        <f>"117"</f>
        <v>117</v>
      </c>
      <c r="R2256" t="str">
        <f>"רתמות"</f>
        <v>רתמות</v>
      </c>
      <c r="S2256" t="str">
        <f>"040"</f>
        <v>040</v>
      </c>
      <c r="T2256" t="str">
        <f>"עמר ליגל"</f>
        <v>עמר ליגל</v>
      </c>
      <c r="U2256">
        <v>0</v>
      </c>
      <c r="V2256">
        <v>0</v>
      </c>
      <c r="W2256">
        <v>628.14</v>
      </c>
      <c r="X2256" s="2">
        <v>1256.28</v>
      </c>
      <c r="Z2256" t="str">
        <f>"Y"</f>
        <v>Y</v>
      </c>
      <c r="AA2256">
        <v>0</v>
      </c>
      <c r="AC2256">
        <v>0</v>
      </c>
      <c r="AE2256">
        <v>0</v>
      </c>
      <c r="AF2256">
        <v>0</v>
      </c>
      <c r="AG2256" s="2">
        <v>2179.02</v>
      </c>
      <c r="AH2256">
        <v>0</v>
      </c>
      <c r="AI2256" s="2">
        <v>4358.04</v>
      </c>
      <c r="AJ2256" s="2">
        <v>1256.28</v>
      </c>
      <c r="AK2256" s="2">
        <v>1256.28</v>
      </c>
      <c r="AL2256" t="str">
        <f>"$"</f>
        <v>$</v>
      </c>
    </row>
    <row r="2257" spans="1:38" x14ac:dyDescent="0.3">
      <c r="A2257" t="str">
        <f>"SO22000472"</f>
        <v>SO22000472</v>
      </c>
      <c r="B2257" t="str">
        <f>"השלמת מנעולים"</f>
        <v>השלמת מנעולים</v>
      </c>
      <c r="C2257" t="str">
        <f>"בוצעה"</f>
        <v>בוצעה</v>
      </c>
      <c r="E2257" s="3">
        <v>44917</v>
      </c>
      <c r="F2257" s="3">
        <v>44917</v>
      </c>
      <c r="G2257" t="str">
        <f>"700065"</f>
        <v>700065</v>
      </c>
      <c r="H2257" t="str">
        <f>"אלתא מערכות בע""מ"</f>
        <v>אלתא מערכות בע"מ</v>
      </c>
      <c r="I2257" t="str">
        <f>"ערן שלו"</f>
        <v>ערן שלו</v>
      </c>
      <c r="J2257" t="str">
        <f>"PD0101963"</f>
        <v>PD0101963</v>
      </c>
      <c r="K2257" s="1" t="str">
        <f>"התקן נעילה לארון 8888272 ETA OCDECR00001 ECOR S.STEEL"</f>
        <v>התקן נעילה לארון 8888272 ETA OCDECR00001 ECOR S.STEEL</v>
      </c>
      <c r="L2257">
        <v>15</v>
      </c>
      <c r="O2257">
        <v>0</v>
      </c>
      <c r="P2257" t="str">
        <f>"$"</f>
        <v>$</v>
      </c>
      <c r="Q2257" t="str">
        <f>"118"</f>
        <v>118</v>
      </c>
      <c r="R2257" t="str">
        <f>"מערכות"</f>
        <v>מערכות</v>
      </c>
      <c r="S2257" t="str">
        <f>"034"</f>
        <v>034</v>
      </c>
      <c r="T2257" t="str">
        <f>"עמר ליגל"</f>
        <v>עמר ליגל</v>
      </c>
      <c r="U2257">
        <v>0</v>
      </c>
      <c r="V2257">
        <v>0</v>
      </c>
      <c r="W2257">
        <v>0</v>
      </c>
      <c r="X2257">
        <v>0</v>
      </c>
      <c r="Z2257" t="str">
        <f>"Y"</f>
        <v>Y</v>
      </c>
      <c r="AA2257">
        <v>0</v>
      </c>
      <c r="AC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 t="str">
        <f>"$"</f>
        <v>$</v>
      </c>
    </row>
    <row r="2258" spans="1:38" x14ac:dyDescent="0.3">
      <c r="A2258" t="str">
        <f>"SO22000473"</f>
        <v>SO22000473</v>
      </c>
      <c r="B2258" t="str">
        <f>"E000381186"</f>
        <v>E000381186</v>
      </c>
      <c r="C2258" t="str">
        <f>"בוצעה"</f>
        <v>בוצעה</v>
      </c>
      <c r="E2258" s="3">
        <v>44917</v>
      </c>
      <c r="F2258" s="3">
        <v>45046</v>
      </c>
      <c r="G2258" t="str">
        <f>"700065"</f>
        <v>700065</v>
      </c>
      <c r="H2258" t="str">
        <f>"אלתא מערכות בע""מ"</f>
        <v>אלתא מערכות בע"מ</v>
      </c>
      <c r="I2258" t="str">
        <f>"רחמים זרוק"</f>
        <v>רחמים זרוק</v>
      </c>
      <c r="J2258" t="str">
        <f>"OP-AR03530"</f>
        <v>OP-AR03530</v>
      </c>
      <c r="K2258" s="1" t="str">
        <f>"1032F630-001    HARNESS WB630 - LAB - HVJB 1L TO FILTER"</f>
        <v>1032F630-001    HARNESS WB630 - LAB - HVJB 1L TO FILTER</v>
      </c>
      <c r="L2258">
        <v>1</v>
      </c>
      <c r="M2258" t="str">
        <f>"PR22000914"</f>
        <v>PR22000914</v>
      </c>
      <c r="N2258" t="str">
        <f>"E000381186"</f>
        <v>E000381186</v>
      </c>
      <c r="O2258" s="2">
        <v>1263.3599999999999</v>
      </c>
      <c r="P2258" t="str">
        <f>"$"</f>
        <v>$</v>
      </c>
      <c r="Q2258" t="str">
        <f>"117"</f>
        <v>117</v>
      </c>
      <c r="R2258" t="str">
        <f>"רתמות"</f>
        <v>רתמות</v>
      </c>
      <c r="S2258" t="str">
        <f>"040"</f>
        <v>040</v>
      </c>
      <c r="T2258" t="str">
        <f>"עמר ליגל"</f>
        <v>עמר ליגל</v>
      </c>
      <c r="U2258">
        <v>0</v>
      </c>
      <c r="V2258">
        <v>0</v>
      </c>
      <c r="W2258" s="2">
        <v>1263.3599999999999</v>
      </c>
      <c r="X2258" s="2">
        <v>1263.3599999999999</v>
      </c>
      <c r="Z2258" t="str">
        <f>"Y"</f>
        <v>Y</v>
      </c>
      <c r="AA2258">
        <v>0</v>
      </c>
      <c r="AC2258">
        <v>0</v>
      </c>
      <c r="AE2258">
        <v>0</v>
      </c>
      <c r="AF2258">
        <v>0</v>
      </c>
      <c r="AG2258" s="2">
        <v>4392.7</v>
      </c>
      <c r="AH2258">
        <v>0</v>
      </c>
      <c r="AI2258" s="2">
        <v>4392.7</v>
      </c>
      <c r="AJ2258" s="2">
        <v>1263.3599999999999</v>
      </c>
      <c r="AK2258" s="2">
        <v>1263.3599999999999</v>
      </c>
      <c r="AL2258" t="str">
        <f>"$"</f>
        <v>$</v>
      </c>
    </row>
    <row r="2259" spans="1:38" x14ac:dyDescent="0.3">
      <c r="A2259" t="str">
        <f>"SO22000473"</f>
        <v>SO22000473</v>
      </c>
      <c r="B2259" t="str">
        <f>"E000381186"</f>
        <v>E000381186</v>
      </c>
      <c r="C2259" t="str">
        <f>"בוצעה"</f>
        <v>בוצעה</v>
      </c>
      <c r="E2259" s="3">
        <v>44917</v>
      </c>
      <c r="F2259" s="3">
        <v>45046</v>
      </c>
      <c r="G2259" t="str">
        <f>"700065"</f>
        <v>700065</v>
      </c>
      <c r="H2259" t="str">
        <f>"אלתא מערכות בע""מ"</f>
        <v>אלתא מערכות בע"מ</v>
      </c>
      <c r="I2259" t="str">
        <f>"רחמים זרוק"</f>
        <v>רחמים זרוק</v>
      </c>
      <c r="J2259" t="str">
        <f>"OP-AR03531"</f>
        <v>OP-AR03531</v>
      </c>
      <c r="K2259" s="1" t="str">
        <f>"1040P165-001    CABLE ASSY W571 BATTERY BOX"</f>
        <v>1040P165-001    CABLE ASSY W571 BATTERY BOX</v>
      </c>
      <c r="L2259">
        <v>3</v>
      </c>
      <c r="M2259" t="str">
        <f>"PR22000914"</f>
        <v>PR22000914</v>
      </c>
      <c r="N2259" t="str">
        <f>"E000381186"</f>
        <v>E000381186</v>
      </c>
      <c r="O2259">
        <v>510.23</v>
      </c>
      <c r="P2259" t="str">
        <f>"$"</f>
        <v>$</v>
      </c>
      <c r="Q2259" t="str">
        <f>"117"</f>
        <v>117</v>
      </c>
      <c r="R2259" t="str">
        <f>"רתמות"</f>
        <v>רתמות</v>
      </c>
      <c r="S2259" t="str">
        <f>"040"</f>
        <v>040</v>
      </c>
      <c r="T2259" t="str">
        <f>"עמר ליגל"</f>
        <v>עמר ליגל</v>
      </c>
      <c r="U2259">
        <v>0</v>
      </c>
      <c r="V2259">
        <v>0</v>
      </c>
      <c r="W2259">
        <v>510.23</v>
      </c>
      <c r="X2259" s="2">
        <v>1530.69</v>
      </c>
      <c r="Z2259" t="str">
        <f>"Y"</f>
        <v>Y</v>
      </c>
      <c r="AA2259">
        <v>0</v>
      </c>
      <c r="AC2259">
        <v>0</v>
      </c>
      <c r="AE2259">
        <v>3</v>
      </c>
      <c r="AF2259">
        <v>0</v>
      </c>
      <c r="AG2259" s="2">
        <v>1774.07</v>
      </c>
      <c r="AH2259">
        <v>0</v>
      </c>
      <c r="AI2259" s="2">
        <v>5322.21</v>
      </c>
      <c r="AJ2259" s="2">
        <v>1530.69</v>
      </c>
      <c r="AK2259" s="2">
        <v>1530.69</v>
      </c>
      <c r="AL2259" t="str">
        <f>"$"</f>
        <v>$</v>
      </c>
    </row>
    <row r="2260" spans="1:38" x14ac:dyDescent="0.3">
      <c r="A2260" t="str">
        <f>"SO22000474"</f>
        <v>SO22000474</v>
      </c>
      <c r="B2260" t="str">
        <f>"E000381253"</f>
        <v>E000381253</v>
      </c>
      <c r="C2260" t="str">
        <f>"בוצעה"</f>
        <v>בוצעה</v>
      </c>
      <c r="E2260" s="3">
        <v>44917</v>
      </c>
      <c r="F2260" s="3">
        <v>44895</v>
      </c>
      <c r="G2260" t="str">
        <f>"700065"</f>
        <v>700065</v>
      </c>
      <c r="H2260" t="str">
        <f>"אלתא מערכות בע""מ"</f>
        <v>אלתא מערכות בע"מ</v>
      </c>
      <c r="I2260" t="str">
        <f>"רחמים זרוק"</f>
        <v>רחמים זרוק</v>
      </c>
      <c r="J2260" t="str">
        <f>"OP-AR01702"</f>
        <v>OP-AR01702</v>
      </c>
      <c r="K2260" s="1" t="str">
        <f>"1020B584-003 P.C.U HARN/W7/ABS NC/DATA POS"</f>
        <v>1020B584-003 P.C.U HARN/W7/ABS NC/DATA POS</v>
      </c>
      <c r="L2260">
        <v>1</v>
      </c>
      <c r="M2260" t="str">
        <f>"PR23000001"</f>
        <v>PR23000001</v>
      </c>
      <c r="N2260" t="str">
        <f>"E000381253"</f>
        <v>E000381253</v>
      </c>
      <c r="O2260" s="2">
        <v>1400</v>
      </c>
      <c r="P2260" t="str">
        <f>"$"</f>
        <v>$</v>
      </c>
      <c r="Q2260" t="str">
        <f>"117"</f>
        <v>117</v>
      </c>
      <c r="R2260" t="str">
        <f>"רתמות"</f>
        <v>רתמות</v>
      </c>
      <c r="S2260" t="str">
        <f>"040"</f>
        <v>040</v>
      </c>
      <c r="T2260" t="str">
        <f>"עמר ליגל"</f>
        <v>עמר ליגל</v>
      </c>
      <c r="U2260">
        <v>0</v>
      </c>
      <c r="V2260">
        <v>0</v>
      </c>
      <c r="W2260" s="2">
        <v>1400</v>
      </c>
      <c r="X2260" s="2">
        <v>1400</v>
      </c>
      <c r="Z2260" t="str">
        <f>"Y"</f>
        <v>Y</v>
      </c>
      <c r="AA2260">
        <v>0</v>
      </c>
      <c r="AC2260">
        <v>0</v>
      </c>
      <c r="AE2260">
        <v>0</v>
      </c>
      <c r="AF2260">
        <v>0</v>
      </c>
      <c r="AG2260" s="2">
        <v>4867.8</v>
      </c>
      <c r="AH2260">
        <v>0</v>
      </c>
      <c r="AI2260" s="2">
        <v>4867.8</v>
      </c>
      <c r="AJ2260" s="2">
        <v>1400</v>
      </c>
      <c r="AK2260" s="2">
        <v>1400</v>
      </c>
      <c r="AL2260" t="str">
        <f>"$"</f>
        <v>$</v>
      </c>
    </row>
    <row r="2261" spans="1:38" x14ac:dyDescent="0.3">
      <c r="A2261" t="str">
        <f>"SO22000474"</f>
        <v>SO22000474</v>
      </c>
      <c r="B2261" t="str">
        <f>"E000381253"</f>
        <v>E000381253</v>
      </c>
      <c r="C2261" t="str">
        <f>"בוצעה"</f>
        <v>בוצעה</v>
      </c>
      <c r="E2261" s="3">
        <v>44917</v>
      </c>
      <c r="F2261" s="3">
        <v>44895</v>
      </c>
      <c r="G2261" t="str">
        <f>"700065"</f>
        <v>700065</v>
      </c>
      <c r="H2261" t="str">
        <f>"אלתא מערכות בע""מ"</f>
        <v>אלתא מערכות בע"מ</v>
      </c>
      <c r="I2261" t="str">
        <f>"רחמים זרוק"</f>
        <v>רחמים זרוק</v>
      </c>
      <c r="J2261" t="str">
        <f>"OP-AR01701"</f>
        <v>OP-AR01701</v>
      </c>
      <c r="K2261" s="1" t="str">
        <f>"1020B573-003 P.C.U W2 HARNESS MOTOR POWER"</f>
        <v>1020B573-003 P.C.U W2 HARNESS MOTOR POWER</v>
      </c>
      <c r="L2261">
        <v>1</v>
      </c>
      <c r="M2261" t="str">
        <f>"PR23000001"</f>
        <v>PR23000001</v>
      </c>
      <c r="N2261" t="str">
        <f>"E000381253"</f>
        <v>E000381253</v>
      </c>
      <c r="O2261">
        <v>663.36</v>
      </c>
      <c r="P2261" t="str">
        <f>"$"</f>
        <v>$</v>
      </c>
      <c r="Q2261" t="str">
        <f>"117"</f>
        <v>117</v>
      </c>
      <c r="R2261" t="str">
        <f>"רתמות"</f>
        <v>רתמות</v>
      </c>
      <c r="S2261" t="str">
        <f>"040"</f>
        <v>040</v>
      </c>
      <c r="T2261" t="str">
        <f>"עמר ליגל"</f>
        <v>עמר ליגל</v>
      </c>
      <c r="U2261">
        <v>0</v>
      </c>
      <c r="V2261">
        <v>0</v>
      </c>
      <c r="W2261">
        <v>663.36</v>
      </c>
      <c r="X2261">
        <v>663.36</v>
      </c>
      <c r="Z2261" t="str">
        <f>"Y"</f>
        <v>Y</v>
      </c>
      <c r="AA2261">
        <v>0</v>
      </c>
      <c r="AC2261">
        <v>0</v>
      </c>
      <c r="AE2261">
        <v>0</v>
      </c>
      <c r="AF2261">
        <v>0</v>
      </c>
      <c r="AG2261" s="2">
        <v>2306.5</v>
      </c>
      <c r="AH2261">
        <v>0</v>
      </c>
      <c r="AI2261" s="2">
        <v>2306.5</v>
      </c>
      <c r="AJ2261">
        <v>663.36</v>
      </c>
      <c r="AK2261">
        <v>663.36</v>
      </c>
      <c r="AL2261" t="str">
        <f>"$"</f>
        <v>$</v>
      </c>
    </row>
    <row r="2262" spans="1:38" x14ac:dyDescent="0.3">
      <c r="A2262" t="str">
        <f>"SO22000475"</f>
        <v>SO22000475</v>
      </c>
      <c r="B2262" t="str">
        <f>"E000380913"</f>
        <v>E000380913</v>
      </c>
      <c r="C2262" t="str">
        <f>"בוצעה"</f>
        <v>בוצעה</v>
      </c>
      <c r="E2262" s="3">
        <v>44917</v>
      </c>
      <c r="F2262" s="3">
        <v>45071</v>
      </c>
      <c r="G2262" t="str">
        <f>"700065"</f>
        <v>700065</v>
      </c>
      <c r="H2262" t="str">
        <f>"אלתא מערכות בע""מ"</f>
        <v>אלתא מערכות בע"מ</v>
      </c>
      <c r="I2262" t="str">
        <f>"רחמים זרוק"</f>
        <v>רחמים זרוק</v>
      </c>
      <c r="J2262" t="str">
        <f>"OP-AR03529"</f>
        <v>OP-AR03529</v>
      </c>
      <c r="K2262" s="1" t="str">
        <f>"1026K218-001    CABLE ASSY W201 (TX POWER)"</f>
        <v>1026K218-001    CABLE ASSY W201 (TX POWER)</v>
      </c>
      <c r="L2262">
        <v>1</v>
      </c>
      <c r="M2262" t="str">
        <f>"PR23000013"</f>
        <v>PR23000013</v>
      </c>
      <c r="N2262" t="str">
        <f>"1026K218-001"</f>
        <v>1026K218-001</v>
      </c>
      <c r="O2262" s="2">
        <v>1352.23</v>
      </c>
      <c r="P2262" t="str">
        <f>"$"</f>
        <v>$</v>
      </c>
      <c r="Q2262" t="str">
        <f>"117"</f>
        <v>117</v>
      </c>
      <c r="R2262" t="str">
        <f>"רתמות"</f>
        <v>רתמות</v>
      </c>
      <c r="S2262" t="str">
        <f>"040"</f>
        <v>040</v>
      </c>
      <c r="T2262" t="str">
        <f>"עמר ליגל"</f>
        <v>עמר ליגל</v>
      </c>
      <c r="U2262">
        <v>0</v>
      </c>
      <c r="V2262">
        <v>0</v>
      </c>
      <c r="W2262" s="2">
        <v>1352.23</v>
      </c>
      <c r="X2262" s="2">
        <v>1352.23</v>
      </c>
      <c r="Z2262" t="str">
        <f>"Y"</f>
        <v>Y</v>
      </c>
      <c r="AA2262">
        <v>0</v>
      </c>
      <c r="AC2262">
        <v>0</v>
      </c>
      <c r="AE2262">
        <v>0</v>
      </c>
      <c r="AF2262">
        <v>0</v>
      </c>
      <c r="AG2262" s="2">
        <v>4701.7</v>
      </c>
      <c r="AH2262">
        <v>0</v>
      </c>
      <c r="AI2262" s="2">
        <v>4701.7</v>
      </c>
      <c r="AJ2262" s="2">
        <v>1352.23</v>
      </c>
      <c r="AK2262" s="2">
        <v>1352.23</v>
      </c>
      <c r="AL2262" t="str">
        <f>"$"</f>
        <v>$</v>
      </c>
    </row>
    <row r="2263" spans="1:38" x14ac:dyDescent="0.3">
      <c r="A2263" t="str">
        <f>"SO22000475"</f>
        <v>SO22000475</v>
      </c>
      <c r="B2263" t="str">
        <f>"E000380913"</f>
        <v>E000380913</v>
      </c>
      <c r="C2263" t="str">
        <f>"בוצעה"</f>
        <v>בוצעה</v>
      </c>
      <c r="E2263" s="3">
        <v>44917</v>
      </c>
      <c r="F2263" s="3">
        <v>45071</v>
      </c>
      <c r="G2263" t="str">
        <f>"700065"</f>
        <v>700065</v>
      </c>
      <c r="H2263" t="str">
        <f>"אלתא מערכות בע""מ"</f>
        <v>אלתא מערכות בע"מ</v>
      </c>
      <c r="I2263" t="str">
        <f>"רחמים זרוק"</f>
        <v>רחמים זרוק</v>
      </c>
      <c r="J2263" t="str">
        <f>"OP-AR03529"</f>
        <v>OP-AR03529</v>
      </c>
      <c r="K2263" s="1" t="str">
        <f>"1026K218-001    CABLE ASSY W201 (TX POWER)"</f>
        <v>1026K218-001    CABLE ASSY W201 (TX POWER)</v>
      </c>
      <c r="L2263">
        <v>3</v>
      </c>
      <c r="M2263" t="str">
        <f>"PR23000013"</f>
        <v>PR23000013</v>
      </c>
      <c r="N2263" t="str">
        <f>"1026K218-001"</f>
        <v>1026K218-001</v>
      </c>
      <c r="O2263" s="2">
        <v>1352.23</v>
      </c>
      <c r="P2263" t="str">
        <f>"$"</f>
        <v>$</v>
      </c>
      <c r="Q2263" t="str">
        <f>"117"</f>
        <v>117</v>
      </c>
      <c r="R2263" t="str">
        <f>"רתמות"</f>
        <v>רתמות</v>
      </c>
      <c r="S2263" t="str">
        <f>"040"</f>
        <v>040</v>
      </c>
      <c r="T2263" t="str">
        <f>"עמר ליגל"</f>
        <v>עמר ליגל</v>
      </c>
      <c r="U2263">
        <v>0</v>
      </c>
      <c r="V2263">
        <v>0</v>
      </c>
      <c r="W2263" s="2">
        <v>1352.23</v>
      </c>
      <c r="X2263" s="2">
        <v>4056.69</v>
      </c>
      <c r="Z2263" t="str">
        <f>"Y"</f>
        <v>Y</v>
      </c>
      <c r="AA2263">
        <v>1</v>
      </c>
      <c r="AC2263">
        <v>0</v>
      </c>
      <c r="AE2263">
        <v>0</v>
      </c>
      <c r="AF2263">
        <v>0</v>
      </c>
      <c r="AG2263" s="2">
        <v>4701.7</v>
      </c>
      <c r="AH2263">
        <v>0</v>
      </c>
      <c r="AI2263" s="2">
        <v>14105.11</v>
      </c>
      <c r="AJ2263" s="2">
        <v>4056.69</v>
      </c>
      <c r="AK2263" s="2">
        <v>4056.69</v>
      </c>
      <c r="AL2263" t="str">
        <f>"$"</f>
        <v>$</v>
      </c>
    </row>
    <row r="2264" spans="1:38" x14ac:dyDescent="0.3">
      <c r="A2264" t="str">
        <f>"SO22000475"</f>
        <v>SO22000475</v>
      </c>
      <c r="B2264" t="str">
        <f>"E000380913"</f>
        <v>E000380913</v>
      </c>
      <c r="C2264" t="str">
        <f>"בוצעה"</f>
        <v>בוצעה</v>
      </c>
      <c r="E2264" s="3">
        <v>44917</v>
      </c>
      <c r="F2264" s="3">
        <v>45071</v>
      </c>
      <c r="G2264" t="str">
        <f>"700065"</f>
        <v>700065</v>
      </c>
      <c r="H2264" t="str">
        <f>"אלתא מערכות בע""מ"</f>
        <v>אלתא מערכות בע"מ</v>
      </c>
      <c r="I2264" t="str">
        <f>"רחמים זרוק"</f>
        <v>רחמים זרוק</v>
      </c>
      <c r="J2264" t="str">
        <f>"OP-AR03529"</f>
        <v>OP-AR03529</v>
      </c>
      <c r="K2264" s="1" t="str">
        <f>"1026K218-001    CABLE ASSY W201 (TX POWER)"</f>
        <v>1026K218-001    CABLE ASSY W201 (TX POWER)</v>
      </c>
      <c r="L2264">
        <v>2</v>
      </c>
      <c r="M2264" t="str">
        <f>"PR23000013"</f>
        <v>PR23000013</v>
      </c>
      <c r="N2264" t="str">
        <f>"1026K218-001"</f>
        <v>1026K218-001</v>
      </c>
      <c r="O2264" s="2">
        <v>1352.23</v>
      </c>
      <c r="P2264" t="str">
        <f>"$"</f>
        <v>$</v>
      </c>
      <c r="Q2264" t="str">
        <f>"117"</f>
        <v>117</v>
      </c>
      <c r="R2264" t="str">
        <f>"רתמות"</f>
        <v>רתמות</v>
      </c>
      <c r="S2264" t="str">
        <f>"040"</f>
        <v>040</v>
      </c>
      <c r="T2264" t="str">
        <f>"עמר ליגל"</f>
        <v>עמר ליגל</v>
      </c>
      <c r="U2264">
        <v>0</v>
      </c>
      <c r="V2264">
        <v>0</v>
      </c>
      <c r="W2264" s="2">
        <v>1352.23</v>
      </c>
      <c r="X2264" s="2">
        <v>2704.46</v>
      </c>
      <c r="Z2264" t="str">
        <f>"Y"</f>
        <v>Y</v>
      </c>
      <c r="AA2264">
        <v>-1</v>
      </c>
      <c r="AC2264">
        <v>0</v>
      </c>
      <c r="AE2264">
        <v>0</v>
      </c>
      <c r="AF2264">
        <v>0</v>
      </c>
      <c r="AG2264" s="2">
        <v>4701.7</v>
      </c>
      <c r="AH2264">
        <v>0</v>
      </c>
      <c r="AI2264" s="2">
        <v>9403.41</v>
      </c>
      <c r="AJ2264" s="2">
        <v>2704.46</v>
      </c>
      <c r="AK2264" s="2">
        <v>2704.46</v>
      </c>
      <c r="AL2264" t="str">
        <f>"$"</f>
        <v>$</v>
      </c>
    </row>
    <row r="2265" spans="1:38" x14ac:dyDescent="0.3">
      <c r="A2265" t="str">
        <f>"SO22000476"</f>
        <v>SO22000476</v>
      </c>
      <c r="B2265" t="str">
        <f>"E000381315"</f>
        <v>E000381315</v>
      </c>
      <c r="C2265" t="str">
        <f>"הרכבה חלקית"</f>
        <v>הרכבה חלקית</v>
      </c>
      <c r="E2265" s="3">
        <v>44917</v>
      </c>
      <c r="F2265" s="3">
        <v>45056</v>
      </c>
      <c r="G2265" t="str">
        <f>"700065"</f>
        <v>700065</v>
      </c>
      <c r="H2265" t="str">
        <f>"אלתא מערכות בע""מ"</f>
        <v>אלתא מערכות בע"מ</v>
      </c>
      <c r="I2265" t="str">
        <f>"רחמים זרוק"</f>
        <v>רחמים זרוק</v>
      </c>
      <c r="J2265" t="str">
        <f>"OP-AR03525"</f>
        <v>OP-AR03525</v>
      </c>
      <c r="K2265" s="1" t="str">
        <f>"2060B589-001    MIC2 PW SW CABLE ASSY"</f>
        <v>2060B589-001    MIC2 PW SW CABLE ASSY</v>
      </c>
      <c r="L2265">
        <v>1</v>
      </c>
      <c r="M2265" t="str">
        <f>"PR22000911"</f>
        <v>PR22000911</v>
      </c>
      <c r="N2265" t="str">
        <f>"E000381315"</f>
        <v>E000381315</v>
      </c>
      <c r="O2265">
        <v>658.71</v>
      </c>
      <c r="P2265" t="str">
        <f>"$"</f>
        <v>$</v>
      </c>
      <c r="Q2265" t="str">
        <f>"117"</f>
        <v>117</v>
      </c>
      <c r="R2265" t="str">
        <f>"רתמות"</f>
        <v>רתמות</v>
      </c>
      <c r="S2265" t="str">
        <f>"040"</f>
        <v>040</v>
      </c>
      <c r="T2265" t="str">
        <f>"עמר ליגל"</f>
        <v>עמר ליגל</v>
      </c>
      <c r="U2265">
        <v>0</v>
      </c>
      <c r="V2265">
        <v>0</v>
      </c>
      <c r="W2265">
        <v>658.71</v>
      </c>
      <c r="X2265">
        <v>658.71</v>
      </c>
      <c r="Z2265" t="str">
        <f>"Y"</f>
        <v>Y</v>
      </c>
      <c r="AA2265">
        <v>0</v>
      </c>
      <c r="AC2265">
        <v>0</v>
      </c>
      <c r="AE2265">
        <v>0</v>
      </c>
      <c r="AF2265">
        <v>0</v>
      </c>
      <c r="AG2265" s="2">
        <v>2290.33</v>
      </c>
      <c r="AH2265">
        <v>0</v>
      </c>
      <c r="AI2265" s="2">
        <v>2290.33</v>
      </c>
      <c r="AJ2265">
        <v>658.71</v>
      </c>
      <c r="AK2265">
        <v>658.71</v>
      </c>
      <c r="AL2265" t="str">
        <f>"$"</f>
        <v>$</v>
      </c>
    </row>
    <row r="2266" spans="1:38" x14ac:dyDescent="0.3">
      <c r="A2266" t="str">
        <f>"SO22000476"</f>
        <v>SO22000476</v>
      </c>
      <c r="B2266" t="str">
        <f>"E000381315"</f>
        <v>E000381315</v>
      </c>
      <c r="C2266" t="str">
        <f>"הרכבה חלקית"</f>
        <v>הרכבה חלקית</v>
      </c>
      <c r="E2266" s="3">
        <v>44917</v>
      </c>
      <c r="F2266" s="3">
        <v>45056</v>
      </c>
      <c r="G2266" t="str">
        <f>"700065"</f>
        <v>700065</v>
      </c>
      <c r="H2266" t="str">
        <f>"אלתא מערכות בע""מ"</f>
        <v>אלתא מערכות בע"מ</v>
      </c>
      <c r="I2266" t="str">
        <f>"רחמים זרוק"</f>
        <v>רחמים זרוק</v>
      </c>
      <c r="J2266" t="str">
        <f>"OP-AR03526"</f>
        <v>OP-AR03526</v>
      </c>
      <c r="K2266" s="1" t="str">
        <f>"2120B092-001     CABLE ASSY WCABL1"</f>
        <v>2120B092-001     CABLE ASSY WCABL1</v>
      </c>
      <c r="L2266">
        <v>1</v>
      </c>
      <c r="M2266" t="str">
        <f>"PR22000911"</f>
        <v>PR22000911</v>
      </c>
      <c r="N2266" t="str">
        <f>"E000381315"</f>
        <v>E000381315</v>
      </c>
      <c r="O2266">
        <v>882.3</v>
      </c>
      <c r="P2266" t="str">
        <f>"$"</f>
        <v>$</v>
      </c>
      <c r="Q2266" t="str">
        <f>"117"</f>
        <v>117</v>
      </c>
      <c r="R2266" t="str">
        <f>"רתמות"</f>
        <v>רתמות</v>
      </c>
      <c r="S2266" t="str">
        <f>"040"</f>
        <v>040</v>
      </c>
      <c r="T2266" t="str">
        <f>"עמר ליגל"</f>
        <v>עמר ליגל</v>
      </c>
      <c r="U2266">
        <v>0</v>
      </c>
      <c r="V2266">
        <v>0</v>
      </c>
      <c r="W2266">
        <v>882.3</v>
      </c>
      <c r="X2266">
        <v>882.3</v>
      </c>
      <c r="Z2266" t="str">
        <f>"Y"</f>
        <v>Y</v>
      </c>
      <c r="AA2266">
        <v>0</v>
      </c>
      <c r="AC2266">
        <v>0</v>
      </c>
      <c r="AE2266">
        <v>0</v>
      </c>
      <c r="AF2266">
        <v>0</v>
      </c>
      <c r="AG2266" s="2">
        <v>3067.76</v>
      </c>
      <c r="AH2266">
        <v>0</v>
      </c>
      <c r="AI2266" s="2">
        <v>3067.76</v>
      </c>
      <c r="AJ2266">
        <v>882.3</v>
      </c>
      <c r="AK2266">
        <v>882.3</v>
      </c>
      <c r="AL2266" t="str">
        <f>"$"</f>
        <v>$</v>
      </c>
    </row>
    <row r="2267" spans="1:38" x14ac:dyDescent="0.3">
      <c r="A2267" t="str">
        <f>"SO22000476"</f>
        <v>SO22000476</v>
      </c>
      <c r="B2267" t="str">
        <f>"E000381315"</f>
        <v>E000381315</v>
      </c>
      <c r="C2267" t="str">
        <f>"הרכבה חלקית"</f>
        <v>הרכבה חלקית</v>
      </c>
      <c r="E2267" s="3">
        <v>44917</v>
      </c>
      <c r="F2267" s="3">
        <v>45056</v>
      </c>
      <c r="G2267" t="str">
        <f>"700065"</f>
        <v>700065</v>
      </c>
      <c r="H2267" t="str">
        <f>"אלתא מערכות בע""מ"</f>
        <v>אלתא מערכות בע"מ</v>
      </c>
      <c r="I2267" t="str">
        <f>"רחמים זרוק"</f>
        <v>רחמים זרוק</v>
      </c>
      <c r="J2267" t="str">
        <f>"OP-AR02196"</f>
        <v>OP-AR02196</v>
      </c>
      <c r="K2267" s="1" t="str">
        <f>"2120B094-001   CABLE ASSY WGPM"</f>
        <v>2120B094-001   CABLE ASSY WGPM</v>
      </c>
      <c r="L2267">
        <v>1</v>
      </c>
      <c r="M2267" t="str">
        <f>"PR22000911"</f>
        <v>PR22000911</v>
      </c>
      <c r="N2267" t="str">
        <f>"E000381315"</f>
        <v>E000381315</v>
      </c>
      <c r="O2267">
        <v>659.61</v>
      </c>
      <c r="P2267" t="str">
        <f>"$"</f>
        <v>$</v>
      </c>
      <c r="Q2267" t="str">
        <f>"117"</f>
        <v>117</v>
      </c>
      <c r="R2267" t="str">
        <f>"רתמות"</f>
        <v>רתמות</v>
      </c>
      <c r="S2267" t="str">
        <f>"040"</f>
        <v>040</v>
      </c>
      <c r="T2267" t="str">
        <f>"עמר ליגל"</f>
        <v>עמר ליגל</v>
      </c>
      <c r="U2267">
        <v>0</v>
      </c>
      <c r="V2267">
        <v>0</v>
      </c>
      <c r="W2267">
        <v>659.61</v>
      </c>
      <c r="X2267">
        <v>659.61</v>
      </c>
      <c r="Z2267" t="str">
        <f>"Y"</f>
        <v>Y</v>
      </c>
      <c r="AA2267">
        <v>0</v>
      </c>
      <c r="AC2267">
        <v>0</v>
      </c>
      <c r="AE2267">
        <v>0</v>
      </c>
      <c r="AF2267">
        <v>0</v>
      </c>
      <c r="AG2267" s="2">
        <v>2293.46</v>
      </c>
      <c r="AH2267">
        <v>0</v>
      </c>
      <c r="AI2267" s="2">
        <v>2293.46</v>
      </c>
      <c r="AJ2267">
        <v>659.61</v>
      </c>
      <c r="AK2267">
        <v>659.61</v>
      </c>
      <c r="AL2267" t="str">
        <f>"$"</f>
        <v>$</v>
      </c>
    </row>
    <row r="2268" spans="1:38" x14ac:dyDescent="0.3">
      <c r="A2268" t="str">
        <f>"SO22000476"</f>
        <v>SO22000476</v>
      </c>
      <c r="B2268" t="str">
        <f>"E000381315"</f>
        <v>E000381315</v>
      </c>
      <c r="C2268" t="str">
        <f>"הרכבה חלקית"</f>
        <v>הרכבה חלקית</v>
      </c>
      <c r="E2268" s="3">
        <v>44917</v>
      </c>
      <c r="F2268" s="3">
        <v>45056</v>
      </c>
      <c r="G2268" t="str">
        <f>"700065"</f>
        <v>700065</v>
      </c>
      <c r="H2268" t="str">
        <f>"אלתא מערכות בע""מ"</f>
        <v>אלתא מערכות בע"מ</v>
      </c>
      <c r="I2268" t="str">
        <f>"רחמים זרוק"</f>
        <v>רחמים זרוק</v>
      </c>
      <c r="J2268" t="str">
        <f>"OP-AR03527"</f>
        <v>OP-AR03527</v>
      </c>
      <c r="K2268" s="1" t="str">
        <f>"2120B096-001     EPAU CABLE ASSY AND PTP"</f>
        <v>2120B096-001     EPAU CABLE ASSY AND PTP</v>
      </c>
      <c r="L2268">
        <v>1</v>
      </c>
      <c r="M2268" t="str">
        <f>"PR22000911"</f>
        <v>PR22000911</v>
      </c>
      <c r="N2268" t="str">
        <f>"E000381315"</f>
        <v>E000381315</v>
      </c>
      <c r="O2268">
        <v>322.3</v>
      </c>
      <c r="P2268" t="str">
        <f>"$"</f>
        <v>$</v>
      </c>
      <c r="Q2268" t="str">
        <f>"117"</f>
        <v>117</v>
      </c>
      <c r="R2268" t="str">
        <f>"רתמות"</f>
        <v>רתמות</v>
      </c>
      <c r="S2268" t="str">
        <f>"040"</f>
        <v>040</v>
      </c>
      <c r="T2268" t="str">
        <f>"עמר ליגל"</f>
        <v>עמר ליגל</v>
      </c>
      <c r="U2268">
        <v>0</v>
      </c>
      <c r="V2268">
        <v>0</v>
      </c>
      <c r="W2268">
        <v>322.3</v>
      </c>
      <c r="X2268">
        <v>322.3</v>
      </c>
      <c r="Z2268" t="str">
        <f>"Y"</f>
        <v>Y</v>
      </c>
      <c r="AA2268">
        <v>0</v>
      </c>
      <c r="AC2268">
        <v>0</v>
      </c>
      <c r="AE2268">
        <v>0</v>
      </c>
      <c r="AF2268">
        <v>0</v>
      </c>
      <c r="AG2268" s="2">
        <v>1120.6400000000001</v>
      </c>
      <c r="AH2268">
        <v>0</v>
      </c>
      <c r="AI2268" s="2">
        <v>1120.6400000000001</v>
      </c>
      <c r="AJ2268">
        <v>322.3</v>
      </c>
      <c r="AK2268">
        <v>322.3</v>
      </c>
      <c r="AL2268" t="str">
        <f>"$"</f>
        <v>$</v>
      </c>
    </row>
    <row r="2269" spans="1:38" x14ac:dyDescent="0.3">
      <c r="A2269" t="str">
        <f>"SO22000476"</f>
        <v>SO22000476</v>
      </c>
      <c r="B2269" t="str">
        <f>"E000381315"</f>
        <v>E000381315</v>
      </c>
      <c r="C2269" t="str">
        <f>"הרכבה חלקית"</f>
        <v>הרכבה חלקית</v>
      </c>
      <c r="E2269" s="3">
        <v>44917</v>
      </c>
      <c r="F2269" s="3">
        <v>45056</v>
      </c>
      <c r="G2269" t="str">
        <f>"700065"</f>
        <v>700065</v>
      </c>
      <c r="H2269" t="str">
        <f>"אלתא מערכות בע""מ"</f>
        <v>אלתא מערכות בע"מ</v>
      </c>
      <c r="I2269" t="str">
        <f>"רחמים זרוק"</f>
        <v>רחמים זרוק</v>
      </c>
      <c r="J2269" t="str">
        <f>"OP-AR03528"</f>
        <v>OP-AR03528</v>
      </c>
      <c r="K2269" s="1" t="str">
        <f>"2120B097-001     ST PLUG ASSY"</f>
        <v>2120B097-001     ST PLUG ASSY</v>
      </c>
      <c r="L2269">
        <v>1</v>
      </c>
      <c r="M2269" t="str">
        <f>"PR22000911"</f>
        <v>PR22000911</v>
      </c>
      <c r="N2269" t="str">
        <f>"E000381315"</f>
        <v>E000381315</v>
      </c>
      <c r="O2269">
        <v>182.6</v>
      </c>
      <c r="P2269" t="str">
        <f>"$"</f>
        <v>$</v>
      </c>
      <c r="Q2269" t="str">
        <f>"117"</f>
        <v>117</v>
      </c>
      <c r="R2269" t="str">
        <f>"רתמות"</f>
        <v>רתמות</v>
      </c>
      <c r="S2269" t="str">
        <f>"040"</f>
        <v>040</v>
      </c>
      <c r="T2269" t="str">
        <f>"עמר ליגל"</f>
        <v>עמר ליגל</v>
      </c>
      <c r="U2269">
        <v>0</v>
      </c>
      <c r="V2269">
        <v>0</v>
      </c>
      <c r="W2269">
        <v>182.6</v>
      </c>
      <c r="X2269">
        <v>182.6</v>
      </c>
      <c r="Z2269" t="str">
        <f>"Y"</f>
        <v>Y</v>
      </c>
      <c r="AA2269">
        <v>0</v>
      </c>
      <c r="AC2269">
        <v>0</v>
      </c>
      <c r="AE2269">
        <v>0</v>
      </c>
      <c r="AF2269">
        <v>0</v>
      </c>
      <c r="AG2269">
        <v>634.9</v>
      </c>
      <c r="AH2269">
        <v>0</v>
      </c>
      <c r="AI2269">
        <v>634.9</v>
      </c>
      <c r="AJ2269">
        <v>182.6</v>
      </c>
      <c r="AK2269">
        <v>182.6</v>
      </c>
      <c r="AL2269" t="str">
        <f>"$"</f>
        <v>$</v>
      </c>
    </row>
    <row r="2270" spans="1:38" x14ac:dyDescent="0.3">
      <c r="A2270" t="str">
        <f>"SO22000476"</f>
        <v>SO22000476</v>
      </c>
      <c r="B2270" t="str">
        <f>"E000381315"</f>
        <v>E000381315</v>
      </c>
      <c r="C2270" t="str">
        <f>"הרכבה חלקית"</f>
        <v>הרכבה חלקית</v>
      </c>
      <c r="E2270" s="3">
        <v>44917</v>
      </c>
      <c r="F2270" s="3">
        <v>45056</v>
      </c>
      <c r="G2270" t="str">
        <f>"700065"</f>
        <v>700065</v>
      </c>
      <c r="H2270" t="str">
        <f>"אלתא מערכות בע""מ"</f>
        <v>אלתא מערכות בע"מ</v>
      </c>
      <c r="I2270" t="str">
        <f>"רחמים זרוק"</f>
        <v>רחמים זרוק</v>
      </c>
      <c r="J2270" t="str">
        <f>"OP-AR02197"</f>
        <v>OP-AR02197</v>
      </c>
      <c r="K2270" s="1" t="str">
        <f>"2120B112-001   CABLE ASSY WCAB"</f>
        <v>2120B112-001   CABLE ASSY WCAB</v>
      </c>
      <c r="L2270">
        <v>1</v>
      </c>
      <c r="M2270" t="str">
        <f>"PR22000911"</f>
        <v>PR22000911</v>
      </c>
      <c r="N2270" t="str">
        <f>"E000381315"</f>
        <v>E000381315</v>
      </c>
      <c r="O2270">
        <v>696.6</v>
      </c>
      <c r="P2270" t="str">
        <f>"$"</f>
        <v>$</v>
      </c>
      <c r="Q2270" t="str">
        <f>"117"</f>
        <v>117</v>
      </c>
      <c r="R2270" t="str">
        <f>"רתמות"</f>
        <v>רתמות</v>
      </c>
      <c r="S2270" t="str">
        <f>"040"</f>
        <v>040</v>
      </c>
      <c r="T2270" t="str">
        <f>"עמר ליגל"</f>
        <v>עמר ליגל</v>
      </c>
      <c r="U2270">
        <v>0</v>
      </c>
      <c r="V2270">
        <v>0</v>
      </c>
      <c r="W2270">
        <v>696.6</v>
      </c>
      <c r="X2270">
        <v>696.6</v>
      </c>
      <c r="Z2270" t="str">
        <f>"Y"</f>
        <v>Y</v>
      </c>
      <c r="AA2270">
        <v>0</v>
      </c>
      <c r="AC2270">
        <v>0</v>
      </c>
      <c r="AE2270">
        <v>0</v>
      </c>
      <c r="AF2270">
        <v>0</v>
      </c>
      <c r="AG2270" s="2">
        <v>2422.08</v>
      </c>
      <c r="AH2270">
        <v>0</v>
      </c>
      <c r="AI2270" s="2">
        <v>2422.08</v>
      </c>
      <c r="AJ2270">
        <v>696.6</v>
      </c>
      <c r="AK2270">
        <v>696.6</v>
      </c>
      <c r="AL2270" t="str">
        <f>"$"</f>
        <v>$</v>
      </c>
    </row>
    <row r="2271" spans="1:38" x14ac:dyDescent="0.3">
      <c r="A2271" t="str">
        <f>"SO22000476"</f>
        <v>SO22000476</v>
      </c>
      <c r="B2271" t="str">
        <f>"E000381315"</f>
        <v>E000381315</v>
      </c>
      <c r="C2271" t="str">
        <f>"הרכבה חלקית"</f>
        <v>הרכבה חלקית</v>
      </c>
      <c r="E2271" s="3">
        <v>44917</v>
      </c>
      <c r="F2271" s="3">
        <v>45056</v>
      </c>
      <c r="G2271" t="str">
        <f>"700065"</f>
        <v>700065</v>
      </c>
      <c r="H2271" t="str">
        <f>"אלתא מערכות בע""מ"</f>
        <v>אלתא מערכות בע"מ</v>
      </c>
      <c r="I2271" t="str">
        <f>"רחמים זרוק"</f>
        <v>רחמים זרוק</v>
      </c>
      <c r="J2271" t="str">
        <f>"OP-AR02198"</f>
        <v>OP-AR02198</v>
      </c>
      <c r="K2271" s="1" t="str">
        <f>"2120B114-001   CABLE ASSY WP.SW"</f>
        <v>2120B114-001   CABLE ASSY WP.SW</v>
      </c>
      <c r="L2271">
        <v>1</v>
      </c>
      <c r="M2271" t="str">
        <f>"PR22000911"</f>
        <v>PR22000911</v>
      </c>
      <c r="N2271" t="str">
        <f>"E000381315"</f>
        <v>E000381315</v>
      </c>
      <c r="O2271">
        <v>649.65</v>
      </c>
      <c r="P2271" t="str">
        <f>"$"</f>
        <v>$</v>
      </c>
      <c r="Q2271" t="str">
        <f>"117"</f>
        <v>117</v>
      </c>
      <c r="R2271" t="str">
        <f>"רתמות"</f>
        <v>רתמות</v>
      </c>
      <c r="S2271" t="str">
        <f>"040"</f>
        <v>040</v>
      </c>
      <c r="T2271" t="str">
        <f>"עמר ליגל"</f>
        <v>עמר ליגל</v>
      </c>
      <c r="U2271">
        <v>0</v>
      </c>
      <c r="V2271">
        <v>0</v>
      </c>
      <c r="W2271">
        <v>649.65</v>
      </c>
      <c r="X2271">
        <v>649.65</v>
      </c>
      <c r="Z2271" t="str">
        <f>"Y"</f>
        <v>Y</v>
      </c>
      <c r="AA2271">
        <v>0</v>
      </c>
      <c r="AC2271">
        <v>0</v>
      </c>
      <c r="AE2271">
        <v>0</v>
      </c>
      <c r="AF2271">
        <v>0</v>
      </c>
      <c r="AG2271" s="2">
        <v>2258.83</v>
      </c>
      <c r="AH2271">
        <v>0</v>
      </c>
      <c r="AI2271" s="2">
        <v>2258.83</v>
      </c>
      <c r="AJ2271">
        <v>649.65</v>
      </c>
      <c r="AK2271">
        <v>649.65</v>
      </c>
      <c r="AL2271" t="str">
        <f>"$"</f>
        <v>$</v>
      </c>
    </row>
    <row r="2272" spans="1:38" x14ac:dyDescent="0.3">
      <c r="A2272" t="str">
        <f>"SO22000483"</f>
        <v>SO22000483</v>
      </c>
      <c r="B2272" t="str">
        <f>"E000381570"</f>
        <v>E000381570</v>
      </c>
      <c r="C2272" t="str">
        <f>"מאושרת לחיוב"</f>
        <v>מאושרת לחיוב</v>
      </c>
      <c r="E2272" s="3">
        <v>44921</v>
      </c>
      <c r="F2272" s="3">
        <v>44970</v>
      </c>
      <c r="G2272" t="str">
        <f>"700065"</f>
        <v>700065</v>
      </c>
      <c r="H2272" t="str">
        <f>"אלתא מערכות בע""מ"</f>
        <v>אלתא מערכות בע"מ</v>
      </c>
      <c r="I2272" t="str">
        <f>"ערן שלו"</f>
        <v>ערן שלו</v>
      </c>
      <c r="J2272" t="str">
        <f>"OP-ML00119"</f>
        <v>OP-ML00119</v>
      </c>
      <c r="K2272" s="1" t="str">
        <f>"PDU 1U 230VAC 1PH"</f>
        <v>PDU 1U 230VAC 1PH</v>
      </c>
      <c r="L2272">
        <v>1</v>
      </c>
      <c r="M2272" t="str">
        <f>"PR22000905"</f>
        <v>PR22000905</v>
      </c>
      <c r="N2272" t="str">
        <f>"PDU 1U 230VAC 1PH"</f>
        <v>PDU 1U 230VAC 1PH</v>
      </c>
      <c r="O2272" s="2">
        <v>2995</v>
      </c>
      <c r="P2272" t="str">
        <f>"$"</f>
        <v>$</v>
      </c>
      <c r="Q2272" t="str">
        <f>"118"</f>
        <v>118</v>
      </c>
      <c r="R2272" t="str">
        <f>"מערכות"</f>
        <v>מערכות</v>
      </c>
      <c r="S2272" t="str">
        <f>"034"</f>
        <v>034</v>
      </c>
      <c r="T2272" t="str">
        <f>"עמר ליגל"</f>
        <v>עמר ליגל</v>
      </c>
      <c r="U2272">
        <v>0</v>
      </c>
      <c r="V2272">
        <v>0</v>
      </c>
      <c r="W2272" s="2">
        <v>2995</v>
      </c>
      <c r="X2272" s="2">
        <v>2995</v>
      </c>
      <c r="Z2272" t="str">
        <f>"Y"</f>
        <v>Y</v>
      </c>
      <c r="AA2272">
        <v>0</v>
      </c>
      <c r="AC2272">
        <v>0</v>
      </c>
      <c r="AE2272">
        <v>0</v>
      </c>
      <c r="AF2272">
        <v>0</v>
      </c>
      <c r="AG2272" s="2">
        <v>10461.540000000001</v>
      </c>
      <c r="AH2272">
        <v>0</v>
      </c>
      <c r="AI2272" s="2">
        <v>10461.540000000001</v>
      </c>
      <c r="AJ2272" s="2">
        <v>2995</v>
      </c>
      <c r="AK2272" s="2">
        <v>2995</v>
      </c>
      <c r="AL2272" t="str">
        <f>"$"</f>
        <v>$</v>
      </c>
    </row>
    <row r="2273" spans="1:38" x14ac:dyDescent="0.3">
      <c r="A2273" t="str">
        <f>"SO22000483"</f>
        <v>SO22000483</v>
      </c>
      <c r="B2273" t="str">
        <f>"E000381570"</f>
        <v>E000381570</v>
      </c>
      <c r="C2273" t="str">
        <f>"מאושרת לחיוב"</f>
        <v>מאושרת לחיוב</v>
      </c>
      <c r="E2273" s="3">
        <v>44921</v>
      </c>
      <c r="F2273" s="3">
        <v>44970</v>
      </c>
      <c r="G2273" t="str">
        <f>"700065"</f>
        <v>700065</v>
      </c>
      <c r="H2273" t="str">
        <f>"אלתא מערכות בע""מ"</f>
        <v>אלתא מערכות בע"מ</v>
      </c>
      <c r="I2273" t="str">
        <f>"ערן שלו"</f>
        <v>ערן שלו</v>
      </c>
      <c r="J2273" t="str">
        <f>"OP-ML00220"</f>
        <v>OP-ML00220</v>
      </c>
      <c r="K2273" s="1" t="str">
        <f>"BATTERY DISCONNECT BOX"</f>
        <v>BATTERY DISCONNECT BOX</v>
      </c>
      <c r="L2273">
        <v>1</v>
      </c>
      <c r="M2273" t="str">
        <f>"PR22000915"</f>
        <v>PR22000915</v>
      </c>
      <c r="N2273" t="str">
        <f>"BATTERY DISCONNECT BOX"</f>
        <v>BATTERY DISCONNECT BOX</v>
      </c>
      <c r="O2273" s="2">
        <v>5599</v>
      </c>
      <c r="P2273" t="str">
        <f>"$"</f>
        <v>$</v>
      </c>
      <c r="Q2273" t="str">
        <f>"118"</f>
        <v>118</v>
      </c>
      <c r="R2273" t="str">
        <f>"מערכות"</f>
        <v>מערכות</v>
      </c>
      <c r="S2273" t="str">
        <f>"034"</f>
        <v>034</v>
      </c>
      <c r="T2273" t="str">
        <f>"עמר ליגל"</f>
        <v>עמר ליגל</v>
      </c>
      <c r="U2273">
        <v>0</v>
      </c>
      <c r="V2273">
        <v>0</v>
      </c>
      <c r="W2273" s="2">
        <v>5599</v>
      </c>
      <c r="X2273" s="2">
        <v>5599</v>
      </c>
      <c r="Z2273" t="str">
        <f>"Y"</f>
        <v>Y</v>
      </c>
      <c r="AA2273">
        <v>0</v>
      </c>
      <c r="AC2273">
        <v>0</v>
      </c>
      <c r="AE2273">
        <v>0</v>
      </c>
      <c r="AF2273">
        <v>0</v>
      </c>
      <c r="AG2273" s="2">
        <v>19557.310000000001</v>
      </c>
      <c r="AH2273">
        <v>0</v>
      </c>
      <c r="AI2273" s="2">
        <v>19557.310000000001</v>
      </c>
      <c r="AJ2273" s="2">
        <v>5599</v>
      </c>
      <c r="AK2273" s="2">
        <v>5599</v>
      </c>
      <c r="AL2273" t="str">
        <f>"$"</f>
        <v>$</v>
      </c>
    </row>
    <row r="2274" spans="1:38" x14ac:dyDescent="0.3">
      <c r="A2274" t="str">
        <f>"SO22000483"</f>
        <v>SO22000483</v>
      </c>
      <c r="B2274" t="str">
        <f>"E000381570"</f>
        <v>E000381570</v>
      </c>
      <c r="C2274" t="str">
        <f>"מאושרת לחיוב"</f>
        <v>מאושרת לחיוב</v>
      </c>
      <c r="E2274" s="3">
        <v>44921</v>
      </c>
      <c r="F2274" s="3">
        <v>44970</v>
      </c>
      <c r="G2274" t="str">
        <f>"700065"</f>
        <v>700065</v>
      </c>
      <c r="H2274" t="str">
        <f>"אלתא מערכות בע""מ"</f>
        <v>אלתא מערכות בע"מ</v>
      </c>
      <c r="I2274" t="str">
        <f>"ערן שלו"</f>
        <v>ערן שלו</v>
      </c>
      <c r="J2274" t="str">
        <f>"OP-ML00220"</f>
        <v>OP-ML00220</v>
      </c>
      <c r="K2274" s="1" t="str">
        <f>"BATTERY DISCONNECT BOX"</f>
        <v>BATTERY DISCONNECT BOX</v>
      </c>
      <c r="L2274">
        <v>1</v>
      </c>
      <c r="M2274" t="str">
        <f>"PR22000915"</f>
        <v>PR22000915</v>
      </c>
      <c r="N2274" t="str">
        <f>"BATTERY DISCONNECT BOX"</f>
        <v>BATTERY DISCONNECT BOX</v>
      </c>
      <c r="O2274">
        <v>0</v>
      </c>
      <c r="P2274" t="str">
        <f>"$"</f>
        <v>$</v>
      </c>
      <c r="Q2274" t="str">
        <f>"118"</f>
        <v>118</v>
      </c>
      <c r="R2274" t="str">
        <f>"מערכות"</f>
        <v>מערכות</v>
      </c>
      <c r="S2274" t="str">
        <f>"034"</f>
        <v>034</v>
      </c>
      <c r="T2274" t="str">
        <f>"עמר ליגל"</f>
        <v>עמר ליגל</v>
      </c>
      <c r="U2274">
        <v>0</v>
      </c>
      <c r="V2274">
        <v>0</v>
      </c>
      <c r="W2274">
        <v>0</v>
      </c>
      <c r="X2274">
        <v>0</v>
      </c>
      <c r="AA2274">
        <v>1</v>
      </c>
      <c r="AC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 t="str">
        <f>"$"</f>
        <v>$</v>
      </c>
    </row>
    <row r="2275" spans="1:38" x14ac:dyDescent="0.3">
      <c r="A2275" t="str">
        <f>"SO22000483"</f>
        <v>SO22000483</v>
      </c>
      <c r="B2275" t="str">
        <f>"E000381570"</f>
        <v>E000381570</v>
      </c>
      <c r="C2275" t="str">
        <f>"מאושרת לחיוב"</f>
        <v>מאושרת לחיוב</v>
      </c>
      <c r="E2275" s="3">
        <v>44921</v>
      </c>
      <c r="F2275" s="3">
        <v>45175</v>
      </c>
      <c r="G2275" t="str">
        <f>"700065"</f>
        <v>700065</v>
      </c>
      <c r="H2275" t="str">
        <f>"אלתא מערכות בע""מ"</f>
        <v>אלתא מערכות בע"מ</v>
      </c>
      <c r="I2275" t="str">
        <f>"ערן שלו"</f>
        <v>ערן שלו</v>
      </c>
      <c r="J2275" t="str">
        <f>"OP-ML00220"</f>
        <v>OP-ML00220</v>
      </c>
      <c r="K2275" s="1" t="str">
        <f>"BATTERY DISCONNECT BOX"</f>
        <v>BATTERY DISCONNECT BOX</v>
      </c>
      <c r="L2275">
        <v>1</v>
      </c>
      <c r="M2275" t="str">
        <f>"PR22000915"</f>
        <v>PR22000915</v>
      </c>
      <c r="N2275" t="str">
        <f>"BATTERY DISCONNECT BOX"</f>
        <v>BATTERY DISCONNECT BOX</v>
      </c>
      <c r="O2275" s="2">
        <v>5599</v>
      </c>
      <c r="P2275" t="str">
        <f>"$"</f>
        <v>$</v>
      </c>
      <c r="Q2275" t="str">
        <f>"118"</f>
        <v>118</v>
      </c>
      <c r="R2275" t="str">
        <f>"מערכות"</f>
        <v>מערכות</v>
      </c>
      <c r="S2275" t="str">
        <f>"034"</f>
        <v>034</v>
      </c>
      <c r="T2275" t="str">
        <f>"עמר ליגל"</f>
        <v>עמר ליגל</v>
      </c>
      <c r="U2275">
        <v>0</v>
      </c>
      <c r="V2275">
        <v>0</v>
      </c>
      <c r="W2275" s="2">
        <v>5599</v>
      </c>
      <c r="X2275" s="2">
        <v>5599</v>
      </c>
      <c r="Z2275" t="str">
        <f>"Y"</f>
        <v>Y</v>
      </c>
      <c r="AA2275">
        <v>0</v>
      </c>
      <c r="AC2275">
        <v>0</v>
      </c>
      <c r="AE2275">
        <v>0</v>
      </c>
      <c r="AF2275">
        <v>0</v>
      </c>
      <c r="AG2275" s="2">
        <v>19557.310000000001</v>
      </c>
      <c r="AH2275">
        <v>0</v>
      </c>
      <c r="AI2275" s="2">
        <v>19557.310000000001</v>
      </c>
      <c r="AJ2275" s="2">
        <v>5599</v>
      </c>
      <c r="AK2275" s="2">
        <v>5599</v>
      </c>
      <c r="AL2275" t="str">
        <f>"$"</f>
        <v>$</v>
      </c>
    </row>
    <row r="2276" spans="1:38" x14ac:dyDescent="0.3">
      <c r="A2276" t="str">
        <f>"SO22000484"</f>
        <v>SO22000484</v>
      </c>
      <c r="B2276" t="str">
        <f>"E000381412"</f>
        <v>E000381412</v>
      </c>
      <c r="C2276" t="str">
        <f>"הרכבה חלקית"</f>
        <v>הרכבה חלקית</v>
      </c>
      <c r="E2276" s="3">
        <v>44921</v>
      </c>
      <c r="F2276" s="3">
        <v>45076</v>
      </c>
      <c r="G2276" t="str">
        <f>"700065"</f>
        <v>700065</v>
      </c>
      <c r="H2276" t="str">
        <f>"אלתא מערכות בע""מ"</f>
        <v>אלתא מערכות בע"מ</v>
      </c>
      <c r="I2276" t="str">
        <f>"רוני דידי"</f>
        <v>רוני דידי</v>
      </c>
      <c r="J2276" t="str">
        <f>"OP-KT00108"</f>
        <v>OP-KT00108</v>
      </c>
      <c r="K2276" s="1" t="str">
        <f>"VOLTAGE RECTIFIER UNIT מק""ט 1039H790-001"</f>
        <v>VOLTAGE RECTIFIER UNIT מק"ט 1039H790-001</v>
      </c>
      <c r="L2276">
        <v>2</v>
      </c>
      <c r="M2276" t="str">
        <f>"PR22000902"</f>
        <v>PR22000902</v>
      </c>
      <c r="N2276" t="str">
        <f>"VRU - VOLTAGE RECTIFIER UNIT"</f>
        <v>VRU - VOLTAGE RECTIFIER UNIT</v>
      </c>
      <c r="O2276" s="2">
        <v>7125</v>
      </c>
      <c r="P2276" t="str">
        <f>"$"</f>
        <v>$</v>
      </c>
      <c r="Q2276" t="str">
        <f>"118"</f>
        <v>118</v>
      </c>
      <c r="R2276" t="str">
        <f>"מערכות"</f>
        <v>מערכות</v>
      </c>
      <c r="S2276" t="str">
        <f>"007"</f>
        <v>007</v>
      </c>
      <c r="T2276" t="str">
        <f>"עמר ליגל"</f>
        <v>עמר ליגל</v>
      </c>
      <c r="U2276">
        <v>0</v>
      </c>
      <c r="V2276">
        <v>0</v>
      </c>
      <c r="W2276" s="2">
        <v>7125</v>
      </c>
      <c r="X2276" s="2">
        <v>14250</v>
      </c>
      <c r="AA2276">
        <v>1</v>
      </c>
      <c r="AC2276">
        <v>0</v>
      </c>
      <c r="AE2276">
        <v>0</v>
      </c>
      <c r="AF2276">
        <v>0</v>
      </c>
      <c r="AG2276" s="2">
        <v>24887.63</v>
      </c>
      <c r="AH2276">
        <v>0</v>
      </c>
      <c r="AI2276" s="2">
        <v>49775.25</v>
      </c>
      <c r="AJ2276" s="2">
        <v>14250</v>
      </c>
      <c r="AK2276" s="2">
        <v>14250</v>
      </c>
      <c r="AL2276" t="str">
        <f>"$"</f>
        <v>$</v>
      </c>
    </row>
    <row r="2277" spans="1:38" x14ac:dyDescent="0.3">
      <c r="A2277" t="str">
        <f>"SO22000484"</f>
        <v>SO22000484</v>
      </c>
      <c r="B2277" t="str">
        <f>"E000381412"</f>
        <v>E000381412</v>
      </c>
      <c r="C2277" t="str">
        <f>"הרכבה חלקית"</f>
        <v>הרכבה חלקית</v>
      </c>
      <c r="E2277" s="3">
        <v>44921</v>
      </c>
      <c r="F2277" s="3">
        <v>45076</v>
      </c>
      <c r="G2277" t="str">
        <f>"700065"</f>
        <v>700065</v>
      </c>
      <c r="H2277" t="str">
        <f>"אלתא מערכות בע""מ"</f>
        <v>אלתא מערכות בע"מ</v>
      </c>
      <c r="I2277" t="str">
        <f>"רוני דידי"</f>
        <v>רוני דידי</v>
      </c>
      <c r="J2277" t="str">
        <f>"OP-KT00108"</f>
        <v>OP-KT00108</v>
      </c>
      <c r="K2277" s="1" t="str">
        <f>"VOLTAGE RECTIFIER UNIT מק""ט 1039H790-001"</f>
        <v>VOLTAGE RECTIFIER UNIT מק"ט 1039H790-001</v>
      </c>
      <c r="L2277">
        <v>1</v>
      </c>
      <c r="M2277" t="str">
        <f>"PR22000902"</f>
        <v>PR22000902</v>
      </c>
      <c r="N2277" t="str">
        <f>"VRU - VOLTAGE RECTIFIER UNIT"</f>
        <v>VRU - VOLTAGE RECTIFIER UNIT</v>
      </c>
      <c r="O2277" s="2">
        <v>7125</v>
      </c>
      <c r="P2277" t="str">
        <f>"$"</f>
        <v>$</v>
      </c>
      <c r="Q2277" t="str">
        <f>"118"</f>
        <v>118</v>
      </c>
      <c r="R2277" t="str">
        <f>"מערכות"</f>
        <v>מערכות</v>
      </c>
      <c r="S2277" t="str">
        <f>"007"</f>
        <v>007</v>
      </c>
      <c r="T2277" t="str">
        <f>"עמר ליגל"</f>
        <v>עמר ליגל</v>
      </c>
      <c r="U2277">
        <v>0</v>
      </c>
      <c r="V2277">
        <v>0</v>
      </c>
      <c r="W2277" s="2">
        <v>7125</v>
      </c>
      <c r="X2277" s="2">
        <v>7125</v>
      </c>
      <c r="Z2277" t="str">
        <f>"Y"</f>
        <v>Y</v>
      </c>
      <c r="AA2277">
        <v>0</v>
      </c>
      <c r="AC2277">
        <v>0</v>
      </c>
      <c r="AE2277">
        <v>0</v>
      </c>
      <c r="AF2277">
        <v>0</v>
      </c>
      <c r="AG2277" s="2">
        <v>24887.63</v>
      </c>
      <c r="AH2277">
        <v>0</v>
      </c>
      <c r="AI2277" s="2">
        <v>24887.63</v>
      </c>
      <c r="AJ2277" s="2">
        <v>7125</v>
      </c>
      <c r="AK2277" s="2">
        <v>7125</v>
      </c>
      <c r="AL2277" t="str">
        <f>"$"</f>
        <v>$</v>
      </c>
    </row>
    <row r="2278" spans="1:38" x14ac:dyDescent="0.3">
      <c r="A2278" t="str">
        <f>"SO22000484"</f>
        <v>SO22000484</v>
      </c>
      <c r="B2278" t="str">
        <f>"E000381412"</f>
        <v>E000381412</v>
      </c>
      <c r="C2278" t="str">
        <f>"הרכבה חלקית"</f>
        <v>הרכבה חלקית</v>
      </c>
      <c r="E2278" s="3">
        <v>44921</v>
      </c>
      <c r="F2278" s="3">
        <v>45063</v>
      </c>
      <c r="G2278" t="str">
        <f>"700065"</f>
        <v>700065</v>
      </c>
      <c r="H2278" t="str">
        <f>"אלתא מערכות בע""מ"</f>
        <v>אלתא מערכות בע"מ</v>
      </c>
      <c r="I2278" t="str">
        <f>"רוני דידי"</f>
        <v>רוני דידי</v>
      </c>
      <c r="J2278" t="str">
        <f>"OP-AR01088"</f>
        <v>OP-AR01088</v>
      </c>
      <c r="K2278" s="1" t="str">
        <f>"1038H185-001 SRASR POWER DISTRIUTION UNIT"</f>
        <v>1038H185-001 SRASR POWER DISTRIUTION UNIT</v>
      </c>
      <c r="L2278">
        <v>1</v>
      </c>
      <c r="M2278" t="str">
        <f>"PR23000100"</f>
        <v>PR23000100</v>
      </c>
      <c r="N2278" t="str">
        <f>"SRASR POWER DISTRIUTION UNI"</f>
        <v>SRASR POWER DISTRIUTION UNI</v>
      </c>
      <c r="O2278" s="2">
        <v>14757</v>
      </c>
      <c r="P2278" t="str">
        <f>"$"</f>
        <v>$</v>
      </c>
      <c r="Q2278" t="str">
        <f>"118"</f>
        <v>118</v>
      </c>
      <c r="R2278" t="str">
        <f>"מערכות"</f>
        <v>מערכות</v>
      </c>
      <c r="S2278" t="str">
        <f>"007"</f>
        <v>007</v>
      </c>
      <c r="T2278" t="str">
        <f>"עמר ליגל"</f>
        <v>עמר ליגל</v>
      </c>
      <c r="U2278">
        <v>0</v>
      </c>
      <c r="V2278">
        <v>0</v>
      </c>
      <c r="W2278" s="2">
        <v>14757</v>
      </c>
      <c r="X2278" s="2">
        <v>14757</v>
      </c>
      <c r="Z2278" t="str">
        <f>"Y"</f>
        <v>Y</v>
      </c>
      <c r="AA2278">
        <v>0</v>
      </c>
      <c r="AC2278">
        <v>0</v>
      </c>
      <c r="AE2278">
        <v>0</v>
      </c>
      <c r="AF2278">
        <v>0</v>
      </c>
      <c r="AG2278" s="2">
        <v>51546.2</v>
      </c>
      <c r="AH2278">
        <v>0</v>
      </c>
      <c r="AI2278" s="2">
        <v>51546.2</v>
      </c>
      <c r="AJ2278" s="2">
        <v>14757</v>
      </c>
      <c r="AK2278" s="2">
        <v>14757</v>
      </c>
      <c r="AL2278" t="str">
        <f>"$"</f>
        <v>$</v>
      </c>
    </row>
    <row r="2279" spans="1:38" x14ac:dyDescent="0.3">
      <c r="A2279" t="str">
        <f>"SO22000484"</f>
        <v>SO22000484</v>
      </c>
      <c r="B2279" t="str">
        <f>"E000381412"</f>
        <v>E000381412</v>
      </c>
      <c r="C2279" t="str">
        <f>"הרכבה חלקית"</f>
        <v>הרכבה חלקית</v>
      </c>
      <c r="E2279" s="3">
        <v>44921</v>
      </c>
      <c r="F2279" s="3">
        <v>45091</v>
      </c>
      <c r="G2279" t="str">
        <f>"700065"</f>
        <v>700065</v>
      </c>
      <c r="H2279" t="str">
        <f>"אלתא מערכות בע""מ"</f>
        <v>אלתא מערכות בע"מ</v>
      </c>
      <c r="I2279" t="str">
        <f>"רוני דידי"</f>
        <v>רוני דידי</v>
      </c>
      <c r="J2279" t="str">
        <f>"OP-AR01088"</f>
        <v>OP-AR01088</v>
      </c>
      <c r="K2279" s="1" t="str">
        <f>"1038H185-001 SRASR POWER DISTRIUTION UNIT"</f>
        <v>1038H185-001 SRASR POWER DISTRIUTION UNIT</v>
      </c>
      <c r="L2279">
        <v>1</v>
      </c>
      <c r="M2279" t="str">
        <f>"PR23000101"</f>
        <v>PR23000101</v>
      </c>
      <c r="N2279" t="str">
        <f>"SRASR POWER DISTRIUTION UNI"</f>
        <v>SRASR POWER DISTRIUTION UNI</v>
      </c>
      <c r="O2279" s="2">
        <v>14757</v>
      </c>
      <c r="P2279" t="str">
        <f>"$"</f>
        <v>$</v>
      </c>
      <c r="Q2279" t="str">
        <f>"118"</f>
        <v>118</v>
      </c>
      <c r="R2279" t="str">
        <f>"מערכות"</f>
        <v>מערכות</v>
      </c>
      <c r="S2279" t="str">
        <f>"007"</f>
        <v>007</v>
      </c>
      <c r="T2279" t="str">
        <f>"עמר ליגל"</f>
        <v>עמר ליגל</v>
      </c>
      <c r="U2279">
        <v>0</v>
      </c>
      <c r="V2279">
        <v>0</v>
      </c>
      <c r="W2279" s="2">
        <v>14757</v>
      </c>
      <c r="X2279" s="2">
        <v>14757</v>
      </c>
      <c r="Z2279" t="str">
        <f>"Y"</f>
        <v>Y</v>
      </c>
      <c r="AA2279">
        <v>0</v>
      </c>
      <c r="AC2279">
        <v>0</v>
      </c>
      <c r="AE2279">
        <v>0</v>
      </c>
      <c r="AF2279">
        <v>0</v>
      </c>
      <c r="AG2279" s="2">
        <v>51546.2</v>
      </c>
      <c r="AH2279">
        <v>0</v>
      </c>
      <c r="AI2279" s="2">
        <v>51546.2</v>
      </c>
      <c r="AJ2279" s="2">
        <v>14757</v>
      </c>
      <c r="AK2279" s="2">
        <v>14757</v>
      </c>
      <c r="AL2279" t="str">
        <f>"$"</f>
        <v>$</v>
      </c>
    </row>
    <row r="2280" spans="1:38" x14ac:dyDescent="0.3">
      <c r="A2280" t="str">
        <f>"SO22000484"</f>
        <v>SO22000484</v>
      </c>
      <c r="B2280" t="str">
        <f>"E000381412"</f>
        <v>E000381412</v>
      </c>
      <c r="C2280" t="str">
        <f>"הרכבה חלקית"</f>
        <v>הרכבה חלקית</v>
      </c>
      <c r="E2280" s="3">
        <v>44921</v>
      </c>
      <c r="F2280" s="3">
        <v>45063</v>
      </c>
      <c r="G2280" t="str">
        <f>"700065"</f>
        <v>700065</v>
      </c>
      <c r="H2280" t="str">
        <f>"אלתא מערכות בע""מ"</f>
        <v>אלתא מערכות בע"מ</v>
      </c>
      <c r="I2280" t="str">
        <f>"רוני דידי"</f>
        <v>רוני דידי</v>
      </c>
      <c r="J2280" t="str">
        <f>"OP-AR01088"</f>
        <v>OP-AR01088</v>
      </c>
      <c r="K2280" s="1" t="str">
        <f>"1038H185-001 SRASR POWER DISTRIUTION UNIT"</f>
        <v>1038H185-001 SRASR POWER DISTRIUTION UNIT</v>
      </c>
      <c r="L2280">
        <v>1</v>
      </c>
      <c r="M2280" t="str">
        <f>"PR23000102"</f>
        <v>PR23000102</v>
      </c>
      <c r="N2280" t="str">
        <f>"SRASR POWER DISTRIUTION UNI"</f>
        <v>SRASR POWER DISTRIUTION UNI</v>
      </c>
      <c r="O2280" s="2">
        <v>14757</v>
      </c>
      <c r="P2280" t="str">
        <f>"$"</f>
        <v>$</v>
      </c>
      <c r="Q2280" t="str">
        <f>"118"</f>
        <v>118</v>
      </c>
      <c r="R2280" t="str">
        <f>"מערכות"</f>
        <v>מערכות</v>
      </c>
      <c r="S2280" t="str">
        <f>"007"</f>
        <v>007</v>
      </c>
      <c r="T2280" t="str">
        <f>"עמר ליגל"</f>
        <v>עמר ליגל</v>
      </c>
      <c r="U2280">
        <v>0</v>
      </c>
      <c r="V2280">
        <v>0</v>
      </c>
      <c r="W2280" s="2">
        <v>14757</v>
      </c>
      <c r="X2280" s="2">
        <v>14757</v>
      </c>
      <c r="Z2280" t="str">
        <f>"Y"</f>
        <v>Y</v>
      </c>
      <c r="AA2280">
        <v>0</v>
      </c>
      <c r="AC2280">
        <v>0</v>
      </c>
      <c r="AE2280">
        <v>0</v>
      </c>
      <c r="AF2280">
        <v>0</v>
      </c>
      <c r="AG2280" s="2">
        <v>51546.2</v>
      </c>
      <c r="AH2280">
        <v>0</v>
      </c>
      <c r="AI2280" s="2">
        <v>51546.2</v>
      </c>
      <c r="AJ2280" s="2">
        <v>14757</v>
      </c>
      <c r="AK2280" s="2">
        <v>14757</v>
      </c>
      <c r="AL2280" t="str">
        <f>"$"</f>
        <v>$</v>
      </c>
    </row>
    <row r="2281" spans="1:38" x14ac:dyDescent="0.3">
      <c r="A2281" t="str">
        <f>"SO22000484"</f>
        <v>SO22000484</v>
      </c>
      <c r="B2281" t="str">
        <f>"E000381412"</f>
        <v>E000381412</v>
      </c>
      <c r="C2281" t="str">
        <f>"הרכבה חלקית"</f>
        <v>הרכבה חלקית</v>
      </c>
      <c r="E2281" s="3">
        <v>44921</v>
      </c>
      <c r="F2281" s="3">
        <v>45091</v>
      </c>
      <c r="G2281" t="str">
        <f>"700065"</f>
        <v>700065</v>
      </c>
      <c r="H2281" t="str">
        <f>"אלתא מערכות בע""מ"</f>
        <v>אלתא מערכות בע"מ</v>
      </c>
      <c r="I2281" t="str">
        <f>"רוני דידי"</f>
        <v>רוני דידי</v>
      </c>
      <c r="J2281" t="str">
        <f>"OP-AR01088"</f>
        <v>OP-AR01088</v>
      </c>
      <c r="K2281" s="1" t="str">
        <f>"1038H185-001 SRASR POWER DISTRIUTION UNIT"</f>
        <v>1038H185-001 SRASR POWER DISTRIUTION UNIT</v>
      </c>
      <c r="L2281">
        <v>1</v>
      </c>
      <c r="M2281" t="str">
        <f>"PR23000103"</f>
        <v>PR23000103</v>
      </c>
      <c r="N2281" t="str">
        <f>"-001 SRASR POWER DISTRIUTION UNI"</f>
        <v>-001 SRASR POWER DISTRIUTION UNI</v>
      </c>
      <c r="O2281" s="2">
        <v>14757</v>
      </c>
      <c r="P2281" t="str">
        <f>"$"</f>
        <v>$</v>
      </c>
      <c r="Q2281" t="str">
        <f>"118"</f>
        <v>118</v>
      </c>
      <c r="R2281" t="str">
        <f>"מערכות"</f>
        <v>מערכות</v>
      </c>
      <c r="S2281" t="str">
        <f>"007"</f>
        <v>007</v>
      </c>
      <c r="T2281" t="str">
        <f>"עמר ליגל"</f>
        <v>עמר ליגל</v>
      </c>
      <c r="U2281">
        <v>0</v>
      </c>
      <c r="V2281">
        <v>0</v>
      </c>
      <c r="W2281" s="2">
        <v>14757</v>
      </c>
      <c r="X2281" s="2">
        <v>14757</v>
      </c>
      <c r="Z2281" t="str">
        <f>"Y"</f>
        <v>Y</v>
      </c>
      <c r="AA2281">
        <v>0</v>
      </c>
      <c r="AC2281">
        <v>0</v>
      </c>
      <c r="AE2281">
        <v>0</v>
      </c>
      <c r="AF2281">
        <v>0</v>
      </c>
      <c r="AG2281" s="2">
        <v>51546.2</v>
      </c>
      <c r="AH2281">
        <v>0</v>
      </c>
      <c r="AI2281" s="2">
        <v>51546.2</v>
      </c>
      <c r="AJ2281" s="2">
        <v>14757</v>
      </c>
      <c r="AK2281" s="2">
        <v>14757</v>
      </c>
      <c r="AL2281" t="str">
        <f>"$"</f>
        <v>$</v>
      </c>
    </row>
    <row r="2282" spans="1:38" x14ac:dyDescent="0.3">
      <c r="A2282" t="str">
        <f>"SO22000485"</f>
        <v>SO22000485</v>
      </c>
      <c r="B2282" t="str">
        <f>"E000381279"</f>
        <v>E000381279</v>
      </c>
      <c r="C2282" t="str">
        <f>"בסיום הרכבה"</f>
        <v>בסיום הרכבה</v>
      </c>
      <c r="E2282" s="3">
        <v>44921</v>
      </c>
      <c r="F2282" s="3">
        <v>45066</v>
      </c>
      <c r="G2282" t="str">
        <f>"700065"</f>
        <v>700065</v>
      </c>
      <c r="H2282" t="str">
        <f>"אלתא מערכות בע""מ"</f>
        <v>אלתא מערכות בע"מ</v>
      </c>
      <c r="I2282" t="str">
        <f>"רחמים זרוק"</f>
        <v>רחמים זרוק</v>
      </c>
      <c r="J2282" t="str">
        <f>"OP-AR02353"</f>
        <v>OP-AR02353</v>
      </c>
      <c r="K2282" s="1" t="str">
        <f>"2203B026-001    FIO CABLE ASSY"</f>
        <v>2203B026-001    FIO CABLE ASSY</v>
      </c>
      <c r="L2282">
        <v>1</v>
      </c>
      <c r="M2282" t="str">
        <f>"PR22000907"</f>
        <v>PR22000907</v>
      </c>
      <c r="N2282" t="str">
        <f>"E000381279"</f>
        <v>E000381279</v>
      </c>
      <c r="O2282">
        <v>475.4</v>
      </c>
      <c r="P2282" t="str">
        <f>"$"</f>
        <v>$</v>
      </c>
      <c r="Q2282" t="str">
        <f>"117"</f>
        <v>117</v>
      </c>
      <c r="R2282" t="str">
        <f>"רתמות"</f>
        <v>רתמות</v>
      </c>
      <c r="S2282" t="str">
        <f>"040"</f>
        <v>040</v>
      </c>
      <c r="T2282" t="str">
        <f>"עמר ליגל"</f>
        <v>עמר ליגל</v>
      </c>
      <c r="U2282">
        <v>0</v>
      </c>
      <c r="V2282">
        <v>0</v>
      </c>
      <c r="W2282">
        <v>475.4</v>
      </c>
      <c r="X2282">
        <v>475.4</v>
      </c>
      <c r="Z2282" t="str">
        <f>"Y"</f>
        <v>Y</v>
      </c>
      <c r="AA2282">
        <v>0</v>
      </c>
      <c r="AC2282">
        <v>0</v>
      </c>
      <c r="AE2282">
        <v>0</v>
      </c>
      <c r="AF2282">
        <v>0</v>
      </c>
      <c r="AG2282" s="2">
        <v>1660.57</v>
      </c>
      <c r="AH2282">
        <v>0</v>
      </c>
      <c r="AI2282" s="2">
        <v>1660.57</v>
      </c>
      <c r="AJ2282">
        <v>475.4</v>
      </c>
      <c r="AK2282">
        <v>475.4</v>
      </c>
      <c r="AL2282" t="str">
        <f>"$"</f>
        <v>$</v>
      </c>
    </row>
    <row r="2283" spans="1:38" x14ac:dyDescent="0.3">
      <c r="A2283" t="str">
        <f>"SO22000485"</f>
        <v>SO22000485</v>
      </c>
      <c r="B2283" t="str">
        <f>"E000381279"</f>
        <v>E000381279</v>
      </c>
      <c r="C2283" t="str">
        <f>"בסיום הרכבה"</f>
        <v>בסיום הרכבה</v>
      </c>
      <c r="E2283" s="3">
        <v>44921</v>
      </c>
      <c r="F2283" s="3">
        <v>45066</v>
      </c>
      <c r="G2283" t="str">
        <f>"700065"</f>
        <v>700065</v>
      </c>
      <c r="H2283" t="str">
        <f>"אלתא מערכות בע""מ"</f>
        <v>אלתא מערכות בע"מ</v>
      </c>
      <c r="I2283" t="str">
        <f>"רחמים זרוק"</f>
        <v>רחמים זרוק</v>
      </c>
      <c r="J2283" t="str">
        <f>"OP-AR03016"</f>
        <v>OP-AR03016</v>
      </c>
      <c r="K2283" s="1" t="str">
        <f>"2203B860-001   POWER TO UUT CABLE ASSY"</f>
        <v>2203B860-001   POWER TO UUT CABLE ASSY</v>
      </c>
      <c r="L2283">
        <v>1</v>
      </c>
      <c r="M2283" t="str">
        <f>"PR22000907"</f>
        <v>PR22000907</v>
      </c>
      <c r="N2283" t="str">
        <f>"E000381279"</f>
        <v>E000381279</v>
      </c>
      <c r="O2283">
        <v>867.4</v>
      </c>
      <c r="P2283" t="str">
        <f>"$"</f>
        <v>$</v>
      </c>
      <c r="Q2283" t="str">
        <f>"117"</f>
        <v>117</v>
      </c>
      <c r="R2283" t="str">
        <f>"רתמות"</f>
        <v>רתמות</v>
      </c>
      <c r="S2283" t="str">
        <f>"040"</f>
        <v>040</v>
      </c>
      <c r="T2283" t="str">
        <f>"עמר ליגל"</f>
        <v>עמר ליגל</v>
      </c>
      <c r="U2283">
        <v>0</v>
      </c>
      <c r="V2283">
        <v>0</v>
      </c>
      <c r="W2283">
        <v>867.4</v>
      </c>
      <c r="X2283">
        <v>867.4</v>
      </c>
      <c r="Z2283" t="str">
        <f>"Y"</f>
        <v>Y</v>
      </c>
      <c r="AA2283">
        <v>0</v>
      </c>
      <c r="AC2283">
        <v>0</v>
      </c>
      <c r="AE2283">
        <v>0</v>
      </c>
      <c r="AF2283">
        <v>0</v>
      </c>
      <c r="AG2283" s="2">
        <v>3029.83</v>
      </c>
      <c r="AH2283">
        <v>0</v>
      </c>
      <c r="AI2283" s="2">
        <v>3029.83</v>
      </c>
      <c r="AJ2283">
        <v>867.4</v>
      </c>
      <c r="AK2283">
        <v>867.4</v>
      </c>
      <c r="AL2283" t="str">
        <f>"$"</f>
        <v>$</v>
      </c>
    </row>
    <row r="2284" spans="1:38" x14ac:dyDescent="0.3">
      <c r="A2284" t="str">
        <f>"SO22000485"</f>
        <v>SO22000485</v>
      </c>
      <c r="B2284" t="str">
        <f>"E000381279"</f>
        <v>E000381279</v>
      </c>
      <c r="C2284" t="str">
        <f>"בסיום הרכבה"</f>
        <v>בסיום הרכבה</v>
      </c>
      <c r="E2284" s="3">
        <v>44921</v>
      </c>
      <c r="F2284" s="3">
        <v>45066</v>
      </c>
      <c r="G2284" t="str">
        <f>"700065"</f>
        <v>700065</v>
      </c>
      <c r="H2284" t="str">
        <f>"אלתא מערכות בע""מ"</f>
        <v>אלתא מערכות בע"מ</v>
      </c>
      <c r="I2284" t="str">
        <f>"רחמים זרוק"</f>
        <v>רחמים זרוק</v>
      </c>
      <c r="J2284" t="str">
        <f>"OP-AR03017"</f>
        <v>OP-AR03017</v>
      </c>
      <c r="K2284" s="1" t="str">
        <f>"2203B862-001   POWER TO JIG CABLE ASSY"</f>
        <v>2203B862-001   POWER TO JIG CABLE ASSY</v>
      </c>
      <c r="L2284">
        <v>2</v>
      </c>
      <c r="M2284" t="str">
        <f>"PR22000907"</f>
        <v>PR22000907</v>
      </c>
      <c r="N2284" t="str">
        <f>"E000381279"</f>
        <v>E000381279</v>
      </c>
      <c r="O2284">
        <v>187.3</v>
      </c>
      <c r="P2284" t="str">
        <f>"$"</f>
        <v>$</v>
      </c>
      <c r="Q2284" t="str">
        <f>"117"</f>
        <v>117</v>
      </c>
      <c r="R2284" t="str">
        <f>"רתמות"</f>
        <v>רתמות</v>
      </c>
      <c r="S2284" t="str">
        <f>"040"</f>
        <v>040</v>
      </c>
      <c r="T2284" t="str">
        <f>"עמר ליגל"</f>
        <v>עמר ליגל</v>
      </c>
      <c r="U2284">
        <v>0</v>
      </c>
      <c r="V2284">
        <v>0</v>
      </c>
      <c r="W2284">
        <v>187.3</v>
      </c>
      <c r="X2284">
        <v>374.6</v>
      </c>
      <c r="Z2284" t="str">
        <f>"Y"</f>
        <v>Y</v>
      </c>
      <c r="AA2284">
        <v>0</v>
      </c>
      <c r="AC2284">
        <v>0</v>
      </c>
      <c r="AE2284">
        <v>0</v>
      </c>
      <c r="AF2284">
        <v>0</v>
      </c>
      <c r="AG2284">
        <v>654.24</v>
      </c>
      <c r="AH2284">
        <v>0</v>
      </c>
      <c r="AI2284" s="2">
        <v>1308.48</v>
      </c>
      <c r="AJ2284">
        <v>374.6</v>
      </c>
      <c r="AK2284">
        <v>374.6</v>
      </c>
      <c r="AL2284" t="str">
        <f>"$"</f>
        <v>$</v>
      </c>
    </row>
    <row r="2285" spans="1:38" x14ac:dyDescent="0.3">
      <c r="A2285" t="str">
        <f>"SO22000486"</f>
        <v>SO22000486</v>
      </c>
      <c r="B2285" t="str">
        <f>"E000378773"</f>
        <v>E000378773</v>
      </c>
      <c r="C2285" t="str">
        <f>"מאושרת לבצוע"</f>
        <v>מאושרת לבצוע</v>
      </c>
      <c r="E2285" s="3">
        <v>44921</v>
      </c>
      <c r="F2285" s="3">
        <v>45214</v>
      </c>
      <c r="G2285" t="str">
        <f>"700065"</f>
        <v>700065</v>
      </c>
      <c r="H2285" t="str">
        <f>"אלתא מערכות בע""מ"</f>
        <v>אלתא מערכות בע"מ</v>
      </c>
      <c r="I2285" t="str">
        <f>"רוני דידי"</f>
        <v>רוני דידי</v>
      </c>
      <c r="J2285" t="str">
        <f>"OP-AR09105-1"</f>
        <v>OP-AR09105-1</v>
      </c>
      <c r="K2285" s="1" t="str">
        <f>"לוח ARMY מק""ט לקוח 1036V310-001"</f>
        <v>לוח ARMY מק"ט לקוח 1036V310-001</v>
      </c>
      <c r="L2285">
        <v>1</v>
      </c>
      <c r="M2285" t="str">
        <f>"PR20000145"</f>
        <v>PR20000145</v>
      </c>
      <c r="N2285" t="str">
        <f>"ייצור לוח PDB יולי 2021/2"</f>
        <v>ייצור לוח PDB יולי 2021/2</v>
      </c>
      <c r="O2285" s="2">
        <v>51213.82</v>
      </c>
      <c r="P2285" t="str">
        <f>"$"</f>
        <v>$</v>
      </c>
      <c r="Q2285" t="str">
        <f>"118"</f>
        <v>118</v>
      </c>
      <c r="R2285" t="str">
        <f>"מערכות"</f>
        <v>מערכות</v>
      </c>
      <c r="S2285" t="str">
        <f>"007"</f>
        <v>007</v>
      </c>
      <c r="T2285" t="str">
        <f>"עמר ליגל"</f>
        <v>עמר ליגל</v>
      </c>
      <c r="U2285">
        <v>0</v>
      </c>
      <c r="V2285">
        <v>0</v>
      </c>
      <c r="W2285" s="2">
        <v>51213.82</v>
      </c>
      <c r="X2285" s="2">
        <v>51213.82</v>
      </c>
      <c r="AA2285">
        <v>1</v>
      </c>
      <c r="AC2285">
        <v>0</v>
      </c>
      <c r="AE2285">
        <v>0</v>
      </c>
      <c r="AF2285">
        <v>0</v>
      </c>
      <c r="AG2285" s="2">
        <v>178889.87</v>
      </c>
      <c r="AH2285">
        <v>0</v>
      </c>
      <c r="AI2285" s="2">
        <v>178889.87</v>
      </c>
      <c r="AJ2285" s="2">
        <v>51213.82</v>
      </c>
      <c r="AK2285" s="2">
        <v>51213.82</v>
      </c>
      <c r="AL2285" t="str">
        <f>"$"</f>
        <v>$</v>
      </c>
    </row>
    <row r="2286" spans="1:38" x14ac:dyDescent="0.3">
      <c r="A2286" t="str">
        <f>"SO22000486"</f>
        <v>SO22000486</v>
      </c>
      <c r="B2286" t="str">
        <f>"E000378773"</f>
        <v>E000378773</v>
      </c>
      <c r="C2286" t="str">
        <f>"מאושרת לבצוע"</f>
        <v>מאושרת לבצוע</v>
      </c>
      <c r="E2286" s="3">
        <v>44921</v>
      </c>
      <c r="F2286" s="3">
        <v>45214</v>
      </c>
      <c r="G2286" t="str">
        <f>"700065"</f>
        <v>700065</v>
      </c>
      <c r="H2286" t="str">
        <f>"אלתא מערכות בע""מ"</f>
        <v>אלתא מערכות בע"מ</v>
      </c>
      <c r="I2286" t="str">
        <f>"רוני דידי"</f>
        <v>רוני דידי</v>
      </c>
      <c r="J2286" t="str">
        <f>"OP-AR09107-1"</f>
        <v>OP-AR09107-1</v>
      </c>
      <c r="K2286" s="1" t="str">
        <f>"לוח AUX BOX מק""ט לקוח 1036V320 001"</f>
        <v>לוח AUX BOX מק"ט לקוח 1036V320 001</v>
      </c>
      <c r="L2286">
        <v>1</v>
      </c>
      <c r="M2286" t="str">
        <f>"PR20000155"</f>
        <v>PR20000155</v>
      </c>
      <c r="N2286" t="str">
        <f>"יצור AUX BOX דצמבר 2021/3"</f>
        <v>יצור AUX BOX דצמבר 2021/3</v>
      </c>
      <c r="O2286" s="2">
        <v>33526.78</v>
      </c>
      <c r="P2286" t="str">
        <f>"$"</f>
        <v>$</v>
      </c>
      <c r="Q2286" t="str">
        <f>"118"</f>
        <v>118</v>
      </c>
      <c r="R2286" t="str">
        <f>"מערכות"</f>
        <v>מערכות</v>
      </c>
      <c r="S2286" t="str">
        <f>"007"</f>
        <v>007</v>
      </c>
      <c r="T2286" t="str">
        <f>"עמר ליגל"</f>
        <v>עמר ליגל</v>
      </c>
      <c r="U2286">
        <v>0</v>
      </c>
      <c r="V2286">
        <v>0</v>
      </c>
      <c r="W2286" s="2">
        <v>33526.78</v>
      </c>
      <c r="X2286" s="2">
        <v>33526.78</v>
      </c>
      <c r="Z2286" t="str">
        <f>"Y"</f>
        <v>Y</v>
      </c>
      <c r="AA2286">
        <v>0</v>
      </c>
      <c r="AC2286">
        <v>0</v>
      </c>
      <c r="AE2286">
        <v>0</v>
      </c>
      <c r="AF2286">
        <v>0</v>
      </c>
      <c r="AG2286" s="2">
        <v>117109.04</v>
      </c>
      <c r="AH2286">
        <v>0</v>
      </c>
      <c r="AI2286" s="2">
        <v>117109.04</v>
      </c>
      <c r="AJ2286" s="2">
        <v>33526.78</v>
      </c>
      <c r="AK2286" s="2">
        <v>33526.78</v>
      </c>
      <c r="AL2286" t="str">
        <f>"$"</f>
        <v>$</v>
      </c>
    </row>
    <row r="2287" spans="1:38" x14ac:dyDescent="0.3">
      <c r="A2287" t="str">
        <f>"SO22000486"</f>
        <v>SO22000486</v>
      </c>
      <c r="B2287" t="str">
        <f>"E000378773"</f>
        <v>E000378773</v>
      </c>
      <c r="C2287" t="str">
        <f>"מאושרת לבצוע"</f>
        <v>מאושרת לבצוע</v>
      </c>
      <c r="E2287" s="3">
        <v>44921</v>
      </c>
      <c r="F2287" s="3">
        <v>45214</v>
      </c>
      <c r="G2287" t="str">
        <f>"700065"</f>
        <v>700065</v>
      </c>
      <c r="H2287" t="str">
        <f>"אלתא מערכות בע""מ"</f>
        <v>אלתא מערכות בע"מ</v>
      </c>
      <c r="I2287" t="str">
        <f>"רוני דידי"</f>
        <v>רוני דידי</v>
      </c>
      <c r="J2287" t="str">
        <f>"OP-AR01025"</f>
        <v>OP-AR01025</v>
      </c>
      <c r="K2287" s="1" t="str">
        <f>"BATTERY BOX 1039V520-001"</f>
        <v>BATTERY BOX 1039V520-001</v>
      </c>
      <c r="L2287">
        <v>1</v>
      </c>
      <c r="M2287" t="str">
        <f>"PR22000910"</f>
        <v>PR22000910</v>
      </c>
      <c r="N2287" t="str">
        <f>"BATTERY BOX 1039V520-001"</f>
        <v>BATTERY BOX 1039V520-001</v>
      </c>
      <c r="O2287" s="2">
        <v>7350</v>
      </c>
      <c r="P2287" t="str">
        <f>"$"</f>
        <v>$</v>
      </c>
      <c r="Q2287" t="str">
        <f>"118"</f>
        <v>118</v>
      </c>
      <c r="R2287" t="str">
        <f>"מערכות"</f>
        <v>מערכות</v>
      </c>
      <c r="S2287" t="str">
        <f>"007"</f>
        <v>007</v>
      </c>
      <c r="T2287" t="str">
        <f>"עמר ליגל"</f>
        <v>עמר ליגל</v>
      </c>
      <c r="U2287">
        <v>0</v>
      </c>
      <c r="V2287">
        <v>0</v>
      </c>
      <c r="W2287" s="2">
        <v>7350</v>
      </c>
      <c r="X2287" s="2">
        <v>7350</v>
      </c>
      <c r="AA2287">
        <v>1</v>
      </c>
      <c r="AC2287">
        <v>0</v>
      </c>
      <c r="AE2287">
        <v>0</v>
      </c>
      <c r="AF2287">
        <v>0</v>
      </c>
      <c r="AG2287" s="2">
        <v>25673.55</v>
      </c>
      <c r="AH2287">
        <v>0</v>
      </c>
      <c r="AI2287" s="2">
        <v>25673.55</v>
      </c>
      <c r="AJ2287" s="2">
        <v>7350</v>
      </c>
      <c r="AK2287" s="2">
        <v>7350</v>
      </c>
      <c r="AL2287" t="str">
        <f>"$"</f>
        <v>$</v>
      </c>
    </row>
    <row r="2288" spans="1:38" x14ac:dyDescent="0.3">
      <c r="A2288" t="str">
        <f>"SO22000486"</f>
        <v>SO22000486</v>
      </c>
      <c r="B2288" t="str">
        <f>"E000378773"</f>
        <v>E000378773</v>
      </c>
      <c r="C2288" t="str">
        <f>"מאושרת לבצוע"</f>
        <v>מאושרת לבצוע</v>
      </c>
      <c r="E2288" s="3">
        <v>44921</v>
      </c>
      <c r="F2288" s="3">
        <v>45214</v>
      </c>
      <c r="G2288" t="str">
        <f>"700065"</f>
        <v>700065</v>
      </c>
      <c r="H2288" t="str">
        <f>"אלתא מערכות בע""מ"</f>
        <v>אלתא מערכות בע"מ</v>
      </c>
      <c r="I2288" t="str">
        <f>"רוני דידי"</f>
        <v>רוני דידי</v>
      </c>
      <c r="J2288" t="str">
        <f>"OP-AR09105"</f>
        <v>OP-AR09105</v>
      </c>
      <c r="K2288" s="1" t="str">
        <f>"לוח LB-PDB מק""ט לקוח 1026L310-002"</f>
        <v>לוח LB-PDB מק"ט לקוח 1026L310-002</v>
      </c>
      <c r="L2288">
        <v>1</v>
      </c>
      <c r="M2288" t="str">
        <f>"PR22000916"</f>
        <v>PR22000916</v>
      </c>
      <c r="N2288" t="str">
        <f>"לוח LB-PDB מק""ט לקוח 026L310-002"</f>
        <v>לוח LB-PDB מק"ט לקוח 026L310-002</v>
      </c>
      <c r="O2288" s="2">
        <v>51213.82</v>
      </c>
      <c r="P2288" t="str">
        <f>"$"</f>
        <v>$</v>
      </c>
      <c r="Q2288" t="str">
        <f>"118"</f>
        <v>118</v>
      </c>
      <c r="R2288" t="str">
        <f>"מערכות"</f>
        <v>מערכות</v>
      </c>
      <c r="S2288" t="str">
        <f>"007"</f>
        <v>007</v>
      </c>
      <c r="T2288" t="str">
        <f>"עמר ליגל"</f>
        <v>עמר ליגל</v>
      </c>
      <c r="U2288">
        <v>0</v>
      </c>
      <c r="V2288">
        <v>0</v>
      </c>
      <c r="W2288" s="2">
        <v>51213.82</v>
      </c>
      <c r="X2288" s="2">
        <v>51213.82</v>
      </c>
      <c r="AA2288">
        <v>1</v>
      </c>
      <c r="AC2288">
        <v>0</v>
      </c>
      <c r="AE2288">
        <v>0</v>
      </c>
      <c r="AF2288">
        <v>0</v>
      </c>
      <c r="AG2288" s="2">
        <v>178889.87</v>
      </c>
      <c r="AH2288">
        <v>0</v>
      </c>
      <c r="AI2288" s="2">
        <v>178889.87</v>
      </c>
      <c r="AJ2288" s="2">
        <v>51213.82</v>
      </c>
      <c r="AK2288" s="2">
        <v>51213.82</v>
      </c>
      <c r="AL2288" t="str">
        <f>"$"</f>
        <v>$</v>
      </c>
    </row>
    <row r="2289" spans="1:38" x14ac:dyDescent="0.3">
      <c r="A2289" t="str">
        <f>"SO22000488"</f>
        <v>SO22000488</v>
      </c>
      <c r="B2289" t="str">
        <f>"E000381379"</f>
        <v>E000381379</v>
      </c>
      <c r="C2289" t="str">
        <f>"בוצעה"</f>
        <v>בוצעה</v>
      </c>
      <c r="E2289" s="3">
        <v>44922</v>
      </c>
      <c r="F2289" s="3">
        <v>44941</v>
      </c>
      <c r="G2289" t="str">
        <f>"700065"</f>
        <v>700065</v>
      </c>
      <c r="H2289" t="str">
        <f>"אלתא מערכות בע""מ"</f>
        <v>אלתא מערכות בע"מ</v>
      </c>
      <c r="I2289" t="str">
        <f>"רחמים זרוק"</f>
        <v>רחמים זרוק</v>
      </c>
      <c r="J2289" t="str">
        <f>"PS0230057"</f>
        <v>PS0230057</v>
      </c>
      <c r="K2289" s="1" t="str">
        <f>"(d0117478)Rectifier DPR 3500B -24 DELTA"</f>
        <v>(d0117478)Rectifier DPR 3500B -24 DELTA</v>
      </c>
      <c r="L2289">
        <v>6</v>
      </c>
      <c r="M2289" t="str">
        <f>"PR22000923"</f>
        <v>PR22000923</v>
      </c>
      <c r="N2289" t="str">
        <f>"DPR 3500B-24"</f>
        <v>DPR 3500B-24</v>
      </c>
      <c r="O2289">
        <v>850</v>
      </c>
      <c r="P2289" t="str">
        <f>"$"</f>
        <v>$</v>
      </c>
      <c r="Q2289" t="str">
        <f>"118"</f>
        <v>118</v>
      </c>
      <c r="R2289" t="str">
        <f>"מערכות"</f>
        <v>מערכות</v>
      </c>
      <c r="S2289" t="str">
        <f>"040"</f>
        <v>040</v>
      </c>
      <c r="T2289" t="str">
        <f>"עמר ליגל"</f>
        <v>עמר ליגל</v>
      </c>
      <c r="U2289">
        <v>0</v>
      </c>
      <c r="V2289">
        <v>0</v>
      </c>
      <c r="W2289">
        <v>850</v>
      </c>
      <c r="X2289" s="2">
        <v>5100</v>
      </c>
      <c r="Z2289" t="str">
        <f>"Y"</f>
        <v>Y</v>
      </c>
      <c r="AA2289">
        <v>0</v>
      </c>
      <c r="AC2289">
        <v>0</v>
      </c>
      <c r="AE2289">
        <v>0</v>
      </c>
      <c r="AF2289">
        <v>0</v>
      </c>
      <c r="AG2289" s="2">
        <v>2985.2</v>
      </c>
      <c r="AH2289">
        <v>0</v>
      </c>
      <c r="AI2289" s="2">
        <v>17911.2</v>
      </c>
      <c r="AJ2289" s="2">
        <v>5100</v>
      </c>
      <c r="AK2289" s="2">
        <v>5100</v>
      </c>
      <c r="AL2289" t="str">
        <f>"$"</f>
        <v>$</v>
      </c>
    </row>
    <row r="2290" spans="1:38" x14ac:dyDescent="0.3">
      <c r="A2290" t="str">
        <f>"SO22000489"</f>
        <v>SO22000489</v>
      </c>
      <c r="B2290" t="str">
        <f>"E000382417"</f>
        <v>E000382417</v>
      </c>
      <c r="C2290" t="str">
        <f>"מאושרת לחיוב"</f>
        <v>מאושרת לחיוב</v>
      </c>
      <c r="E2290" s="3">
        <v>44922</v>
      </c>
      <c r="F2290" s="3">
        <v>45015</v>
      </c>
      <c r="G2290" t="str">
        <f>"700065"</f>
        <v>700065</v>
      </c>
      <c r="H2290" t="str">
        <f>"אלתא מערכות בע""מ"</f>
        <v>אלתא מערכות בע"מ</v>
      </c>
      <c r="I2290" t="str">
        <f>"רחמים זרוק"</f>
        <v>רחמים זרוק</v>
      </c>
      <c r="J2290" t="str">
        <f>"000"</f>
        <v>000</v>
      </c>
      <c r="K2290" s="1" t="str">
        <f>"שדרוג PBD1 עבור מערכות 4+5 PQ22000552"</f>
        <v>שדרוג PBD1 עבור מערכות 4+5 PQ22000552</v>
      </c>
      <c r="L2290">
        <v>1</v>
      </c>
      <c r="M2290" t="str">
        <f>"PR20000648"</f>
        <v>PR20000648</v>
      </c>
      <c r="N2290" t="str">
        <f>"03/   PDB 1 1038C860-001"</f>
        <v>03/   PDB 1 1038C860-001</v>
      </c>
      <c r="O2290" s="2">
        <v>2950</v>
      </c>
      <c r="P2290" t="str">
        <f>"$"</f>
        <v>$</v>
      </c>
      <c r="Q2290" t="str">
        <f>"118"</f>
        <v>118</v>
      </c>
      <c r="R2290" t="str">
        <f>"מערכות"</f>
        <v>מערכות</v>
      </c>
      <c r="S2290" t="str">
        <f>"040"</f>
        <v>040</v>
      </c>
      <c r="T2290" t="str">
        <f>"עמר ליגל"</f>
        <v>עמר ליגל</v>
      </c>
      <c r="U2290">
        <v>0</v>
      </c>
      <c r="V2290">
        <v>0</v>
      </c>
      <c r="W2290" s="2">
        <v>2950</v>
      </c>
      <c r="X2290" s="2">
        <v>2950</v>
      </c>
      <c r="Z2290" t="str">
        <f>"Y"</f>
        <v>Y</v>
      </c>
      <c r="AA2290">
        <v>1</v>
      </c>
      <c r="AC2290">
        <v>0</v>
      </c>
      <c r="AE2290">
        <v>0</v>
      </c>
      <c r="AF2290">
        <v>0</v>
      </c>
      <c r="AG2290" s="2">
        <v>10360.4</v>
      </c>
      <c r="AH2290">
        <v>0</v>
      </c>
      <c r="AI2290" s="2">
        <v>10360.4</v>
      </c>
      <c r="AJ2290" s="2">
        <v>2950</v>
      </c>
      <c r="AK2290" s="2">
        <v>2950</v>
      </c>
      <c r="AL2290" t="str">
        <f>"$"</f>
        <v>$</v>
      </c>
    </row>
    <row r="2291" spans="1:38" x14ac:dyDescent="0.3">
      <c r="A2291" t="str">
        <f>"SO22000489"</f>
        <v>SO22000489</v>
      </c>
      <c r="B2291" t="str">
        <f>"E000382417"</f>
        <v>E000382417</v>
      </c>
      <c r="C2291" t="str">
        <f>"מאושרת לחיוב"</f>
        <v>מאושרת לחיוב</v>
      </c>
      <c r="E2291" s="3">
        <v>44922</v>
      </c>
      <c r="F2291" s="3">
        <v>45015</v>
      </c>
      <c r="G2291" t="str">
        <f>"700065"</f>
        <v>700065</v>
      </c>
      <c r="H2291" t="str">
        <f>"אלתא מערכות בע""מ"</f>
        <v>אלתא מערכות בע"מ</v>
      </c>
      <c r="I2291" t="str">
        <f>"רחמים זרוק"</f>
        <v>רחמים זרוק</v>
      </c>
      <c r="J2291" t="str">
        <f>"000"</f>
        <v>000</v>
      </c>
      <c r="K2291" s="1" t="str">
        <f>"מפסק על דלת ניתוק מארז מחשב 8 PQ22000523"</f>
        <v>מפסק על דלת ניתוק מארז מחשב 8 PQ22000523</v>
      </c>
      <c r="L2291">
        <v>1</v>
      </c>
      <c r="M2291" t="str">
        <f>"PR20000653"</f>
        <v>PR20000653</v>
      </c>
      <c r="N2291" t="str">
        <f>"08/  PDB 1 1038C860-001"</f>
        <v>08/  PDB 1 1038C860-001</v>
      </c>
      <c r="O2291">
        <v>327</v>
      </c>
      <c r="P2291" t="str">
        <f>"$"</f>
        <v>$</v>
      </c>
      <c r="Q2291" t="str">
        <f>"118"</f>
        <v>118</v>
      </c>
      <c r="R2291" t="str">
        <f>"מערכות"</f>
        <v>מערכות</v>
      </c>
      <c r="S2291" t="str">
        <f>"040"</f>
        <v>040</v>
      </c>
      <c r="T2291" t="str">
        <f>"עמר ליגל"</f>
        <v>עמר ליגל</v>
      </c>
      <c r="U2291">
        <v>0</v>
      </c>
      <c r="V2291">
        <v>0</v>
      </c>
      <c r="W2291">
        <v>327</v>
      </c>
      <c r="X2291">
        <v>327</v>
      </c>
      <c r="Z2291" t="str">
        <f>"Y"</f>
        <v>Y</v>
      </c>
      <c r="AA2291">
        <v>1</v>
      </c>
      <c r="AC2291">
        <v>0</v>
      </c>
      <c r="AE2291">
        <v>0</v>
      </c>
      <c r="AF2291">
        <v>0</v>
      </c>
      <c r="AG2291" s="2">
        <v>1148.42</v>
      </c>
      <c r="AH2291">
        <v>0</v>
      </c>
      <c r="AI2291" s="2">
        <v>1148.42</v>
      </c>
      <c r="AJ2291">
        <v>327</v>
      </c>
      <c r="AK2291">
        <v>327</v>
      </c>
      <c r="AL2291" t="str">
        <f>"$"</f>
        <v>$</v>
      </c>
    </row>
    <row r="2292" spans="1:38" x14ac:dyDescent="0.3">
      <c r="A2292" t="str">
        <f>"SO22000489"</f>
        <v>SO22000489</v>
      </c>
      <c r="B2292" t="str">
        <f>"E000382417"</f>
        <v>E000382417</v>
      </c>
      <c r="C2292" t="str">
        <f>"מאושרת לחיוב"</f>
        <v>מאושרת לחיוב</v>
      </c>
      <c r="E2292" s="3">
        <v>44922</v>
      </c>
      <c r="F2292" s="3">
        <v>45015</v>
      </c>
      <c r="G2292" t="str">
        <f>"700065"</f>
        <v>700065</v>
      </c>
      <c r="H2292" t="str">
        <f>"אלתא מערכות בע""מ"</f>
        <v>אלתא מערכות בע"מ</v>
      </c>
      <c r="I2292" t="str">
        <f>"רחמים זרוק"</f>
        <v>רחמים זרוק</v>
      </c>
      <c r="J2292" t="str">
        <f>"000"</f>
        <v>000</v>
      </c>
      <c r="K2292" s="1" t="str">
        <f>"מפסק דלת PDB1 מערכת 3 PQ22000500"</f>
        <v>מפסק דלת PDB1 מערכת 3 PQ22000500</v>
      </c>
      <c r="L2292">
        <v>1</v>
      </c>
      <c r="M2292" t="str">
        <f>"PR20000649"</f>
        <v>PR20000649</v>
      </c>
      <c r="N2292" t="str">
        <f>"04/   PDB 1 1038C860-001"</f>
        <v>04/   PDB 1 1038C860-001</v>
      </c>
      <c r="O2292" s="2">
        <v>2900</v>
      </c>
      <c r="P2292" t="str">
        <f>"$"</f>
        <v>$</v>
      </c>
      <c r="Q2292" t="str">
        <f>"118"</f>
        <v>118</v>
      </c>
      <c r="R2292" t="str">
        <f>"מערכות"</f>
        <v>מערכות</v>
      </c>
      <c r="S2292" t="str">
        <f>"040"</f>
        <v>040</v>
      </c>
      <c r="T2292" t="str">
        <f>"עמר ליגל"</f>
        <v>עמר ליגל</v>
      </c>
      <c r="U2292">
        <v>0</v>
      </c>
      <c r="V2292">
        <v>0</v>
      </c>
      <c r="W2292" s="2">
        <v>2900</v>
      </c>
      <c r="X2292" s="2">
        <v>2900</v>
      </c>
      <c r="Z2292" t="str">
        <f>"Y"</f>
        <v>Y</v>
      </c>
      <c r="AA2292">
        <v>1</v>
      </c>
      <c r="AC2292">
        <v>0</v>
      </c>
      <c r="AE2292">
        <v>0</v>
      </c>
      <c r="AF2292">
        <v>0</v>
      </c>
      <c r="AG2292" s="2">
        <v>10184.799999999999</v>
      </c>
      <c r="AH2292">
        <v>0</v>
      </c>
      <c r="AI2292" s="2">
        <v>10184.799999999999</v>
      </c>
      <c r="AJ2292" s="2">
        <v>2900</v>
      </c>
      <c r="AK2292" s="2">
        <v>2900</v>
      </c>
      <c r="AL2292" t="str">
        <f>"$"</f>
        <v>$</v>
      </c>
    </row>
    <row r="2293" spans="1:38" x14ac:dyDescent="0.3">
      <c r="A2293" t="str">
        <f>"SO22000489"</f>
        <v>SO22000489</v>
      </c>
      <c r="B2293" t="str">
        <f>"E000382417"</f>
        <v>E000382417</v>
      </c>
      <c r="C2293" t="str">
        <f>"מאושרת לחיוב"</f>
        <v>מאושרת לחיוב</v>
      </c>
      <c r="E2293" s="3">
        <v>44922</v>
      </c>
      <c r="F2293" s="3">
        <v>44924</v>
      </c>
      <c r="G2293" t="str">
        <f>"700065"</f>
        <v>700065</v>
      </c>
      <c r="H2293" t="str">
        <f>"אלתא מערכות בע""מ"</f>
        <v>אלתא מערכות בע"מ</v>
      </c>
      <c r="I2293" t="str">
        <f>"רחמים זרוק"</f>
        <v>רחמים זרוק</v>
      </c>
      <c r="J2293" t="str">
        <f>"000"</f>
        <v>000</v>
      </c>
      <c r="K2293" s="1" t="str">
        <f>"UPS מערכות 4+5 PQ23000018"</f>
        <v>UPS מערכות 4+5 PQ23000018</v>
      </c>
      <c r="L2293">
        <v>1</v>
      </c>
      <c r="M2293" t="str">
        <f>"PR21000444"</f>
        <v>PR21000444</v>
      </c>
      <c r="N2293" t="str">
        <f>"03 COMPUTER RACK"</f>
        <v>03 COMPUTER RACK</v>
      </c>
      <c r="O2293" s="2">
        <v>2400</v>
      </c>
      <c r="P2293" t="str">
        <f>"$"</f>
        <v>$</v>
      </c>
      <c r="Q2293" t="str">
        <f>"118"</f>
        <v>118</v>
      </c>
      <c r="R2293" t="str">
        <f>"מערכות"</f>
        <v>מערכות</v>
      </c>
      <c r="S2293" t="str">
        <f>"040"</f>
        <v>040</v>
      </c>
      <c r="T2293" t="str">
        <f>"עמר ליגל"</f>
        <v>עמר ליגל</v>
      </c>
      <c r="U2293">
        <v>0</v>
      </c>
      <c r="V2293">
        <v>0</v>
      </c>
      <c r="W2293" s="2">
        <v>2400</v>
      </c>
      <c r="X2293" s="2">
        <v>2400</v>
      </c>
      <c r="Z2293" t="str">
        <f>"Y"</f>
        <v>Y</v>
      </c>
      <c r="AA2293">
        <v>1</v>
      </c>
      <c r="AC2293">
        <v>0</v>
      </c>
      <c r="AE2293">
        <v>0</v>
      </c>
      <c r="AF2293">
        <v>0</v>
      </c>
      <c r="AG2293" s="2">
        <v>8428.7999999999993</v>
      </c>
      <c r="AH2293">
        <v>0</v>
      </c>
      <c r="AI2293" s="2">
        <v>8428.7999999999993</v>
      </c>
      <c r="AJ2293" s="2">
        <v>2400</v>
      </c>
      <c r="AK2293" s="2">
        <v>2400</v>
      </c>
      <c r="AL2293" t="str">
        <f>"$"</f>
        <v>$</v>
      </c>
    </row>
    <row r="2294" spans="1:38" x14ac:dyDescent="0.3">
      <c r="A2294" t="str">
        <f>"SO22000489"</f>
        <v>SO22000489</v>
      </c>
      <c r="B2294" t="str">
        <f>"E000382417"</f>
        <v>E000382417</v>
      </c>
      <c r="C2294" t="str">
        <f>"מאושרת לחיוב"</f>
        <v>מאושרת לחיוב</v>
      </c>
      <c r="E2294" s="3">
        <v>44922</v>
      </c>
      <c r="F2294" s="3">
        <v>45107</v>
      </c>
      <c r="G2294" t="str">
        <f>"700065"</f>
        <v>700065</v>
      </c>
      <c r="H2294" t="str">
        <f>"אלתא מערכות בע""מ"</f>
        <v>אלתא מערכות בע"מ</v>
      </c>
      <c r="I2294" t="str">
        <f>"רחמים זרוק"</f>
        <v>רחמים זרוק</v>
      </c>
      <c r="J2294" t="str">
        <f>"000"</f>
        <v>000</v>
      </c>
      <c r="K2294" s="1" t="str">
        <f>"שידרוג מגירת הספקים+UPS מארז"</f>
        <v>שידרוג מגירת הספקים+UPS מארז</v>
      </c>
      <c r="L2294">
        <v>1</v>
      </c>
      <c r="O2294" s="2">
        <v>2400</v>
      </c>
      <c r="P2294" t="str">
        <f>"$"</f>
        <v>$</v>
      </c>
      <c r="Q2294" t="str">
        <f>"118"</f>
        <v>118</v>
      </c>
      <c r="R2294" t="str">
        <f>"מערכות"</f>
        <v>מערכות</v>
      </c>
      <c r="S2294" t="str">
        <f>"040"</f>
        <v>040</v>
      </c>
      <c r="T2294" t="str">
        <f>"עמר ליגל"</f>
        <v>עמר ליגל</v>
      </c>
      <c r="U2294">
        <v>0</v>
      </c>
      <c r="V2294">
        <v>0</v>
      </c>
      <c r="W2294" s="2">
        <v>2400</v>
      </c>
      <c r="X2294" s="2">
        <v>2400</v>
      </c>
      <c r="Z2294" t="str">
        <f>"Y"</f>
        <v>Y</v>
      </c>
      <c r="AA2294">
        <v>1</v>
      </c>
      <c r="AC2294">
        <v>0</v>
      </c>
      <c r="AE2294">
        <v>0</v>
      </c>
      <c r="AF2294">
        <v>0</v>
      </c>
      <c r="AG2294" s="2">
        <v>8428.7999999999993</v>
      </c>
      <c r="AH2294">
        <v>0</v>
      </c>
      <c r="AI2294" s="2">
        <v>8428.7999999999993</v>
      </c>
      <c r="AJ2294" s="2">
        <v>2400</v>
      </c>
      <c r="AK2294" s="2">
        <v>2400</v>
      </c>
      <c r="AL2294" t="str">
        <f>"$"</f>
        <v>$</v>
      </c>
    </row>
    <row r="2295" spans="1:38" x14ac:dyDescent="0.3">
      <c r="A2295" t="str">
        <f>"SO22000489"</f>
        <v>SO22000489</v>
      </c>
      <c r="B2295" t="str">
        <f>"E000382417"</f>
        <v>E000382417</v>
      </c>
      <c r="C2295" t="str">
        <f>"מאושרת לחיוב"</f>
        <v>מאושרת לחיוב</v>
      </c>
      <c r="E2295" s="3">
        <v>44922</v>
      </c>
      <c r="F2295" s="3">
        <v>45001</v>
      </c>
      <c r="G2295" t="str">
        <f>"700065"</f>
        <v>700065</v>
      </c>
      <c r="H2295" t="str">
        <f>"אלתא מערכות בע""מ"</f>
        <v>אלתא מערכות בע"מ</v>
      </c>
      <c r="I2295" t="str">
        <f>"רחמים זרוק"</f>
        <v>רחמים זרוק</v>
      </c>
      <c r="J2295" t="str">
        <f>"000"</f>
        <v>000</v>
      </c>
      <c r="K2295" s="1" t="str">
        <f>"שדרוג מגירת הספקים+UPS מארז מ"</f>
        <v>שדרוג מגירת הספקים+UPS מארז מ</v>
      </c>
      <c r="L2295">
        <v>1</v>
      </c>
      <c r="M2295" t="str">
        <f>"PR21000447"</f>
        <v>PR21000447</v>
      </c>
      <c r="N2295" t="str">
        <f>"06 COMPUTER RACK"</f>
        <v>06 COMPUTER RACK</v>
      </c>
      <c r="O2295" s="2">
        <v>2400</v>
      </c>
      <c r="P2295" t="str">
        <f>"$"</f>
        <v>$</v>
      </c>
      <c r="Q2295" t="str">
        <f>"118"</f>
        <v>118</v>
      </c>
      <c r="R2295" t="str">
        <f>"מערכות"</f>
        <v>מערכות</v>
      </c>
      <c r="S2295" t="str">
        <f>"040"</f>
        <v>040</v>
      </c>
      <c r="T2295" t="str">
        <f>"עמר ליגל"</f>
        <v>עמר ליגל</v>
      </c>
      <c r="U2295">
        <v>0</v>
      </c>
      <c r="V2295">
        <v>0</v>
      </c>
      <c r="W2295" s="2">
        <v>2400</v>
      </c>
      <c r="X2295" s="2">
        <v>2400</v>
      </c>
      <c r="Z2295" t="str">
        <f>"Y"</f>
        <v>Y</v>
      </c>
      <c r="AA2295">
        <v>1</v>
      </c>
      <c r="AC2295">
        <v>0</v>
      </c>
      <c r="AE2295">
        <v>0</v>
      </c>
      <c r="AF2295">
        <v>0</v>
      </c>
      <c r="AG2295" s="2">
        <v>8428.7999999999993</v>
      </c>
      <c r="AH2295">
        <v>0</v>
      </c>
      <c r="AI2295" s="2">
        <v>8428.7999999999993</v>
      </c>
      <c r="AJ2295" s="2">
        <v>2400</v>
      </c>
      <c r="AK2295" s="2">
        <v>2400</v>
      </c>
      <c r="AL2295" t="str">
        <f>"$"</f>
        <v>$</v>
      </c>
    </row>
    <row r="2296" spans="1:38" x14ac:dyDescent="0.3">
      <c r="A2296" t="str">
        <f>"SO22000489"</f>
        <v>SO22000489</v>
      </c>
      <c r="B2296" t="str">
        <f>"E000382417"</f>
        <v>E000382417</v>
      </c>
      <c r="C2296" t="str">
        <f>"מאושרת לחיוב"</f>
        <v>מאושרת לחיוב</v>
      </c>
      <c r="E2296" s="3">
        <v>44922</v>
      </c>
      <c r="F2296" s="3">
        <v>45006</v>
      </c>
      <c r="G2296" t="str">
        <f>"700065"</f>
        <v>700065</v>
      </c>
      <c r="H2296" t="str">
        <f>"אלתא מערכות בע""מ"</f>
        <v>אלתא מערכות בע"מ</v>
      </c>
      <c r="I2296" t="str">
        <f>"רחמים זרוק"</f>
        <v>רחמים זרוק</v>
      </c>
      <c r="J2296" t="str">
        <f>"000"</f>
        <v>000</v>
      </c>
      <c r="K2296" s="1" t="str">
        <f>"החלפת UPS 1 באתר הלקוח בצ'כיה"</f>
        <v>החלפת UPS 1 באתר הלקוח בצ'כיה</v>
      </c>
      <c r="L2296">
        <v>1</v>
      </c>
      <c r="M2296" t="str">
        <f>"PR22000694"</f>
        <v>PR22000694</v>
      </c>
      <c r="N2296" t="str">
        <f>"תיקון תקלות בצכיה נובמבר 22"</f>
        <v>תיקון תקלות בצכיה נובמבר 22</v>
      </c>
      <c r="O2296" s="2">
        <v>14400</v>
      </c>
      <c r="P2296" t="str">
        <f>"$"</f>
        <v>$</v>
      </c>
      <c r="Q2296" t="str">
        <f>"118"</f>
        <v>118</v>
      </c>
      <c r="R2296" t="str">
        <f>"מערכות"</f>
        <v>מערכות</v>
      </c>
      <c r="S2296" t="str">
        <f>"040"</f>
        <v>040</v>
      </c>
      <c r="T2296" t="str">
        <f>"עמר ליגל"</f>
        <v>עמר ליגל</v>
      </c>
      <c r="U2296">
        <v>0</v>
      </c>
      <c r="V2296">
        <v>0</v>
      </c>
      <c r="W2296" s="2">
        <v>14400</v>
      </c>
      <c r="X2296" s="2">
        <v>14400</v>
      </c>
      <c r="Z2296" t="str">
        <f>"Y"</f>
        <v>Y</v>
      </c>
      <c r="AA2296">
        <v>1</v>
      </c>
      <c r="AC2296">
        <v>0</v>
      </c>
      <c r="AE2296">
        <v>0</v>
      </c>
      <c r="AF2296">
        <v>0</v>
      </c>
      <c r="AG2296" s="2">
        <v>50572.800000000003</v>
      </c>
      <c r="AH2296">
        <v>0</v>
      </c>
      <c r="AI2296" s="2">
        <v>50572.800000000003</v>
      </c>
      <c r="AJ2296" s="2">
        <v>14400</v>
      </c>
      <c r="AK2296" s="2">
        <v>14400</v>
      </c>
      <c r="AL2296" t="str">
        <f>"$"</f>
        <v>$</v>
      </c>
    </row>
    <row r="2297" spans="1:38" x14ac:dyDescent="0.3">
      <c r="A2297" t="str">
        <f>"SO22000489"</f>
        <v>SO22000489</v>
      </c>
      <c r="B2297" t="str">
        <f>"E000382417"</f>
        <v>E000382417</v>
      </c>
      <c r="C2297" t="str">
        <f>"מאושרת לחיוב"</f>
        <v>מאושרת לחיוב</v>
      </c>
      <c r="E2297" s="3">
        <v>44922</v>
      </c>
      <c r="F2297" s="3">
        <v>45053</v>
      </c>
      <c r="G2297" t="str">
        <f>"700065"</f>
        <v>700065</v>
      </c>
      <c r="H2297" t="str">
        <f>"אלתא מערכות בע""מ"</f>
        <v>אלתא מערכות בע"מ</v>
      </c>
      <c r="I2297" t="str">
        <f>"רחמים זרוק"</f>
        <v>רחמים זרוק</v>
      </c>
      <c r="J2297" t="str">
        <f>"000"</f>
        <v>000</v>
      </c>
      <c r="K2297" s="1" t="str">
        <f>"מארז מחשוב PDB1+UPS מערכת 7"</f>
        <v>מארז מחשוב PDB1+UPS מערכת 7</v>
      </c>
      <c r="L2297">
        <v>1</v>
      </c>
      <c r="O2297" s="2">
        <v>2950</v>
      </c>
      <c r="P2297" t="str">
        <f>"$"</f>
        <v>$</v>
      </c>
      <c r="Q2297" t="str">
        <f>"118"</f>
        <v>118</v>
      </c>
      <c r="R2297" t="str">
        <f>"מערכות"</f>
        <v>מערכות</v>
      </c>
      <c r="S2297" t="str">
        <f>"040"</f>
        <v>040</v>
      </c>
      <c r="T2297" t="str">
        <f>"עמר ליגל"</f>
        <v>עמר ליגל</v>
      </c>
      <c r="U2297">
        <v>0</v>
      </c>
      <c r="V2297">
        <v>0</v>
      </c>
      <c r="W2297" s="2">
        <v>2950</v>
      </c>
      <c r="X2297" s="2">
        <v>2950</v>
      </c>
      <c r="Z2297" t="str">
        <f>"Y"</f>
        <v>Y</v>
      </c>
      <c r="AA2297">
        <v>1</v>
      </c>
      <c r="AC2297">
        <v>0</v>
      </c>
      <c r="AE2297">
        <v>0</v>
      </c>
      <c r="AF2297">
        <v>0</v>
      </c>
      <c r="AG2297" s="2">
        <v>10360.4</v>
      </c>
      <c r="AH2297">
        <v>0</v>
      </c>
      <c r="AI2297" s="2">
        <v>10360.4</v>
      </c>
      <c r="AJ2297" s="2">
        <v>2950</v>
      </c>
      <c r="AK2297" s="2">
        <v>2950</v>
      </c>
      <c r="AL2297" t="str">
        <f>"$"</f>
        <v>$</v>
      </c>
    </row>
    <row r="2298" spans="1:38" x14ac:dyDescent="0.3">
      <c r="A2298" t="str">
        <f>"SO22000489"</f>
        <v>SO22000489</v>
      </c>
      <c r="B2298" t="str">
        <f>"E000382417"</f>
        <v>E000382417</v>
      </c>
      <c r="C2298" t="str">
        <f>"מאושרת לחיוב"</f>
        <v>מאושרת לחיוב</v>
      </c>
      <c r="E2298" s="3">
        <v>44922</v>
      </c>
      <c r="F2298" s="3">
        <v>45053</v>
      </c>
      <c r="G2298" t="str">
        <f>"700065"</f>
        <v>700065</v>
      </c>
      <c r="H2298" t="str">
        <f>"אלתא מערכות בע""מ"</f>
        <v>אלתא מערכות בע"מ</v>
      </c>
      <c r="I2298" t="str">
        <f>"רחמים זרוק"</f>
        <v>רחמים זרוק</v>
      </c>
      <c r="J2298" t="str">
        <f>"000"</f>
        <v>000</v>
      </c>
      <c r="K2298" s="1" t="str">
        <f>"מארז מחשוב PDB1+UPS מערכת 8"</f>
        <v>מארז מחשוב PDB1+UPS מערכת 8</v>
      </c>
      <c r="L2298">
        <v>1</v>
      </c>
      <c r="O2298" s="2">
        <v>2400</v>
      </c>
      <c r="P2298" t="str">
        <f>"$"</f>
        <v>$</v>
      </c>
      <c r="Q2298" t="str">
        <f>"118"</f>
        <v>118</v>
      </c>
      <c r="R2298" t="str">
        <f>"מערכות"</f>
        <v>מערכות</v>
      </c>
      <c r="S2298" t="str">
        <f>"040"</f>
        <v>040</v>
      </c>
      <c r="T2298" t="str">
        <f>"עמר ליגל"</f>
        <v>עמר ליגל</v>
      </c>
      <c r="U2298">
        <v>0</v>
      </c>
      <c r="V2298">
        <v>0</v>
      </c>
      <c r="W2298" s="2">
        <v>2400</v>
      </c>
      <c r="X2298" s="2">
        <v>2400</v>
      </c>
      <c r="AA2298">
        <v>1</v>
      </c>
      <c r="AC2298">
        <v>0</v>
      </c>
      <c r="AE2298">
        <v>0</v>
      </c>
      <c r="AF2298">
        <v>0</v>
      </c>
      <c r="AG2298" s="2">
        <v>8428.7999999999993</v>
      </c>
      <c r="AH2298">
        <v>0</v>
      </c>
      <c r="AI2298" s="2">
        <v>8428.7999999999993</v>
      </c>
      <c r="AJ2298" s="2">
        <v>2400</v>
      </c>
      <c r="AK2298" s="2">
        <v>2400</v>
      </c>
      <c r="AL2298" t="str">
        <f>"$"</f>
        <v>$</v>
      </c>
    </row>
    <row r="2299" spans="1:38" x14ac:dyDescent="0.3">
      <c r="A2299" t="str">
        <f>"SO22000490"</f>
        <v>SO22000490</v>
      </c>
      <c r="B2299" t="str">
        <f>"E000380890"</f>
        <v>E000380890</v>
      </c>
      <c r="C2299" t="str">
        <f>"בסיום הרכבה"</f>
        <v>בסיום הרכבה</v>
      </c>
      <c r="E2299" s="3">
        <v>44922</v>
      </c>
      <c r="F2299" s="3">
        <v>45056</v>
      </c>
      <c r="G2299" t="str">
        <f>"700065"</f>
        <v>700065</v>
      </c>
      <c r="H2299" t="str">
        <f>"אלתא מערכות בע""מ"</f>
        <v>אלתא מערכות בע"מ</v>
      </c>
      <c r="I2299" t="str">
        <f>"רחמים זרוק"</f>
        <v>רחמים זרוק</v>
      </c>
      <c r="J2299" t="str">
        <f>"OP-AR03519"</f>
        <v>OP-AR03519</v>
      </c>
      <c r="K2299" s="1" t="str">
        <f>"9004A941-001    HARNESS W1941 - J1 POWER IN"</f>
        <v>9004A941-001    HARNESS W1941 - J1 POWER IN</v>
      </c>
      <c r="L2299">
        <v>1</v>
      </c>
      <c r="M2299" t="str">
        <f>"PR22000908"</f>
        <v>PR22000908</v>
      </c>
      <c r="N2299" t="str">
        <f>"E000380890"</f>
        <v>E000380890</v>
      </c>
      <c r="O2299">
        <v>282.19</v>
      </c>
      <c r="P2299" t="str">
        <f>"$"</f>
        <v>$</v>
      </c>
      <c r="Q2299" t="str">
        <f>"117"</f>
        <v>117</v>
      </c>
      <c r="R2299" t="str">
        <f>"רתמות"</f>
        <v>רתמות</v>
      </c>
      <c r="S2299" t="str">
        <f>"040"</f>
        <v>040</v>
      </c>
      <c r="T2299" t="str">
        <f>"עמר ליגל"</f>
        <v>עמר ליגל</v>
      </c>
      <c r="U2299">
        <v>0</v>
      </c>
      <c r="V2299">
        <v>0</v>
      </c>
      <c r="W2299">
        <v>282.19</v>
      </c>
      <c r="X2299">
        <v>282.19</v>
      </c>
      <c r="Z2299" t="str">
        <f>"Y"</f>
        <v>Y</v>
      </c>
      <c r="AA2299">
        <v>0</v>
      </c>
      <c r="AC2299">
        <v>0</v>
      </c>
      <c r="AE2299">
        <v>0</v>
      </c>
      <c r="AF2299">
        <v>0</v>
      </c>
      <c r="AG2299">
        <v>991.05</v>
      </c>
      <c r="AH2299">
        <v>0</v>
      </c>
      <c r="AI2299">
        <v>991.05</v>
      </c>
      <c r="AJ2299">
        <v>282.19</v>
      </c>
      <c r="AK2299">
        <v>282.19</v>
      </c>
      <c r="AL2299" t="str">
        <f>"$"</f>
        <v>$</v>
      </c>
    </row>
    <row r="2300" spans="1:38" x14ac:dyDescent="0.3">
      <c r="A2300" t="str">
        <f>"SO22000490"</f>
        <v>SO22000490</v>
      </c>
      <c r="B2300" t="str">
        <f>"E000380890"</f>
        <v>E000380890</v>
      </c>
      <c r="C2300" t="str">
        <f>"בסיום הרכבה"</f>
        <v>בסיום הרכבה</v>
      </c>
      <c r="E2300" s="3">
        <v>44922</v>
      </c>
      <c r="F2300" s="3">
        <v>45056</v>
      </c>
      <c r="G2300" t="str">
        <f>"700065"</f>
        <v>700065</v>
      </c>
      <c r="H2300" t="str">
        <f>"אלתא מערכות בע""מ"</f>
        <v>אלתא מערכות בע"מ</v>
      </c>
      <c r="I2300" t="str">
        <f>"רחמים זרוק"</f>
        <v>רחמים זרוק</v>
      </c>
      <c r="J2300" t="str">
        <f>"OP-AR03520"</f>
        <v>OP-AR03520</v>
      </c>
      <c r="K2300" s="1" t="str">
        <f>"9004A942-001    HARNESS W1942 - J2 POWER IN"</f>
        <v>9004A942-001    HARNESS W1942 - J2 POWER IN</v>
      </c>
      <c r="L2300">
        <v>1</v>
      </c>
      <c r="M2300" t="str">
        <f>"PR22000908"</f>
        <v>PR22000908</v>
      </c>
      <c r="N2300" t="str">
        <f>"E000380890"</f>
        <v>E000380890</v>
      </c>
      <c r="O2300">
        <v>457.69</v>
      </c>
      <c r="P2300" t="str">
        <f>"$"</f>
        <v>$</v>
      </c>
      <c r="Q2300" t="str">
        <f>"117"</f>
        <v>117</v>
      </c>
      <c r="R2300" t="str">
        <f>"רתמות"</f>
        <v>רתמות</v>
      </c>
      <c r="S2300" t="str">
        <f>"040"</f>
        <v>040</v>
      </c>
      <c r="T2300" t="str">
        <f>"עמר ליגל"</f>
        <v>עמר ליגל</v>
      </c>
      <c r="U2300">
        <v>0</v>
      </c>
      <c r="V2300">
        <v>0</v>
      </c>
      <c r="W2300">
        <v>457.69</v>
      </c>
      <c r="X2300">
        <v>457.69</v>
      </c>
      <c r="Z2300" t="str">
        <f>"Y"</f>
        <v>Y</v>
      </c>
      <c r="AA2300">
        <v>0</v>
      </c>
      <c r="AC2300">
        <v>0</v>
      </c>
      <c r="AE2300">
        <v>0</v>
      </c>
      <c r="AF2300">
        <v>0</v>
      </c>
      <c r="AG2300" s="2">
        <v>1607.41</v>
      </c>
      <c r="AH2300">
        <v>0</v>
      </c>
      <c r="AI2300" s="2">
        <v>1607.41</v>
      </c>
      <c r="AJ2300">
        <v>457.69</v>
      </c>
      <c r="AK2300">
        <v>457.69</v>
      </c>
      <c r="AL2300" t="str">
        <f>"$"</f>
        <v>$</v>
      </c>
    </row>
    <row r="2301" spans="1:38" x14ac:dyDescent="0.3">
      <c r="A2301" t="str">
        <f>"SO22000490"</f>
        <v>SO22000490</v>
      </c>
      <c r="B2301" t="str">
        <f>"E000380890"</f>
        <v>E000380890</v>
      </c>
      <c r="C2301" t="str">
        <f>"בסיום הרכבה"</f>
        <v>בסיום הרכבה</v>
      </c>
      <c r="E2301" s="3">
        <v>44922</v>
      </c>
      <c r="F2301" s="3">
        <v>45056</v>
      </c>
      <c r="G2301" t="str">
        <f>"700065"</f>
        <v>700065</v>
      </c>
      <c r="H2301" t="str">
        <f>"אלתא מערכות בע""מ"</f>
        <v>אלתא מערכות בע"מ</v>
      </c>
      <c r="I2301" t="str">
        <f>"רחמים זרוק"</f>
        <v>רחמים זרוק</v>
      </c>
      <c r="J2301" t="str">
        <f>"OP-AR03521"</f>
        <v>OP-AR03521</v>
      </c>
      <c r="K2301" s="1" t="str">
        <f>"9004A943-001    HARNESS W1943 - J3 POWER IN"</f>
        <v>9004A943-001    HARNESS W1943 - J3 POWER IN</v>
      </c>
      <c r="L2301">
        <v>1</v>
      </c>
      <c r="M2301" t="str">
        <f>"PR22000908"</f>
        <v>PR22000908</v>
      </c>
      <c r="N2301" t="str">
        <f>"E000380890"</f>
        <v>E000380890</v>
      </c>
      <c r="O2301">
        <v>450.89</v>
      </c>
      <c r="P2301" t="str">
        <f>"$"</f>
        <v>$</v>
      </c>
      <c r="Q2301" t="str">
        <f>"117"</f>
        <v>117</v>
      </c>
      <c r="R2301" t="str">
        <f>"רתמות"</f>
        <v>רתמות</v>
      </c>
      <c r="S2301" t="str">
        <f>"040"</f>
        <v>040</v>
      </c>
      <c r="T2301" t="str">
        <f>"עמר ליגל"</f>
        <v>עמר ליגל</v>
      </c>
      <c r="U2301">
        <v>0</v>
      </c>
      <c r="V2301">
        <v>0</v>
      </c>
      <c r="W2301">
        <v>450.89</v>
      </c>
      <c r="X2301">
        <v>450.89</v>
      </c>
      <c r="Z2301" t="str">
        <f>"Y"</f>
        <v>Y</v>
      </c>
      <c r="AA2301">
        <v>0</v>
      </c>
      <c r="AC2301">
        <v>0</v>
      </c>
      <c r="AE2301">
        <v>0</v>
      </c>
      <c r="AF2301">
        <v>0</v>
      </c>
      <c r="AG2301" s="2">
        <v>1583.53</v>
      </c>
      <c r="AH2301">
        <v>0</v>
      </c>
      <c r="AI2301" s="2">
        <v>1583.53</v>
      </c>
      <c r="AJ2301">
        <v>450.89</v>
      </c>
      <c r="AK2301">
        <v>450.89</v>
      </c>
      <c r="AL2301" t="str">
        <f>"$"</f>
        <v>$</v>
      </c>
    </row>
    <row r="2302" spans="1:38" x14ac:dyDescent="0.3">
      <c r="A2302" t="str">
        <f>"SO22000490"</f>
        <v>SO22000490</v>
      </c>
      <c r="B2302" t="str">
        <f>"E000380890"</f>
        <v>E000380890</v>
      </c>
      <c r="C2302" t="str">
        <f>"בסיום הרכבה"</f>
        <v>בסיום הרכבה</v>
      </c>
      <c r="E2302" s="3">
        <v>44922</v>
      </c>
      <c r="F2302" s="3">
        <v>45056</v>
      </c>
      <c r="G2302" t="str">
        <f>"700065"</f>
        <v>700065</v>
      </c>
      <c r="H2302" t="str">
        <f>"אלתא מערכות בע""מ"</f>
        <v>אלתא מערכות בע"מ</v>
      </c>
      <c r="I2302" t="str">
        <f>"רחמים זרוק"</f>
        <v>רחמים זרוק</v>
      </c>
      <c r="J2302" t="str">
        <f>"OP-AR03522"</f>
        <v>OP-AR03522</v>
      </c>
      <c r="K2302" s="1" t="str">
        <f>"9004A944-001    HARNESS W1944 - PDB CONTROL AND DATA"</f>
        <v>9004A944-001    HARNESS W1944 - PDB CONTROL AND DATA</v>
      </c>
      <c r="L2302">
        <v>1</v>
      </c>
      <c r="M2302" t="str">
        <f>"PR22000908"</f>
        <v>PR22000908</v>
      </c>
      <c r="N2302" t="str">
        <f>"E000380890"</f>
        <v>E000380890</v>
      </c>
      <c r="O2302">
        <v>570.54999999999995</v>
      </c>
      <c r="P2302" t="str">
        <f>"$"</f>
        <v>$</v>
      </c>
      <c r="Q2302" t="str">
        <f>"117"</f>
        <v>117</v>
      </c>
      <c r="R2302" t="str">
        <f>"רתמות"</f>
        <v>רתמות</v>
      </c>
      <c r="S2302" t="str">
        <f>"040"</f>
        <v>040</v>
      </c>
      <c r="T2302" t="str">
        <f>"עמר ליגל"</f>
        <v>עמר ליגל</v>
      </c>
      <c r="U2302">
        <v>0</v>
      </c>
      <c r="V2302">
        <v>0</v>
      </c>
      <c r="W2302">
        <v>570.54999999999995</v>
      </c>
      <c r="X2302">
        <v>570.54999999999995</v>
      </c>
      <c r="Z2302" t="str">
        <f>"Y"</f>
        <v>Y</v>
      </c>
      <c r="AA2302">
        <v>0</v>
      </c>
      <c r="AC2302">
        <v>0</v>
      </c>
      <c r="AE2302">
        <v>0</v>
      </c>
      <c r="AF2302">
        <v>0</v>
      </c>
      <c r="AG2302" s="2">
        <v>2003.77</v>
      </c>
      <c r="AH2302">
        <v>0</v>
      </c>
      <c r="AI2302" s="2">
        <v>2003.77</v>
      </c>
      <c r="AJ2302">
        <v>570.54999999999995</v>
      </c>
      <c r="AK2302">
        <v>570.54999999999995</v>
      </c>
      <c r="AL2302" t="str">
        <f>"$"</f>
        <v>$</v>
      </c>
    </row>
    <row r="2303" spans="1:38" x14ac:dyDescent="0.3">
      <c r="A2303" t="str">
        <f>"SO22000490"</f>
        <v>SO22000490</v>
      </c>
      <c r="B2303" t="str">
        <f>"E000380890"</f>
        <v>E000380890</v>
      </c>
      <c r="C2303" t="str">
        <f>"בסיום הרכבה"</f>
        <v>בסיום הרכבה</v>
      </c>
      <c r="E2303" s="3">
        <v>44922</v>
      </c>
      <c r="F2303" s="3">
        <v>45056</v>
      </c>
      <c r="G2303" t="str">
        <f>"700065"</f>
        <v>700065</v>
      </c>
      <c r="H2303" t="str">
        <f>"אלתא מערכות בע""מ"</f>
        <v>אלתא מערכות בע"מ</v>
      </c>
      <c r="I2303" t="str">
        <f>"רחמים זרוק"</f>
        <v>רחמים זרוק</v>
      </c>
      <c r="J2303" t="str">
        <f>"OP-AR03523"</f>
        <v>OP-AR03523</v>
      </c>
      <c r="K2303" s="1" t="str">
        <f>"9004A946-001    HARNESS W1946 - J6 POWER OUT"</f>
        <v>9004A946-001    HARNESS W1946 - J6 POWER OUT</v>
      </c>
      <c r="L2303">
        <v>1</v>
      </c>
      <c r="M2303" t="str">
        <f>"PR22000908"</f>
        <v>PR22000908</v>
      </c>
      <c r="N2303" t="str">
        <f>"E000380890"</f>
        <v>E000380890</v>
      </c>
      <c r="O2303">
        <v>262.36</v>
      </c>
      <c r="P2303" t="str">
        <f>"$"</f>
        <v>$</v>
      </c>
      <c r="Q2303" t="str">
        <f>"117"</f>
        <v>117</v>
      </c>
      <c r="R2303" t="str">
        <f>"רתמות"</f>
        <v>רתמות</v>
      </c>
      <c r="S2303" t="str">
        <f>"040"</f>
        <v>040</v>
      </c>
      <c r="T2303" t="str">
        <f>"עמר ליגל"</f>
        <v>עמר ליגל</v>
      </c>
      <c r="U2303">
        <v>0</v>
      </c>
      <c r="V2303">
        <v>0</v>
      </c>
      <c r="W2303">
        <v>262.36</v>
      </c>
      <c r="X2303">
        <v>262.36</v>
      </c>
      <c r="Z2303" t="str">
        <f>"Y"</f>
        <v>Y</v>
      </c>
      <c r="AA2303">
        <v>0</v>
      </c>
      <c r="AC2303">
        <v>0</v>
      </c>
      <c r="AE2303">
        <v>0</v>
      </c>
      <c r="AF2303">
        <v>0</v>
      </c>
      <c r="AG2303">
        <v>921.41</v>
      </c>
      <c r="AH2303">
        <v>0</v>
      </c>
      <c r="AI2303">
        <v>921.41</v>
      </c>
      <c r="AJ2303">
        <v>262.36</v>
      </c>
      <c r="AK2303">
        <v>262.36</v>
      </c>
      <c r="AL2303" t="str">
        <f>"$"</f>
        <v>$</v>
      </c>
    </row>
    <row r="2304" spans="1:38" x14ac:dyDescent="0.3">
      <c r="A2304" t="str">
        <f>"SO22000490"</f>
        <v>SO22000490</v>
      </c>
      <c r="B2304" t="str">
        <f>"E000380890"</f>
        <v>E000380890</v>
      </c>
      <c r="C2304" t="str">
        <f>"בסיום הרכבה"</f>
        <v>בסיום הרכבה</v>
      </c>
      <c r="E2304" s="3">
        <v>44922</v>
      </c>
      <c r="F2304" s="3">
        <v>45056</v>
      </c>
      <c r="G2304" t="str">
        <f>"700065"</f>
        <v>700065</v>
      </c>
      <c r="H2304" t="str">
        <f>"אלתא מערכות בע""מ"</f>
        <v>אלתא מערכות בע"מ</v>
      </c>
      <c r="I2304" t="str">
        <f>"רחמים זרוק"</f>
        <v>רחמים זרוק</v>
      </c>
      <c r="J2304" t="str">
        <f>"OP-AR03524"</f>
        <v>OP-AR03524</v>
      </c>
      <c r="K2304" s="1" t="str">
        <f>"9004A947-001    HARNESS W1947 - J7 POWER OUT"</f>
        <v>9004A947-001    HARNESS W1947 - J7 POWER OUT</v>
      </c>
      <c r="L2304">
        <v>1</v>
      </c>
      <c r="M2304" t="str">
        <f>"PR22000908"</f>
        <v>PR22000908</v>
      </c>
      <c r="N2304" t="str">
        <f>"E000380890"</f>
        <v>E000380890</v>
      </c>
      <c r="O2304">
        <v>301.23</v>
      </c>
      <c r="P2304" t="str">
        <f>"$"</f>
        <v>$</v>
      </c>
      <c r="Q2304" t="str">
        <f>"117"</f>
        <v>117</v>
      </c>
      <c r="R2304" t="str">
        <f>"רתמות"</f>
        <v>רתמות</v>
      </c>
      <c r="S2304" t="str">
        <f>"040"</f>
        <v>040</v>
      </c>
      <c r="T2304" t="str">
        <f>"עמר ליגל"</f>
        <v>עמר ליגל</v>
      </c>
      <c r="U2304">
        <v>0</v>
      </c>
      <c r="V2304">
        <v>0</v>
      </c>
      <c r="W2304">
        <v>301.23</v>
      </c>
      <c r="X2304">
        <v>301.23</v>
      </c>
      <c r="Z2304" t="str">
        <f>"Y"</f>
        <v>Y</v>
      </c>
      <c r="AA2304">
        <v>0</v>
      </c>
      <c r="AC2304">
        <v>0</v>
      </c>
      <c r="AE2304">
        <v>0</v>
      </c>
      <c r="AF2304">
        <v>0</v>
      </c>
      <c r="AG2304" s="2">
        <v>1057.92</v>
      </c>
      <c r="AH2304">
        <v>0</v>
      </c>
      <c r="AI2304" s="2">
        <v>1057.92</v>
      </c>
      <c r="AJ2304">
        <v>301.23</v>
      </c>
      <c r="AK2304">
        <v>301.23</v>
      </c>
      <c r="AL2304" t="str">
        <f>"$"</f>
        <v>$</v>
      </c>
    </row>
    <row r="2305" spans="1:38" x14ac:dyDescent="0.3">
      <c r="A2305" t="str">
        <f>"SO22000491"</f>
        <v>SO22000491</v>
      </c>
      <c r="B2305" t="str">
        <f>"E000381300"</f>
        <v>E000381300</v>
      </c>
      <c r="C2305" t="str">
        <f>"בוצעה"</f>
        <v>בוצעה</v>
      </c>
      <c r="E2305" s="3">
        <v>44922</v>
      </c>
      <c r="F2305" s="3">
        <v>45031</v>
      </c>
      <c r="G2305" t="str">
        <f>"700065"</f>
        <v>700065</v>
      </c>
      <c r="H2305" t="str">
        <f>"אלתא מערכות בע""מ"</f>
        <v>אלתא מערכות בע"מ</v>
      </c>
      <c r="I2305" t="str">
        <f>"רוני דידי"</f>
        <v>רוני דידי</v>
      </c>
      <c r="J2305" t="str">
        <f>"OP-AR00467"</f>
        <v>OP-AR00467</v>
      </c>
      <c r="K2305" s="1" t="str">
        <f>"AC PCU CONTROL BOX"</f>
        <v>AC PCU CONTROL BOX</v>
      </c>
      <c r="L2305">
        <v>2</v>
      </c>
      <c r="M2305" t="str">
        <f>"PR22000881"</f>
        <v>PR22000881</v>
      </c>
      <c r="N2305" t="str">
        <f>"AC PCU CONTROL BOX"</f>
        <v>AC PCU CONTROL BOX</v>
      </c>
      <c r="O2305" s="2">
        <v>4250</v>
      </c>
      <c r="P2305" t="str">
        <f>"$"</f>
        <v>$</v>
      </c>
      <c r="Q2305" t="str">
        <f>"118"</f>
        <v>118</v>
      </c>
      <c r="R2305" t="str">
        <f>"מערכות"</f>
        <v>מערכות</v>
      </c>
      <c r="S2305" t="str">
        <f>"007"</f>
        <v>007</v>
      </c>
      <c r="T2305" t="str">
        <f>"עמר ליגל"</f>
        <v>עמר ליגל</v>
      </c>
      <c r="U2305">
        <v>0</v>
      </c>
      <c r="V2305">
        <v>0</v>
      </c>
      <c r="W2305" s="2">
        <v>4250</v>
      </c>
      <c r="X2305" s="2">
        <v>8500</v>
      </c>
      <c r="Z2305" t="str">
        <f>"Y"</f>
        <v>Y</v>
      </c>
      <c r="AA2305">
        <v>0</v>
      </c>
      <c r="AC2305">
        <v>0</v>
      </c>
      <c r="AE2305">
        <v>0</v>
      </c>
      <c r="AF2305">
        <v>0</v>
      </c>
      <c r="AG2305" s="2">
        <v>14926</v>
      </c>
      <c r="AH2305">
        <v>0</v>
      </c>
      <c r="AI2305" s="2">
        <v>29852</v>
      </c>
      <c r="AJ2305" s="2">
        <v>8500</v>
      </c>
      <c r="AK2305" s="2">
        <v>8500</v>
      </c>
      <c r="AL2305" t="str">
        <f>"$"</f>
        <v>$</v>
      </c>
    </row>
    <row r="2306" spans="1:38" x14ac:dyDescent="0.3">
      <c r="A2306" t="str">
        <f>"SO22000499"</f>
        <v>SO22000499</v>
      </c>
      <c r="B2306" t="str">
        <f>"E000382365"</f>
        <v>E000382365</v>
      </c>
      <c r="C2306" t="str">
        <f>"מאושרת לבצוע"</f>
        <v>מאושרת לבצוע</v>
      </c>
      <c r="E2306" s="3">
        <v>44924</v>
      </c>
      <c r="F2306" s="3">
        <v>45046</v>
      </c>
      <c r="G2306" t="str">
        <f>"700065"</f>
        <v>700065</v>
      </c>
      <c r="H2306" t="str">
        <f>"אלתא מערכות בע""מ"</f>
        <v>אלתא מערכות בע"מ</v>
      </c>
      <c r="I2306" t="str">
        <f>"רוני דידי"</f>
        <v>רוני דידי</v>
      </c>
      <c r="J2306" t="str">
        <f>"OP-KT00119"</f>
        <v>OP-KT00119</v>
      </c>
      <c r="K2306" s="1" t="str">
        <f>"1038C878-001 - SPARE PARTS KIT FOR RECTIFIER RACK"</f>
        <v>1038C878-001 - SPARE PARTS KIT FOR RECTIFIER RACK</v>
      </c>
      <c r="L2306">
        <v>1</v>
      </c>
      <c r="M2306" t="str">
        <f>"PR22000929"</f>
        <v>PR22000929</v>
      </c>
      <c r="N2306" t="str">
        <f>"אספקת קיט E000382365"</f>
        <v>אספקת קיט E000382365</v>
      </c>
      <c r="O2306" s="2">
        <v>7541.71</v>
      </c>
      <c r="P2306" t="str">
        <f>"$"</f>
        <v>$</v>
      </c>
      <c r="Q2306" t="str">
        <f>"118"</f>
        <v>118</v>
      </c>
      <c r="R2306" t="str">
        <f>"מערכות"</f>
        <v>מערכות</v>
      </c>
      <c r="S2306" t="str">
        <f>"007"</f>
        <v>007</v>
      </c>
      <c r="T2306" t="str">
        <f>"עמר ליגל"</f>
        <v>עמר ליגל</v>
      </c>
      <c r="U2306">
        <v>0</v>
      </c>
      <c r="V2306">
        <v>0</v>
      </c>
      <c r="W2306" s="2">
        <v>7541.71</v>
      </c>
      <c r="X2306" s="2">
        <v>7541.71</v>
      </c>
      <c r="AA2306">
        <v>1</v>
      </c>
      <c r="AC2306">
        <v>0</v>
      </c>
      <c r="AE2306">
        <v>0</v>
      </c>
      <c r="AF2306">
        <v>0</v>
      </c>
      <c r="AG2306" s="2">
        <v>26629.78</v>
      </c>
      <c r="AH2306">
        <v>0</v>
      </c>
      <c r="AI2306" s="2">
        <v>26629.78</v>
      </c>
      <c r="AJ2306" s="2">
        <v>7541.71</v>
      </c>
      <c r="AK2306" s="2">
        <v>7541.71</v>
      </c>
      <c r="AL2306" t="str">
        <f>"$"</f>
        <v>$</v>
      </c>
    </row>
    <row r="2307" spans="1:38" x14ac:dyDescent="0.3">
      <c r="A2307" t="str">
        <f>"SO23000021"</f>
        <v>SO23000021</v>
      </c>
      <c r="B2307" t="str">
        <f>"השאלת פריטים"</f>
        <v>השאלת פריטים</v>
      </c>
      <c r="C2307" t="str">
        <f>"בוצעה"</f>
        <v>בוצעה</v>
      </c>
      <c r="E2307" s="3">
        <v>44928</v>
      </c>
      <c r="F2307" s="3">
        <v>44928</v>
      </c>
      <c r="G2307" t="str">
        <f>"700065"</f>
        <v>700065</v>
      </c>
      <c r="H2307" t="str">
        <f>"אלתא מערכות בע""מ"</f>
        <v>אלתא מערכות בע"מ</v>
      </c>
      <c r="I2307" t="str">
        <f>"ערן שלו"</f>
        <v>ערן שלו</v>
      </c>
      <c r="J2307" t="str">
        <f>"PS0200167"</f>
        <v>PS0200167</v>
      </c>
      <c r="K2307" s="1" t="str">
        <f>"מטען מצברים AQHF48-25 WP SLA AQTRON HF CHARGER IP67 48V 25A"</f>
        <v>מטען מצברים AQHF48-25 WP SLA AQTRON HF CHARGER IP67 48V 25A</v>
      </c>
      <c r="L2307">
        <v>1</v>
      </c>
      <c r="O2307">
        <v>0</v>
      </c>
      <c r="P2307" t="str">
        <f>"$"</f>
        <v>$</v>
      </c>
      <c r="Q2307" t="str">
        <f>"118"</f>
        <v>118</v>
      </c>
      <c r="R2307" t="str">
        <f>"מערכות"</f>
        <v>מערכות</v>
      </c>
      <c r="S2307" t="str">
        <f>"034"</f>
        <v>034</v>
      </c>
      <c r="T2307" t="str">
        <f>"עמר ליגל"</f>
        <v>עמר ליגל</v>
      </c>
      <c r="U2307">
        <v>0</v>
      </c>
      <c r="V2307">
        <v>0</v>
      </c>
      <c r="W2307">
        <v>0</v>
      </c>
      <c r="X2307">
        <v>0</v>
      </c>
      <c r="Z2307" t="str">
        <f>"Y"</f>
        <v>Y</v>
      </c>
      <c r="AA2307">
        <v>0</v>
      </c>
      <c r="AC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 t="str">
        <f>"$"</f>
        <v>$</v>
      </c>
    </row>
    <row r="2308" spans="1:38" x14ac:dyDescent="0.3">
      <c r="A2308" t="str">
        <f>"SO23000021"</f>
        <v>SO23000021</v>
      </c>
      <c r="B2308" t="str">
        <f>"השאלת פריטים"</f>
        <v>השאלת פריטים</v>
      </c>
      <c r="C2308" t="str">
        <f>"בוצעה"</f>
        <v>בוצעה</v>
      </c>
      <c r="E2308" s="3">
        <v>44928</v>
      </c>
      <c r="F2308" s="3">
        <v>44928</v>
      </c>
      <c r="G2308" t="str">
        <f>"700065"</f>
        <v>700065</v>
      </c>
      <c r="H2308" t="str">
        <f>"אלתא מערכות בע""מ"</f>
        <v>אלתא מערכות בע"מ</v>
      </c>
      <c r="I2308" t="str">
        <f>"ערן שלו"</f>
        <v>ערן שלו</v>
      </c>
      <c r="J2308" t="str">
        <f>"PA0300153"</f>
        <v>PA0300153</v>
      </c>
      <c r="K2308" s="1" t="str">
        <f>"NKK Switches S6AW TOGGLE DPDT ON-NON-ON 2P IP67 10A 250V"</f>
        <v>NKK Switches S6AW TOGGLE DPDT ON-NON-ON 2P IP67 10A 250V</v>
      </c>
      <c r="L2308">
        <v>1</v>
      </c>
      <c r="O2308">
        <v>0</v>
      </c>
      <c r="P2308" t="str">
        <f>"$"</f>
        <v>$</v>
      </c>
      <c r="Q2308" t="str">
        <f>"118"</f>
        <v>118</v>
      </c>
      <c r="R2308" t="str">
        <f>"מערכות"</f>
        <v>מערכות</v>
      </c>
      <c r="S2308" t="str">
        <f>"034"</f>
        <v>034</v>
      </c>
      <c r="T2308" t="str">
        <f>"עמר ליגל"</f>
        <v>עמר ליגל</v>
      </c>
      <c r="U2308">
        <v>0</v>
      </c>
      <c r="V2308">
        <v>0</v>
      </c>
      <c r="W2308">
        <v>0</v>
      </c>
      <c r="X2308">
        <v>0</v>
      </c>
      <c r="Z2308" t="str">
        <f>"Y"</f>
        <v>Y</v>
      </c>
      <c r="AA2308">
        <v>0</v>
      </c>
      <c r="AC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 t="str">
        <f>"$"</f>
        <v>$</v>
      </c>
    </row>
    <row r="2309" spans="1:38" x14ac:dyDescent="0.3">
      <c r="A2309" t="str">
        <f>"SO23000021"</f>
        <v>SO23000021</v>
      </c>
      <c r="B2309" t="str">
        <f>"השאלת פריטים"</f>
        <v>השאלת פריטים</v>
      </c>
      <c r="C2309" t="str">
        <f>"בוצעה"</f>
        <v>בוצעה</v>
      </c>
      <c r="E2309" s="3">
        <v>44928</v>
      </c>
      <c r="F2309" s="3">
        <v>44928</v>
      </c>
      <c r="G2309" t="str">
        <f>"700065"</f>
        <v>700065</v>
      </c>
      <c r="H2309" t="str">
        <f>"אלתא מערכות בע""מ"</f>
        <v>אלתא מערכות בע"מ</v>
      </c>
      <c r="I2309" t="str">
        <f>"ערן שלו"</f>
        <v>ערן שלו</v>
      </c>
      <c r="J2309" t="str">
        <f>"GT0800066"</f>
        <v>GT0800066</v>
      </c>
      <c r="K2309" s="1" t="str">
        <f>"גוף תאורה LED 24VDC WAS 729"</f>
        <v>גוף תאורה LED 24VDC WAS 729</v>
      </c>
      <c r="L2309">
        <v>1</v>
      </c>
      <c r="O2309">
        <v>0</v>
      </c>
      <c r="P2309" t="str">
        <f>"$"</f>
        <v>$</v>
      </c>
      <c r="Q2309" t="str">
        <f>"118"</f>
        <v>118</v>
      </c>
      <c r="R2309" t="str">
        <f>"מערכות"</f>
        <v>מערכות</v>
      </c>
      <c r="S2309" t="str">
        <f>"034"</f>
        <v>034</v>
      </c>
      <c r="T2309" t="str">
        <f>"עמר ליגל"</f>
        <v>עמר ליגל</v>
      </c>
      <c r="U2309">
        <v>0</v>
      </c>
      <c r="V2309">
        <v>0</v>
      </c>
      <c r="W2309">
        <v>0</v>
      </c>
      <c r="X2309">
        <v>0</v>
      </c>
      <c r="Z2309" t="str">
        <f>"Y"</f>
        <v>Y</v>
      </c>
      <c r="AA2309">
        <v>0</v>
      </c>
      <c r="AC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 t="str">
        <f>"$"</f>
        <v>$</v>
      </c>
    </row>
    <row r="2310" spans="1:38" x14ac:dyDescent="0.3">
      <c r="A2310" t="str">
        <f>"SO23000030"</f>
        <v>SO23000030</v>
      </c>
      <c r="C2310" t="str">
        <f>"מאושרת לחיוב"</f>
        <v>מאושרת לחיוב</v>
      </c>
      <c r="E2310" s="3">
        <v>44929</v>
      </c>
      <c r="F2310" s="3">
        <v>44929</v>
      </c>
      <c r="G2310" t="str">
        <f>"700065"</f>
        <v>700065</v>
      </c>
      <c r="H2310" t="str">
        <f>"אלתא מערכות בע""מ"</f>
        <v>אלתא מערכות בע"מ</v>
      </c>
      <c r="I2310" t="str">
        <f>"ערן שלו"</f>
        <v>ערן שלו</v>
      </c>
      <c r="J2310" t="str">
        <f>"OP-PS00165"</f>
        <v>OP-PS00165</v>
      </c>
      <c r="K2310" s="1" t="str">
        <f>"COMP RACK NUPS"</f>
        <v>COMP RACK NUPS</v>
      </c>
      <c r="L2310">
        <v>8</v>
      </c>
      <c r="M2310" t="str">
        <f>"PR22000854"</f>
        <v>PR22000854</v>
      </c>
      <c r="N2310" t="str">
        <f>"שדרוג מארזי מחשוב צכיה"</f>
        <v>שדרוג מארזי מחשוב צכיה</v>
      </c>
      <c r="O2310">
        <v>0</v>
      </c>
      <c r="P2310" t="str">
        <f>"$"</f>
        <v>$</v>
      </c>
      <c r="Q2310" t="str">
        <f>"070"</f>
        <v>070</v>
      </c>
      <c r="R2310" t="str">
        <f>"הזמנה פנימית"</f>
        <v>הזמנה פנימית</v>
      </c>
      <c r="S2310" t="str">
        <f>"034"</f>
        <v>034</v>
      </c>
      <c r="T2310" t="str">
        <f>"גנם הודיה"</f>
        <v>גנם הודיה</v>
      </c>
      <c r="U2310">
        <v>0</v>
      </c>
      <c r="V2310">
        <v>0</v>
      </c>
      <c r="W2310">
        <v>0</v>
      </c>
      <c r="X2310">
        <v>0</v>
      </c>
      <c r="AA2310">
        <v>3</v>
      </c>
      <c r="AC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 t="str">
        <f>"$"</f>
        <v>$</v>
      </c>
    </row>
    <row r="2311" spans="1:38" x14ac:dyDescent="0.3">
      <c r="A2311" t="str">
        <f>"SO23000030"</f>
        <v>SO23000030</v>
      </c>
      <c r="C2311" t="str">
        <f>"מאושרת לחיוב"</f>
        <v>מאושרת לחיוב</v>
      </c>
      <c r="E2311" s="3">
        <v>44929</v>
      </c>
      <c r="F2311" s="3">
        <v>45048</v>
      </c>
      <c r="G2311" t="str">
        <f>"700065"</f>
        <v>700065</v>
      </c>
      <c r="H2311" t="str">
        <f>"אלתא מערכות בע""מ"</f>
        <v>אלתא מערכות בע"מ</v>
      </c>
      <c r="I2311" t="str">
        <f>"ערן שלו"</f>
        <v>ערן שלו</v>
      </c>
      <c r="J2311" t="str">
        <f>"PS0400069"</f>
        <v>PS0400069</v>
      </c>
      <c r="K2311" s="1" t="str">
        <f>"T611730201 BRAVO 10-Mod-48V-230VAC 1.25 kva"</f>
        <v>T611730201 BRAVO 10-Mod-48V-230VAC 1.25 kva</v>
      </c>
      <c r="L2311">
        <v>4</v>
      </c>
      <c r="M2311" t="str">
        <f>"PR22000854"</f>
        <v>PR22000854</v>
      </c>
      <c r="N2311" t="str">
        <f>"שדרוג מארזי מחשוב צכיה"</f>
        <v>שדרוג מארזי מחשוב צכיה</v>
      </c>
      <c r="O2311">
        <v>0</v>
      </c>
      <c r="P2311" t="str">
        <f>"$"</f>
        <v>$</v>
      </c>
      <c r="Q2311" t="str">
        <f>"070"</f>
        <v>070</v>
      </c>
      <c r="R2311" t="str">
        <f>"הזמנה פנימית"</f>
        <v>הזמנה פנימית</v>
      </c>
      <c r="S2311" t="str">
        <f>"034"</f>
        <v>034</v>
      </c>
      <c r="T2311" t="str">
        <f>"גנם הודיה"</f>
        <v>גנם הודיה</v>
      </c>
      <c r="U2311">
        <v>0</v>
      </c>
      <c r="V2311">
        <v>0</v>
      </c>
      <c r="W2311">
        <v>0</v>
      </c>
      <c r="X2311">
        <v>0</v>
      </c>
      <c r="Z2311" t="str">
        <f>"Y"</f>
        <v>Y</v>
      </c>
      <c r="AA2311">
        <v>0</v>
      </c>
      <c r="AC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 t="str">
        <f>"$"</f>
        <v>$</v>
      </c>
    </row>
    <row r="2312" spans="1:38" x14ac:dyDescent="0.3">
      <c r="A2312" t="str">
        <f>"SO23000033"</f>
        <v>SO23000033</v>
      </c>
      <c r="B2312" t="str">
        <f>"E000382532"</f>
        <v>E000382532</v>
      </c>
      <c r="C2312" t="str">
        <f>"מאושרת לבצוע"</f>
        <v>מאושרת לבצוע</v>
      </c>
      <c r="E2312" s="3">
        <v>44931</v>
      </c>
      <c r="F2312" s="3">
        <v>45239</v>
      </c>
      <c r="G2312" t="str">
        <f>"700065"</f>
        <v>700065</v>
      </c>
      <c r="H2312" t="str">
        <f>"אלתא מערכות בע""מ"</f>
        <v>אלתא מערכות בע"מ</v>
      </c>
      <c r="I2312" t="str">
        <f>"רחמים זרוק"</f>
        <v>רחמים זרוק</v>
      </c>
      <c r="J2312" t="str">
        <f>"OP-AR03155"</f>
        <v>OP-AR03155</v>
      </c>
      <c r="K2312" s="1" t="str">
        <f>"1021M777-002    CABLE ASSY W8"</f>
        <v>1021M777-002    CABLE ASSY W8</v>
      </c>
      <c r="L2312">
        <v>1</v>
      </c>
      <c r="M2312" t="str">
        <f>"PR23000017"</f>
        <v>PR23000017</v>
      </c>
      <c r="N2312" t="str">
        <f>"E000382532"</f>
        <v>E000382532</v>
      </c>
      <c r="O2312">
        <v>235.63</v>
      </c>
      <c r="P2312" t="str">
        <f>"$"</f>
        <v>$</v>
      </c>
      <c r="Q2312" t="str">
        <f>"117"</f>
        <v>117</v>
      </c>
      <c r="R2312" t="str">
        <f>"רתמות"</f>
        <v>רתמות</v>
      </c>
      <c r="S2312" t="str">
        <f>"040"</f>
        <v>040</v>
      </c>
      <c r="T2312" t="str">
        <f>"עמר ליגל"</f>
        <v>עמר ליגל</v>
      </c>
      <c r="U2312">
        <v>0</v>
      </c>
      <c r="V2312">
        <v>0</v>
      </c>
      <c r="W2312">
        <v>235.63</v>
      </c>
      <c r="X2312">
        <v>235.63</v>
      </c>
      <c r="AA2312">
        <v>1</v>
      </c>
      <c r="AC2312">
        <v>0</v>
      </c>
      <c r="AE2312">
        <v>0</v>
      </c>
      <c r="AF2312">
        <v>0</v>
      </c>
      <c r="AG2312">
        <v>831.54</v>
      </c>
      <c r="AH2312">
        <v>0</v>
      </c>
      <c r="AI2312">
        <v>831.54</v>
      </c>
      <c r="AJ2312">
        <v>235.63</v>
      </c>
      <c r="AK2312">
        <v>235.63</v>
      </c>
      <c r="AL2312" t="str">
        <f>"$"</f>
        <v>$</v>
      </c>
    </row>
    <row r="2313" spans="1:38" x14ac:dyDescent="0.3">
      <c r="A2313" t="str">
        <f>"SO23000038"</f>
        <v>SO23000038</v>
      </c>
      <c r="B2313" t="str">
        <f>"E000383687"</f>
        <v>E000383687</v>
      </c>
      <c r="C2313" t="str">
        <f>"בוצעה"</f>
        <v>בוצעה</v>
      </c>
      <c r="E2313" s="3">
        <v>44941</v>
      </c>
      <c r="F2313" s="3">
        <v>45015</v>
      </c>
      <c r="G2313" t="str">
        <f>"700065"</f>
        <v>700065</v>
      </c>
      <c r="H2313" t="str">
        <f>"אלתא מערכות בע""מ"</f>
        <v>אלתא מערכות בע"מ</v>
      </c>
      <c r="I2313" t="str">
        <f>"רוני דידי"</f>
        <v>רוני דידי</v>
      </c>
      <c r="J2313" t="str">
        <f>"cust00891"</f>
        <v>cust00891</v>
      </c>
      <c r="K2313" s="1" t="str">
        <f>"1038H185-001 אלתא"</f>
        <v>1038H185-001 אלתא</v>
      </c>
      <c r="L2313">
        <v>1</v>
      </c>
      <c r="M2313" t="str">
        <f>"PR23000054"</f>
        <v>PR23000054</v>
      </c>
      <c r="N2313" t="str">
        <f>"תיקון 103 1038H185-001"</f>
        <v>תיקון 103 1038H185-001</v>
      </c>
      <c r="O2313" s="2">
        <v>5785</v>
      </c>
      <c r="P2313" t="str">
        <f>"$"</f>
        <v>$</v>
      </c>
      <c r="Q2313" t="str">
        <f>"118"</f>
        <v>118</v>
      </c>
      <c r="R2313" t="str">
        <f>"מערכות"</f>
        <v>מערכות</v>
      </c>
      <c r="S2313" t="str">
        <f>"007"</f>
        <v>007</v>
      </c>
      <c r="T2313" t="str">
        <f>"עמר ליגל"</f>
        <v>עמר ליגל</v>
      </c>
      <c r="U2313">
        <v>0</v>
      </c>
      <c r="V2313">
        <v>0</v>
      </c>
      <c r="W2313" s="2">
        <v>5785</v>
      </c>
      <c r="X2313" s="2">
        <v>5785</v>
      </c>
      <c r="Z2313" t="str">
        <f>"Y"</f>
        <v>Y</v>
      </c>
      <c r="AA2313">
        <v>0</v>
      </c>
      <c r="AC2313">
        <v>0</v>
      </c>
      <c r="AE2313">
        <v>0</v>
      </c>
      <c r="AF2313">
        <v>0</v>
      </c>
      <c r="AG2313" s="2">
        <v>19726.849999999999</v>
      </c>
      <c r="AH2313">
        <v>0</v>
      </c>
      <c r="AI2313" s="2">
        <v>19726.849999999999</v>
      </c>
      <c r="AJ2313" s="2">
        <v>5785</v>
      </c>
      <c r="AK2313" s="2">
        <v>5785</v>
      </c>
      <c r="AL2313" t="str">
        <f>"$"</f>
        <v>$</v>
      </c>
    </row>
    <row r="2314" spans="1:38" x14ac:dyDescent="0.3">
      <c r="A2314" t="str">
        <f>"SO23000040"</f>
        <v>SO23000040</v>
      </c>
      <c r="B2314" t="str">
        <f>"E000383083"</f>
        <v>E000383083</v>
      </c>
      <c r="C2314" t="str">
        <f>"בוצעה"</f>
        <v>בוצעה</v>
      </c>
      <c r="E2314" s="3">
        <v>44941</v>
      </c>
      <c r="F2314" s="3">
        <v>45107</v>
      </c>
      <c r="G2314" t="str">
        <f>"700065"</f>
        <v>700065</v>
      </c>
      <c r="H2314" t="str">
        <f>"אלתא מערכות בע""מ"</f>
        <v>אלתא מערכות בע"מ</v>
      </c>
      <c r="I2314" t="str">
        <f>"ערן שלו"</f>
        <v>ערן שלו</v>
      </c>
      <c r="J2314" t="str">
        <f>"000"</f>
        <v>000</v>
      </c>
      <c r="K2314" s="1" t="str">
        <f>"צוות טכנאים בצכיה"</f>
        <v>צוות טכנאים בצכיה</v>
      </c>
      <c r="L2314">
        <v>1</v>
      </c>
      <c r="O2314" s="2">
        <v>12000</v>
      </c>
      <c r="P2314" t="str">
        <f>"$"</f>
        <v>$</v>
      </c>
      <c r="Q2314" t="str">
        <f>"118"</f>
        <v>118</v>
      </c>
      <c r="R2314" t="str">
        <f>"מערכות"</f>
        <v>מערכות</v>
      </c>
      <c r="S2314" t="str">
        <f>"034"</f>
        <v>034</v>
      </c>
      <c r="T2314" t="str">
        <f>"עמר ליגל"</f>
        <v>עמר ליגל</v>
      </c>
      <c r="U2314">
        <v>0</v>
      </c>
      <c r="V2314">
        <v>0</v>
      </c>
      <c r="W2314" s="2">
        <v>12000</v>
      </c>
      <c r="X2314" s="2">
        <v>12000</v>
      </c>
      <c r="Z2314" t="str">
        <f>"Y"</f>
        <v>Y</v>
      </c>
      <c r="AA2314">
        <v>1</v>
      </c>
      <c r="AC2314">
        <v>0</v>
      </c>
      <c r="AE2314">
        <v>0</v>
      </c>
      <c r="AF2314">
        <v>0</v>
      </c>
      <c r="AG2314" s="2">
        <v>40920</v>
      </c>
      <c r="AH2314">
        <v>0</v>
      </c>
      <c r="AI2314" s="2">
        <v>40920</v>
      </c>
      <c r="AJ2314" s="2">
        <v>12000</v>
      </c>
      <c r="AK2314" s="2">
        <v>12000</v>
      </c>
      <c r="AL2314" t="str">
        <f>"$"</f>
        <v>$</v>
      </c>
    </row>
    <row r="2315" spans="1:38" x14ac:dyDescent="0.3">
      <c r="A2315" t="str">
        <f>"SO23000041"</f>
        <v>SO23000041</v>
      </c>
      <c r="B2315" t="str">
        <f>"E000382728"</f>
        <v>E000382728</v>
      </c>
      <c r="C2315" t="str">
        <f>"בוצעה"</f>
        <v>בוצעה</v>
      </c>
      <c r="E2315" s="3">
        <v>44942</v>
      </c>
      <c r="F2315" s="3">
        <v>45107</v>
      </c>
      <c r="G2315" t="str">
        <f>"700065"</f>
        <v>700065</v>
      </c>
      <c r="H2315" t="str">
        <f>"אלתא מערכות בע""מ"</f>
        <v>אלתא מערכות בע"מ</v>
      </c>
      <c r="I2315" t="str">
        <f>"רוני דידי"</f>
        <v>רוני דידי</v>
      </c>
      <c r="J2315" t="str">
        <f>"OP-ML00236"</f>
        <v>OP-ML00236</v>
      </c>
      <c r="K2315" s="1" t="str">
        <f>"מיישר זרם KW120"</f>
        <v>מיישר זרם KW120</v>
      </c>
      <c r="L2315">
        <v>1</v>
      </c>
      <c r="M2315" t="str">
        <f>"PR23000082"</f>
        <v>PR23000082</v>
      </c>
      <c r="N2315" t="str">
        <f>"מיישר זרם KW120"</f>
        <v>מיישר זרם KW120</v>
      </c>
      <c r="O2315" s="2">
        <v>26350</v>
      </c>
      <c r="P2315" t="str">
        <f>"$"</f>
        <v>$</v>
      </c>
      <c r="Q2315" t="str">
        <f>"118"</f>
        <v>118</v>
      </c>
      <c r="R2315" t="str">
        <f>"מערכות"</f>
        <v>מערכות</v>
      </c>
      <c r="S2315" t="str">
        <f>"007"</f>
        <v>007</v>
      </c>
      <c r="T2315" t="str">
        <f>"עמר ליגל"</f>
        <v>עמר ליגל</v>
      </c>
      <c r="U2315">
        <v>0</v>
      </c>
      <c r="V2315">
        <v>0</v>
      </c>
      <c r="W2315" s="2">
        <v>26350</v>
      </c>
      <c r="X2315" s="2">
        <v>26350</v>
      </c>
      <c r="Z2315" t="str">
        <f>"Y"</f>
        <v>Y</v>
      </c>
      <c r="AA2315">
        <v>0</v>
      </c>
      <c r="AC2315">
        <v>0</v>
      </c>
      <c r="AE2315">
        <v>0</v>
      </c>
      <c r="AF2315">
        <v>0</v>
      </c>
      <c r="AG2315" s="2">
        <v>90037.95</v>
      </c>
      <c r="AH2315">
        <v>0</v>
      </c>
      <c r="AI2315" s="2">
        <v>90037.95</v>
      </c>
      <c r="AJ2315" s="2">
        <v>26350</v>
      </c>
      <c r="AK2315" s="2">
        <v>26350</v>
      </c>
      <c r="AL2315" t="str">
        <f>"$"</f>
        <v>$</v>
      </c>
    </row>
    <row r="2316" spans="1:38" x14ac:dyDescent="0.3">
      <c r="A2316" t="str">
        <f>"SO23000042"</f>
        <v>SO23000042</v>
      </c>
      <c r="B2316" t="str">
        <f>"E000381994"</f>
        <v>E000381994</v>
      </c>
      <c r="C2316" t="str">
        <f>"בוצעה"</f>
        <v>בוצעה</v>
      </c>
      <c r="E2316" s="3">
        <v>44942</v>
      </c>
      <c r="F2316" s="3">
        <v>45078</v>
      </c>
      <c r="G2316" t="str">
        <f>"700065"</f>
        <v>700065</v>
      </c>
      <c r="H2316" t="str">
        <f>"אלתא מערכות בע""מ"</f>
        <v>אלתא מערכות בע"מ</v>
      </c>
      <c r="I2316" t="str">
        <f>"רוני דידי"</f>
        <v>רוני דידי</v>
      </c>
      <c r="J2316" t="str">
        <f>"OP-ML00226"</f>
        <v>OP-ML00226</v>
      </c>
      <c r="K2316" s="1" t="str">
        <f>"POWER SUPPLY AC/DC 21-29V/220ADC RUGGED"</f>
        <v>POWER SUPPLY AC/DC 21-29V/220ADC RUGGED</v>
      </c>
      <c r="L2316">
        <v>11</v>
      </c>
      <c r="M2316" t="str">
        <f>"PR23000071"</f>
        <v>PR23000071</v>
      </c>
      <c r="N2316" t="str">
        <f>"28Vdc PS PDU"</f>
        <v>28Vdc PS PDU</v>
      </c>
      <c r="O2316" s="2">
        <v>11323.9</v>
      </c>
      <c r="P2316" t="str">
        <f>"$"</f>
        <v>$</v>
      </c>
      <c r="Q2316" t="str">
        <f>"118"</f>
        <v>118</v>
      </c>
      <c r="R2316" t="str">
        <f>"מערכות"</f>
        <v>מערכות</v>
      </c>
      <c r="S2316" t="str">
        <f>"007"</f>
        <v>007</v>
      </c>
      <c r="T2316" t="str">
        <f>"עמר ליגל"</f>
        <v>עמר ליגל</v>
      </c>
      <c r="U2316">
        <v>0</v>
      </c>
      <c r="V2316">
        <v>0</v>
      </c>
      <c r="W2316" s="2">
        <v>11323.9</v>
      </c>
      <c r="X2316" s="2">
        <v>124562.9</v>
      </c>
      <c r="Z2316" t="str">
        <f>"Y"</f>
        <v>Y</v>
      </c>
      <c r="AA2316">
        <v>0</v>
      </c>
      <c r="AC2316">
        <v>0</v>
      </c>
      <c r="AE2316">
        <v>0</v>
      </c>
      <c r="AF2316">
        <v>0</v>
      </c>
      <c r="AG2316" s="2">
        <v>38693.769999999997</v>
      </c>
      <c r="AH2316">
        <v>0</v>
      </c>
      <c r="AI2316" s="2">
        <v>425631.43</v>
      </c>
      <c r="AJ2316" s="2">
        <v>124562.9</v>
      </c>
      <c r="AK2316" s="2">
        <v>124562.9</v>
      </c>
      <c r="AL2316" t="str">
        <f>"$"</f>
        <v>$</v>
      </c>
    </row>
    <row r="2317" spans="1:38" x14ac:dyDescent="0.3">
      <c r="A2317" t="str">
        <f>"SO23000042"</f>
        <v>SO23000042</v>
      </c>
      <c r="B2317" t="str">
        <f>"E000381994"</f>
        <v>E000381994</v>
      </c>
      <c r="C2317" t="str">
        <f>"בוצעה"</f>
        <v>בוצעה</v>
      </c>
      <c r="E2317" s="3">
        <v>44942</v>
      </c>
      <c r="F2317" s="3">
        <v>45078</v>
      </c>
      <c r="G2317" t="str">
        <f>"700065"</f>
        <v>700065</v>
      </c>
      <c r="H2317" t="str">
        <f>"אלתא מערכות בע""מ"</f>
        <v>אלתא מערכות בע"מ</v>
      </c>
      <c r="I2317" t="str">
        <f>"רוני דידי"</f>
        <v>רוני דידי</v>
      </c>
      <c r="J2317" t="str">
        <f>"OP-ML00226"</f>
        <v>OP-ML00226</v>
      </c>
      <c r="K2317" s="1" t="str">
        <f>"POWER SUPPLY AC/DC 21-29V/220ADC RUGGED"</f>
        <v>POWER SUPPLY AC/DC 21-29V/220ADC RUGGED</v>
      </c>
      <c r="L2317">
        <v>1</v>
      </c>
      <c r="M2317" t="str">
        <f>"PR23000071"</f>
        <v>PR23000071</v>
      </c>
      <c r="N2317" t="str">
        <f>"28Vdc PS PDU"</f>
        <v>28Vdc PS PDU</v>
      </c>
      <c r="O2317" s="2">
        <v>11323.9</v>
      </c>
      <c r="P2317" t="str">
        <f>"$"</f>
        <v>$</v>
      </c>
      <c r="Q2317" t="str">
        <f>"118"</f>
        <v>118</v>
      </c>
      <c r="R2317" t="str">
        <f>"מערכות"</f>
        <v>מערכות</v>
      </c>
      <c r="S2317" t="str">
        <f>"007"</f>
        <v>007</v>
      </c>
      <c r="T2317" t="str">
        <f>"עמר ליגל"</f>
        <v>עמר ליגל</v>
      </c>
      <c r="U2317">
        <v>0</v>
      </c>
      <c r="V2317">
        <v>0</v>
      </c>
      <c r="W2317" s="2">
        <v>11323.9</v>
      </c>
      <c r="X2317" s="2">
        <v>11323.9</v>
      </c>
      <c r="Z2317" t="str">
        <f>"Y"</f>
        <v>Y</v>
      </c>
      <c r="AA2317">
        <v>0</v>
      </c>
      <c r="AC2317">
        <v>0</v>
      </c>
      <c r="AE2317">
        <v>0</v>
      </c>
      <c r="AF2317">
        <v>0</v>
      </c>
      <c r="AG2317" s="2">
        <v>38693.769999999997</v>
      </c>
      <c r="AH2317">
        <v>0</v>
      </c>
      <c r="AI2317" s="2">
        <v>38693.769999999997</v>
      </c>
      <c r="AJ2317" s="2">
        <v>11323.9</v>
      </c>
      <c r="AK2317" s="2">
        <v>11323.9</v>
      </c>
      <c r="AL2317" t="str">
        <f>"$"</f>
        <v>$</v>
      </c>
    </row>
    <row r="2318" spans="1:38" x14ac:dyDescent="0.3">
      <c r="A2318" t="str">
        <f>"SO23000042"</f>
        <v>SO23000042</v>
      </c>
      <c r="B2318" t="str">
        <f>"E000381994"</f>
        <v>E000381994</v>
      </c>
      <c r="C2318" t="str">
        <f>"בוצעה"</f>
        <v>בוצעה</v>
      </c>
      <c r="E2318" s="3">
        <v>44942</v>
      </c>
      <c r="F2318" s="3">
        <v>44944</v>
      </c>
      <c r="G2318" t="str">
        <f>"700065"</f>
        <v>700065</v>
      </c>
      <c r="H2318" t="str">
        <f>"אלתא מערכות בע""מ"</f>
        <v>אלתא מערכות בע"מ</v>
      </c>
      <c r="I2318" t="str">
        <f>"רוני דידי"</f>
        <v>רוני דידי</v>
      </c>
      <c r="J2318" t="str">
        <f>"PS0300017"</f>
        <v>PS0300017</v>
      </c>
      <c r="K2318" s="1" t="str">
        <f>"בקר ORION TOUCH DISPLAY"</f>
        <v>בקר ORION TOUCH DISPLAY</v>
      </c>
      <c r="L2318">
        <v>2</v>
      </c>
      <c r="M2318" t="str">
        <f>"PR23000071"</f>
        <v>PR23000071</v>
      </c>
      <c r="N2318" t="str">
        <f>"28Vdc PS PDU"</f>
        <v>28Vdc PS PDU</v>
      </c>
      <c r="O2318">
        <v>450</v>
      </c>
      <c r="P2318" t="str">
        <f>"$"</f>
        <v>$</v>
      </c>
      <c r="Q2318" t="str">
        <f>"118"</f>
        <v>118</v>
      </c>
      <c r="R2318" t="str">
        <f>"מערכות"</f>
        <v>מערכות</v>
      </c>
      <c r="S2318" t="str">
        <f>"007"</f>
        <v>007</v>
      </c>
      <c r="T2318" t="str">
        <f>"עמר ליגל"</f>
        <v>עמר ליגל</v>
      </c>
      <c r="U2318">
        <v>0</v>
      </c>
      <c r="V2318">
        <v>0</v>
      </c>
      <c r="W2318">
        <v>450</v>
      </c>
      <c r="X2318">
        <v>900</v>
      </c>
      <c r="Z2318" t="str">
        <f>"Y"</f>
        <v>Y</v>
      </c>
      <c r="AA2318">
        <v>1</v>
      </c>
      <c r="AC2318">
        <v>0</v>
      </c>
      <c r="AE2318">
        <v>0</v>
      </c>
      <c r="AF2318">
        <v>0</v>
      </c>
      <c r="AG2318" s="2">
        <v>1537.65</v>
      </c>
      <c r="AH2318">
        <v>0</v>
      </c>
      <c r="AI2318" s="2">
        <v>3075.3</v>
      </c>
      <c r="AJ2318">
        <v>900</v>
      </c>
      <c r="AK2318">
        <v>900</v>
      </c>
      <c r="AL2318" t="str">
        <f>"$"</f>
        <v>$</v>
      </c>
    </row>
    <row r="2319" spans="1:38" x14ac:dyDescent="0.3">
      <c r="A2319" t="str">
        <f>"SO23000042"</f>
        <v>SO23000042</v>
      </c>
      <c r="B2319" t="str">
        <f>"E000381994"</f>
        <v>E000381994</v>
      </c>
      <c r="C2319" t="str">
        <f>"בוצעה"</f>
        <v>בוצעה</v>
      </c>
      <c r="E2319" s="3">
        <v>44942</v>
      </c>
      <c r="F2319" s="3">
        <v>44945</v>
      </c>
      <c r="G2319" t="str">
        <f>"700065"</f>
        <v>700065</v>
      </c>
      <c r="H2319" t="str">
        <f>"אלתא מערכות בע""מ"</f>
        <v>אלתא מערכות בע"מ</v>
      </c>
      <c r="I2319" t="str">
        <f>"רוני דידי"</f>
        <v>רוני דידי</v>
      </c>
      <c r="J2319" t="str">
        <f>"PS0500001"</f>
        <v>PS0500001</v>
      </c>
      <c r="K2319" s="1" t="str">
        <f>"Card back to visit  ORION"</f>
        <v>Card back to visit  ORION</v>
      </c>
      <c r="L2319">
        <v>1</v>
      </c>
      <c r="M2319" t="str">
        <f>"PR23000071"</f>
        <v>PR23000071</v>
      </c>
      <c r="N2319" t="str">
        <f>"28Vdc PS PDU"</f>
        <v>28Vdc PS PDU</v>
      </c>
      <c r="O2319">
        <v>15.7</v>
      </c>
      <c r="P2319" t="str">
        <f>"$"</f>
        <v>$</v>
      </c>
      <c r="Q2319" t="str">
        <f>"118"</f>
        <v>118</v>
      </c>
      <c r="R2319" t="str">
        <f>"מערכות"</f>
        <v>מערכות</v>
      </c>
      <c r="S2319" t="str">
        <f>"007"</f>
        <v>007</v>
      </c>
      <c r="T2319" t="str">
        <f>"עמר ליגל"</f>
        <v>עמר ליגל</v>
      </c>
      <c r="U2319">
        <v>0</v>
      </c>
      <c r="V2319">
        <v>15.7</v>
      </c>
      <c r="W2319">
        <v>15.7</v>
      </c>
      <c r="X2319">
        <v>15.7</v>
      </c>
      <c r="Z2319" t="str">
        <f>"Y"</f>
        <v>Y</v>
      </c>
      <c r="AA2319">
        <v>0</v>
      </c>
      <c r="AC2319">
        <v>0</v>
      </c>
      <c r="AE2319">
        <v>0</v>
      </c>
      <c r="AF2319">
        <v>60.82</v>
      </c>
      <c r="AG2319">
        <v>53.65</v>
      </c>
      <c r="AH2319">
        <v>15.7</v>
      </c>
      <c r="AI2319">
        <v>53.65</v>
      </c>
      <c r="AJ2319">
        <v>15.7</v>
      </c>
      <c r="AK2319">
        <v>15.7</v>
      </c>
      <c r="AL2319" t="str">
        <f>"$"</f>
        <v>$</v>
      </c>
    </row>
    <row r="2320" spans="1:38" x14ac:dyDescent="0.3">
      <c r="A2320" t="str">
        <f>"SO23000046"</f>
        <v>SO23000046</v>
      </c>
      <c r="B2320" t="str">
        <f>"E000383842"</f>
        <v>E000383842</v>
      </c>
      <c r="C2320" t="str">
        <f>"בוצעה"</f>
        <v>בוצעה</v>
      </c>
      <c r="E2320" s="3">
        <v>44944</v>
      </c>
      <c r="F2320" s="3">
        <v>44957</v>
      </c>
      <c r="G2320" t="str">
        <f>"700065"</f>
        <v>700065</v>
      </c>
      <c r="H2320" t="str">
        <f>"אלתא מערכות בע""מ"</f>
        <v>אלתא מערכות בע"מ</v>
      </c>
      <c r="I2320" t="str">
        <f>"רחמים זרוק"</f>
        <v>רחמים זרוק</v>
      </c>
      <c r="J2320" t="str">
        <f>"OP-AR03167"</f>
        <v>OP-AR03167</v>
      </c>
      <c r="K2320" s="1" t="str">
        <f>"1025M237-001   WA357 PWR FOR ANTI COLLISION LIGHT"</f>
        <v>1025M237-001   WA357 PWR FOR ANTI COLLISION LIGHT</v>
      </c>
      <c r="L2320">
        <v>2</v>
      </c>
      <c r="M2320" t="str">
        <f>"PR23000038"</f>
        <v>PR23000038</v>
      </c>
      <c r="N2320" t="str">
        <f>"הזמנה מהירה לכבלים- לירן"</f>
        <v>הזמנה מהירה לכבלים- לירן</v>
      </c>
      <c r="O2320">
        <v>102.35</v>
      </c>
      <c r="P2320" t="str">
        <f>"$"</f>
        <v>$</v>
      </c>
      <c r="Q2320" t="str">
        <f>"117"</f>
        <v>117</v>
      </c>
      <c r="R2320" t="str">
        <f>"רתמות"</f>
        <v>רתמות</v>
      </c>
      <c r="S2320" t="str">
        <f>"040"</f>
        <v>040</v>
      </c>
      <c r="T2320" t="str">
        <f>"עמר ליגל"</f>
        <v>עמר ליגל</v>
      </c>
      <c r="U2320">
        <v>0</v>
      </c>
      <c r="V2320">
        <v>0</v>
      </c>
      <c r="W2320">
        <v>102.35</v>
      </c>
      <c r="X2320">
        <v>204.7</v>
      </c>
      <c r="Z2320" t="str">
        <f>"Y"</f>
        <v>Y</v>
      </c>
      <c r="AA2320">
        <v>0</v>
      </c>
      <c r="AC2320">
        <v>0</v>
      </c>
      <c r="AE2320">
        <v>0</v>
      </c>
      <c r="AF2320">
        <v>0</v>
      </c>
      <c r="AG2320">
        <v>346.05</v>
      </c>
      <c r="AH2320">
        <v>0</v>
      </c>
      <c r="AI2320">
        <v>692.09</v>
      </c>
      <c r="AJ2320">
        <v>204.7</v>
      </c>
      <c r="AK2320">
        <v>204.7</v>
      </c>
      <c r="AL2320" t="str">
        <f>"$"</f>
        <v>$</v>
      </c>
    </row>
    <row r="2321" spans="1:38" x14ac:dyDescent="0.3">
      <c r="A2321" t="str">
        <f>"SO23000047"</f>
        <v>SO23000047</v>
      </c>
      <c r="B2321" t="str">
        <f>"E000383787"</f>
        <v>E000383787</v>
      </c>
      <c r="C2321" t="str">
        <f>"בוצעה"</f>
        <v>בוצעה</v>
      </c>
      <c r="E2321" s="3">
        <v>44944</v>
      </c>
      <c r="F2321" s="3">
        <v>45025</v>
      </c>
      <c r="G2321" t="str">
        <f>"700065"</f>
        <v>700065</v>
      </c>
      <c r="H2321" t="str">
        <f>"אלתא מערכות בע""מ"</f>
        <v>אלתא מערכות בע"מ</v>
      </c>
      <c r="I2321" t="str">
        <f>"רחמים זרוק"</f>
        <v>רחמים זרוק</v>
      </c>
      <c r="J2321" t="str">
        <f>"OP-AR03016"</f>
        <v>OP-AR03016</v>
      </c>
      <c r="K2321" s="1" t="str">
        <f>"2203B860-001   POWER TO UUT CABLE ASSY"</f>
        <v>2203B860-001   POWER TO UUT CABLE ASSY</v>
      </c>
      <c r="L2321">
        <v>1</v>
      </c>
      <c r="M2321" t="str">
        <f>"PR23000075"</f>
        <v>PR23000075</v>
      </c>
      <c r="N2321" t="str">
        <f>"E000383787"</f>
        <v>E000383787</v>
      </c>
      <c r="O2321">
        <v>861.4</v>
      </c>
      <c r="P2321" t="str">
        <f>"$"</f>
        <v>$</v>
      </c>
      <c r="Q2321" t="str">
        <f>"117"</f>
        <v>117</v>
      </c>
      <c r="R2321" t="str">
        <f>"רתמות"</f>
        <v>רתמות</v>
      </c>
      <c r="S2321" t="str">
        <f>"040"</f>
        <v>040</v>
      </c>
      <c r="T2321" t="str">
        <f>"עמר ליגל"</f>
        <v>עמר ליגל</v>
      </c>
      <c r="U2321">
        <v>0</v>
      </c>
      <c r="V2321">
        <v>0</v>
      </c>
      <c r="W2321">
        <v>861.4</v>
      </c>
      <c r="X2321">
        <v>861.4</v>
      </c>
      <c r="Z2321" t="str">
        <f>"Y"</f>
        <v>Y</v>
      </c>
      <c r="AA2321">
        <v>0</v>
      </c>
      <c r="AC2321">
        <v>0</v>
      </c>
      <c r="AE2321">
        <v>0</v>
      </c>
      <c r="AF2321">
        <v>0</v>
      </c>
      <c r="AG2321" s="2">
        <v>2912.39</v>
      </c>
      <c r="AH2321">
        <v>0</v>
      </c>
      <c r="AI2321" s="2">
        <v>2912.39</v>
      </c>
      <c r="AJ2321">
        <v>861.4</v>
      </c>
      <c r="AK2321">
        <v>861.4</v>
      </c>
      <c r="AL2321" t="str">
        <f>"$"</f>
        <v>$</v>
      </c>
    </row>
    <row r="2322" spans="1:38" x14ac:dyDescent="0.3">
      <c r="A2322" t="str">
        <f>"SO23000048"</f>
        <v>SO23000048</v>
      </c>
      <c r="B2322" t="str">
        <f>"E000383715"</f>
        <v>E000383715</v>
      </c>
      <c r="C2322" t="str">
        <f>"בוצעה"</f>
        <v>בוצעה</v>
      </c>
      <c r="E2322" s="3">
        <v>44944</v>
      </c>
      <c r="F2322" s="3">
        <v>45076</v>
      </c>
      <c r="G2322" t="str">
        <f>"700065"</f>
        <v>700065</v>
      </c>
      <c r="H2322" t="str">
        <f>"אלתא מערכות בע""מ"</f>
        <v>אלתא מערכות בע"מ</v>
      </c>
      <c r="I2322" t="str">
        <f>"רחמים זרוק"</f>
        <v>רחמים זרוק</v>
      </c>
      <c r="J2322" t="str">
        <f>"OP-AR03541"</f>
        <v>OP-AR03541</v>
      </c>
      <c r="K2322" s="1" t="str">
        <f>"1023F870-001    CABLE ASSY W42"</f>
        <v>1023F870-001    CABLE ASSY W42</v>
      </c>
      <c r="L2322">
        <v>2</v>
      </c>
      <c r="M2322" t="str">
        <f>"PR23000077"</f>
        <v>PR23000077</v>
      </c>
      <c r="N2322" t="str">
        <f>"E000383715"</f>
        <v>E000383715</v>
      </c>
      <c r="O2322">
        <v>367.6</v>
      </c>
      <c r="P2322" t="str">
        <f>"$"</f>
        <v>$</v>
      </c>
      <c r="Q2322" t="str">
        <f>"117"</f>
        <v>117</v>
      </c>
      <c r="R2322" t="str">
        <f>"רתמות"</f>
        <v>רתמות</v>
      </c>
      <c r="S2322" t="str">
        <f>"040"</f>
        <v>040</v>
      </c>
      <c r="T2322" t="str">
        <f>"עמר ליגל"</f>
        <v>עמר ליגל</v>
      </c>
      <c r="U2322">
        <v>0</v>
      </c>
      <c r="V2322">
        <v>0</v>
      </c>
      <c r="W2322">
        <v>367.6</v>
      </c>
      <c r="X2322">
        <v>735.2</v>
      </c>
      <c r="Z2322" t="str">
        <f>"Y"</f>
        <v>Y</v>
      </c>
      <c r="AA2322">
        <v>0</v>
      </c>
      <c r="AC2322">
        <v>0</v>
      </c>
      <c r="AE2322">
        <v>0</v>
      </c>
      <c r="AF2322">
        <v>0</v>
      </c>
      <c r="AG2322" s="2">
        <v>1242.8599999999999</v>
      </c>
      <c r="AH2322">
        <v>0</v>
      </c>
      <c r="AI2322" s="2">
        <v>2485.71</v>
      </c>
      <c r="AJ2322">
        <v>735.2</v>
      </c>
      <c r="AK2322">
        <v>735.2</v>
      </c>
      <c r="AL2322" t="str">
        <f>"$"</f>
        <v>$</v>
      </c>
    </row>
    <row r="2323" spans="1:38" x14ac:dyDescent="0.3">
      <c r="A2323" t="str">
        <f>"SO23000048"</f>
        <v>SO23000048</v>
      </c>
      <c r="B2323" t="str">
        <f>"E000383715"</f>
        <v>E000383715</v>
      </c>
      <c r="C2323" t="str">
        <f>"בוצעה"</f>
        <v>בוצעה</v>
      </c>
      <c r="E2323" s="3">
        <v>44944</v>
      </c>
      <c r="F2323" s="3">
        <v>45079</v>
      </c>
      <c r="G2323" t="str">
        <f>"700065"</f>
        <v>700065</v>
      </c>
      <c r="H2323" t="str">
        <f>"אלתא מערכות בע""מ"</f>
        <v>אלתא מערכות בע"מ</v>
      </c>
      <c r="I2323" t="str">
        <f>"רחמים זרוק"</f>
        <v>רחמים זרוק</v>
      </c>
      <c r="J2323" t="str">
        <f>"OP-AR03541"</f>
        <v>OP-AR03541</v>
      </c>
      <c r="K2323" s="1" t="str">
        <f>"1023F870-001    CABLE ASSY W42"</f>
        <v>1023F870-001    CABLE ASSY W42</v>
      </c>
      <c r="L2323">
        <v>1</v>
      </c>
      <c r="M2323" t="str">
        <f>"PR23000077"</f>
        <v>PR23000077</v>
      </c>
      <c r="N2323" t="str">
        <f>"E000383715"</f>
        <v>E000383715</v>
      </c>
      <c r="O2323">
        <v>367.6</v>
      </c>
      <c r="P2323" t="str">
        <f>"$"</f>
        <v>$</v>
      </c>
      <c r="Q2323" t="str">
        <f>"117"</f>
        <v>117</v>
      </c>
      <c r="R2323" t="str">
        <f>"רתמות"</f>
        <v>רתמות</v>
      </c>
      <c r="S2323" t="str">
        <f>"040"</f>
        <v>040</v>
      </c>
      <c r="T2323" t="str">
        <f>"עמר ליגל"</f>
        <v>עמר ליגל</v>
      </c>
      <c r="U2323">
        <v>0</v>
      </c>
      <c r="V2323">
        <v>0</v>
      </c>
      <c r="W2323">
        <v>367.6</v>
      </c>
      <c r="X2323">
        <v>367.6</v>
      </c>
      <c r="Z2323" t="str">
        <f>"Y"</f>
        <v>Y</v>
      </c>
      <c r="AA2323">
        <v>0</v>
      </c>
      <c r="AC2323">
        <v>0</v>
      </c>
      <c r="AE2323">
        <v>0</v>
      </c>
      <c r="AF2323">
        <v>0</v>
      </c>
      <c r="AG2323" s="2">
        <v>1242.8599999999999</v>
      </c>
      <c r="AH2323">
        <v>0</v>
      </c>
      <c r="AI2323" s="2">
        <v>1242.8599999999999</v>
      </c>
      <c r="AJ2323">
        <v>367.6</v>
      </c>
      <c r="AK2323">
        <v>367.6</v>
      </c>
      <c r="AL2323" t="str">
        <f>"$"</f>
        <v>$</v>
      </c>
    </row>
    <row r="2324" spans="1:38" x14ac:dyDescent="0.3">
      <c r="A2324" t="str">
        <f>"SO23000048"</f>
        <v>SO23000048</v>
      </c>
      <c r="B2324" t="str">
        <f>"E000383715"</f>
        <v>E000383715</v>
      </c>
      <c r="C2324" t="str">
        <f>"בוצעה"</f>
        <v>בוצעה</v>
      </c>
      <c r="E2324" s="3">
        <v>44944</v>
      </c>
      <c r="F2324" s="3">
        <v>45076</v>
      </c>
      <c r="G2324" t="str">
        <f>"700065"</f>
        <v>700065</v>
      </c>
      <c r="H2324" t="str">
        <f>"אלתא מערכות בע""מ"</f>
        <v>אלתא מערכות בע"מ</v>
      </c>
      <c r="I2324" t="str">
        <f>"רחמים זרוק"</f>
        <v>רחמים זרוק</v>
      </c>
      <c r="J2324" t="str">
        <f>"OP-AR03542"</f>
        <v>OP-AR03542</v>
      </c>
      <c r="K2324" s="1" t="str">
        <f>"1032M703-002    LDE POWER CABLE J5"</f>
        <v>1032M703-002    LDE POWER CABLE J5</v>
      </c>
      <c r="L2324">
        <v>3</v>
      </c>
      <c r="M2324" t="str">
        <f>"PR23000077"</f>
        <v>PR23000077</v>
      </c>
      <c r="N2324" t="str">
        <f>"E000383715"</f>
        <v>E000383715</v>
      </c>
      <c r="O2324">
        <v>220.01</v>
      </c>
      <c r="P2324" t="str">
        <f>"$"</f>
        <v>$</v>
      </c>
      <c r="Q2324" t="str">
        <f>"117"</f>
        <v>117</v>
      </c>
      <c r="R2324" t="str">
        <f>"רתמות"</f>
        <v>רתמות</v>
      </c>
      <c r="S2324" t="str">
        <f>"040"</f>
        <v>040</v>
      </c>
      <c r="T2324" t="str">
        <f>"עמר ליגל"</f>
        <v>עמר ליגל</v>
      </c>
      <c r="U2324">
        <v>0</v>
      </c>
      <c r="V2324">
        <v>0</v>
      </c>
      <c r="W2324">
        <v>220.01</v>
      </c>
      <c r="X2324">
        <v>660.03</v>
      </c>
      <c r="Z2324" t="str">
        <f>"Y"</f>
        <v>Y</v>
      </c>
      <c r="AA2324">
        <v>0</v>
      </c>
      <c r="AC2324">
        <v>0</v>
      </c>
      <c r="AE2324">
        <v>0</v>
      </c>
      <c r="AF2324">
        <v>0</v>
      </c>
      <c r="AG2324">
        <v>743.85</v>
      </c>
      <c r="AH2324">
        <v>0</v>
      </c>
      <c r="AI2324" s="2">
        <v>2231.56</v>
      </c>
      <c r="AJ2324">
        <v>660.03</v>
      </c>
      <c r="AK2324">
        <v>660.03</v>
      </c>
      <c r="AL2324" t="str">
        <f>"$"</f>
        <v>$</v>
      </c>
    </row>
    <row r="2325" spans="1:38" x14ac:dyDescent="0.3">
      <c r="A2325" t="str">
        <f>"SO23000048"</f>
        <v>SO23000048</v>
      </c>
      <c r="B2325" t="str">
        <f>"E000383715"</f>
        <v>E000383715</v>
      </c>
      <c r="C2325" t="str">
        <f>"בוצעה"</f>
        <v>בוצעה</v>
      </c>
      <c r="E2325" s="3">
        <v>44944</v>
      </c>
      <c r="F2325" s="3">
        <v>45076</v>
      </c>
      <c r="G2325" t="str">
        <f>"700065"</f>
        <v>700065</v>
      </c>
      <c r="H2325" t="str">
        <f>"אלתא מערכות בע""מ"</f>
        <v>אלתא מערכות בע"מ</v>
      </c>
      <c r="I2325" t="str">
        <f>"רחמים זרוק"</f>
        <v>רחמים זרוק</v>
      </c>
      <c r="J2325" t="str">
        <f>"OP-AR03543"</f>
        <v>OP-AR03543</v>
      </c>
      <c r="K2325" s="1" t="str">
        <f>"1032M705-002    LDE POWER CABLE J7"</f>
        <v>1032M705-002    LDE POWER CABLE J7</v>
      </c>
      <c r="L2325">
        <v>3</v>
      </c>
      <c r="M2325" t="str">
        <f>"PR23000077"</f>
        <v>PR23000077</v>
      </c>
      <c r="N2325" t="str">
        <f>"E000383715"</f>
        <v>E000383715</v>
      </c>
      <c r="O2325">
        <v>217.85</v>
      </c>
      <c r="P2325" t="str">
        <f>"$"</f>
        <v>$</v>
      </c>
      <c r="Q2325" t="str">
        <f>"117"</f>
        <v>117</v>
      </c>
      <c r="R2325" t="str">
        <f>"רתמות"</f>
        <v>רתמות</v>
      </c>
      <c r="S2325" t="str">
        <f>"040"</f>
        <v>040</v>
      </c>
      <c r="T2325" t="str">
        <f>"עמר ליגל"</f>
        <v>עמר ליגל</v>
      </c>
      <c r="U2325">
        <v>0</v>
      </c>
      <c r="V2325">
        <v>0</v>
      </c>
      <c r="W2325">
        <v>217.85</v>
      </c>
      <c r="X2325">
        <v>653.54999999999995</v>
      </c>
      <c r="Z2325" t="str">
        <f>"Y"</f>
        <v>Y</v>
      </c>
      <c r="AA2325">
        <v>0</v>
      </c>
      <c r="AC2325">
        <v>0</v>
      </c>
      <c r="AE2325">
        <v>0</v>
      </c>
      <c r="AF2325">
        <v>0</v>
      </c>
      <c r="AG2325">
        <v>736.55</v>
      </c>
      <c r="AH2325">
        <v>0</v>
      </c>
      <c r="AI2325" s="2">
        <v>2209.65</v>
      </c>
      <c r="AJ2325">
        <v>653.54999999999995</v>
      </c>
      <c r="AK2325">
        <v>653.54999999999995</v>
      </c>
      <c r="AL2325" t="str">
        <f>"$"</f>
        <v>$</v>
      </c>
    </row>
    <row r="2326" spans="1:38" x14ac:dyDescent="0.3">
      <c r="A2326" t="str">
        <f>"SO23000048"</f>
        <v>SO23000048</v>
      </c>
      <c r="B2326" t="str">
        <f>"E000383715"</f>
        <v>E000383715</v>
      </c>
      <c r="C2326" t="str">
        <f>"בוצעה"</f>
        <v>בוצעה</v>
      </c>
      <c r="E2326" s="3">
        <v>44944</v>
      </c>
      <c r="F2326" s="3">
        <v>45076</v>
      </c>
      <c r="G2326" t="str">
        <f>"700065"</f>
        <v>700065</v>
      </c>
      <c r="H2326" t="str">
        <f>"אלתא מערכות בע""מ"</f>
        <v>אלתא מערכות בע"מ</v>
      </c>
      <c r="I2326" t="str">
        <f>"רחמים זרוק"</f>
        <v>רחמים זרוק</v>
      </c>
      <c r="J2326" t="str">
        <f>"OP-AR03544"</f>
        <v>OP-AR03544</v>
      </c>
      <c r="K2326" s="1" t="str">
        <f>"1032M707-002    LDE POWER CABLE J8"</f>
        <v>1032M707-002    LDE POWER CABLE J8</v>
      </c>
      <c r="L2326">
        <v>3</v>
      </c>
      <c r="M2326" t="str">
        <f>"PR23000077"</f>
        <v>PR23000077</v>
      </c>
      <c r="N2326" t="str">
        <f>"E000383715"</f>
        <v>E000383715</v>
      </c>
      <c r="O2326">
        <v>221.09</v>
      </c>
      <c r="P2326" t="str">
        <f>"$"</f>
        <v>$</v>
      </c>
      <c r="Q2326" t="str">
        <f>"117"</f>
        <v>117</v>
      </c>
      <c r="R2326" t="str">
        <f>"רתמות"</f>
        <v>רתמות</v>
      </c>
      <c r="S2326" t="str">
        <f>"040"</f>
        <v>040</v>
      </c>
      <c r="T2326" t="str">
        <f>"עמר ליגל"</f>
        <v>עמר ליגל</v>
      </c>
      <c r="U2326">
        <v>0</v>
      </c>
      <c r="V2326">
        <v>0</v>
      </c>
      <c r="W2326">
        <v>221.09</v>
      </c>
      <c r="X2326">
        <v>663.27</v>
      </c>
      <c r="Z2326" t="str">
        <f>"Y"</f>
        <v>Y</v>
      </c>
      <c r="AA2326">
        <v>0</v>
      </c>
      <c r="AC2326">
        <v>0</v>
      </c>
      <c r="AE2326">
        <v>0</v>
      </c>
      <c r="AF2326">
        <v>0</v>
      </c>
      <c r="AG2326">
        <v>747.51</v>
      </c>
      <c r="AH2326">
        <v>0</v>
      </c>
      <c r="AI2326" s="2">
        <v>2242.52</v>
      </c>
      <c r="AJ2326">
        <v>663.27</v>
      </c>
      <c r="AK2326">
        <v>663.27</v>
      </c>
      <c r="AL2326" t="str">
        <f>"$"</f>
        <v>$</v>
      </c>
    </row>
    <row r="2327" spans="1:38" x14ac:dyDescent="0.3">
      <c r="A2327" t="str">
        <f>"SO23000048"</f>
        <v>SO23000048</v>
      </c>
      <c r="B2327" t="str">
        <f>"E000383715"</f>
        <v>E000383715</v>
      </c>
      <c r="C2327" t="str">
        <f>"בוצעה"</f>
        <v>בוצעה</v>
      </c>
      <c r="E2327" s="3">
        <v>44944</v>
      </c>
      <c r="F2327" s="3">
        <v>45076</v>
      </c>
      <c r="G2327" t="str">
        <f>"700065"</f>
        <v>700065</v>
      </c>
      <c r="H2327" t="str">
        <f>"אלתא מערכות בע""מ"</f>
        <v>אלתא מערכות בע"מ</v>
      </c>
      <c r="I2327" t="str">
        <f>"רחמים זרוק"</f>
        <v>רחמים זרוק</v>
      </c>
      <c r="J2327" t="str">
        <f>"OP-AR03545"</f>
        <v>OP-AR03545</v>
      </c>
      <c r="K2327" s="1" t="str">
        <f>"1032M713-002    LDE SIGNALS CABLE J9"</f>
        <v>1032M713-002    LDE SIGNALS CABLE J9</v>
      </c>
      <c r="L2327">
        <v>3</v>
      </c>
      <c r="M2327" t="str">
        <f>"PR23000077"</f>
        <v>PR23000077</v>
      </c>
      <c r="N2327" t="str">
        <f>"E000383715"</f>
        <v>E000383715</v>
      </c>
      <c r="O2327">
        <v>533.02</v>
      </c>
      <c r="P2327" t="str">
        <f>"$"</f>
        <v>$</v>
      </c>
      <c r="Q2327" t="str">
        <f>"117"</f>
        <v>117</v>
      </c>
      <c r="R2327" t="str">
        <f>"רתמות"</f>
        <v>רתמות</v>
      </c>
      <c r="S2327" t="str">
        <f>"040"</f>
        <v>040</v>
      </c>
      <c r="T2327" t="str">
        <f>"עמר ליגל"</f>
        <v>עמר ליגל</v>
      </c>
      <c r="U2327">
        <v>0</v>
      </c>
      <c r="V2327">
        <v>0</v>
      </c>
      <c r="W2327">
        <v>533.02</v>
      </c>
      <c r="X2327" s="2">
        <v>1599.06</v>
      </c>
      <c r="Z2327" t="str">
        <f>"Y"</f>
        <v>Y</v>
      </c>
      <c r="AA2327">
        <v>0</v>
      </c>
      <c r="AC2327">
        <v>0</v>
      </c>
      <c r="AE2327">
        <v>0</v>
      </c>
      <c r="AF2327">
        <v>0</v>
      </c>
      <c r="AG2327" s="2">
        <v>1802.14</v>
      </c>
      <c r="AH2327">
        <v>0</v>
      </c>
      <c r="AI2327" s="2">
        <v>5406.42</v>
      </c>
      <c r="AJ2327" s="2">
        <v>1599.06</v>
      </c>
      <c r="AK2327" s="2">
        <v>1599.06</v>
      </c>
      <c r="AL2327" t="str">
        <f>"$"</f>
        <v>$</v>
      </c>
    </row>
    <row r="2328" spans="1:38" x14ac:dyDescent="0.3">
      <c r="A2328" t="str">
        <f>"SO23000048"</f>
        <v>SO23000048</v>
      </c>
      <c r="B2328" t="str">
        <f>"E000383715"</f>
        <v>E000383715</v>
      </c>
      <c r="C2328" t="str">
        <f>"בוצעה"</f>
        <v>בוצעה</v>
      </c>
      <c r="E2328" s="3">
        <v>44944</v>
      </c>
      <c r="F2328" s="3">
        <v>45076</v>
      </c>
      <c r="G2328" t="str">
        <f>"700065"</f>
        <v>700065</v>
      </c>
      <c r="H2328" t="str">
        <f>"אלתא מערכות בע""מ"</f>
        <v>אלתא מערכות בע"מ</v>
      </c>
      <c r="I2328" t="str">
        <f>"רחמים זרוק"</f>
        <v>רחמים זרוק</v>
      </c>
      <c r="J2328" t="str">
        <f>"OP-AR03546"</f>
        <v>OP-AR03546</v>
      </c>
      <c r="K2328" s="1" t="str">
        <f>"1032M715-002    LDE SIGNALS CABLE J10"</f>
        <v>1032M715-002    LDE SIGNALS CABLE J10</v>
      </c>
      <c r="L2328">
        <v>3</v>
      </c>
      <c r="M2328" t="str">
        <f>"PR23000077"</f>
        <v>PR23000077</v>
      </c>
      <c r="N2328" t="str">
        <f>"E000383715"</f>
        <v>E000383715</v>
      </c>
      <c r="O2328">
        <v>561.74</v>
      </c>
      <c r="P2328" t="str">
        <f>"$"</f>
        <v>$</v>
      </c>
      <c r="Q2328" t="str">
        <f>"117"</f>
        <v>117</v>
      </c>
      <c r="R2328" t="str">
        <f>"רתמות"</f>
        <v>רתמות</v>
      </c>
      <c r="S2328" t="str">
        <f>"040"</f>
        <v>040</v>
      </c>
      <c r="T2328" t="str">
        <f>"עמר ליגל"</f>
        <v>עמר ליגל</v>
      </c>
      <c r="U2328">
        <v>0</v>
      </c>
      <c r="V2328">
        <v>0</v>
      </c>
      <c r="W2328">
        <v>561.74</v>
      </c>
      <c r="X2328" s="2">
        <v>1685.22</v>
      </c>
      <c r="Z2328" t="str">
        <f>"Y"</f>
        <v>Y</v>
      </c>
      <c r="AA2328">
        <v>0</v>
      </c>
      <c r="AC2328">
        <v>0</v>
      </c>
      <c r="AE2328">
        <v>0</v>
      </c>
      <c r="AF2328">
        <v>0</v>
      </c>
      <c r="AG2328" s="2">
        <v>1899.24</v>
      </c>
      <c r="AH2328">
        <v>0</v>
      </c>
      <c r="AI2328" s="2">
        <v>5697.73</v>
      </c>
      <c r="AJ2328" s="2">
        <v>1685.22</v>
      </c>
      <c r="AK2328" s="2">
        <v>1685.22</v>
      </c>
      <c r="AL2328" t="str">
        <f>"$"</f>
        <v>$</v>
      </c>
    </row>
    <row r="2329" spans="1:38" x14ac:dyDescent="0.3">
      <c r="A2329" t="str">
        <f>"SO23000048"</f>
        <v>SO23000048</v>
      </c>
      <c r="B2329" t="str">
        <f>"E000383715"</f>
        <v>E000383715</v>
      </c>
      <c r="C2329" t="str">
        <f>"בוצעה"</f>
        <v>בוצעה</v>
      </c>
      <c r="E2329" s="3">
        <v>44944</v>
      </c>
      <c r="F2329" s="3">
        <v>45076</v>
      </c>
      <c r="G2329" t="str">
        <f>"700065"</f>
        <v>700065</v>
      </c>
      <c r="H2329" t="str">
        <f>"אלתא מערכות בע""מ"</f>
        <v>אלתא מערכות בע"מ</v>
      </c>
      <c r="I2329" t="str">
        <f>"רחמים זרוק"</f>
        <v>רחמים זרוק</v>
      </c>
      <c r="J2329" t="str">
        <f>"OP-AR03547"</f>
        <v>OP-AR03547</v>
      </c>
      <c r="K2329" s="1" t="str">
        <f>"1032M721-001    LDE CONTROL CABLE J30 AND J2"</f>
        <v>1032M721-001    LDE CONTROL CABLE J30 AND J2</v>
      </c>
      <c r="L2329">
        <v>3</v>
      </c>
      <c r="M2329" t="str">
        <f>"PR23000077"</f>
        <v>PR23000077</v>
      </c>
      <c r="N2329" t="str">
        <f>"E000383715"</f>
        <v>E000383715</v>
      </c>
      <c r="O2329">
        <v>580.45000000000005</v>
      </c>
      <c r="P2329" t="str">
        <f>"$"</f>
        <v>$</v>
      </c>
      <c r="Q2329" t="str">
        <f>"117"</f>
        <v>117</v>
      </c>
      <c r="R2329" t="str">
        <f>"רתמות"</f>
        <v>רתמות</v>
      </c>
      <c r="S2329" t="str">
        <f>"040"</f>
        <v>040</v>
      </c>
      <c r="T2329" t="str">
        <f>"עמר ליגל"</f>
        <v>עמר ליגל</v>
      </c>
      <c r="U2329">
        <v>0</v>
      </c>
      <c r="V2329">
        <v>0</v>
      </c>
      <c r="W2329">
        <v>580.45000000000005</v>
      </c>
      <c r="X2329" s="2">
        <v>1741.35</v>
      </c>
      <c r="Z2329" t="str">
        <f>"Y"</f>
        <v>Y</v>
      </c>
      <c r="AA2329">
        <v>0</v>
      </c>
      <c r="AC2329">
        <v>0</v>
      </c>
      <c r="AE2329">
        <v>0</v>
      </c>
      <c r="AF2329">
        <v>0</v>
      </c>
      <c r="AG2329" s="2">
        <v>1962.5</v>
      </c>
      <c r="AH2329">
        <v>0</v>
      </c>
      <c r="AI2329" s="2">
        <v>5887.5</v>
      </c>
      <c r="AJ2329" s="2">
        <v>1741.35</v>
      </c>
      <c r="AK2329" s="2">
        <v>1741.35</v>
      </c>
      <c r="AL2329" t="str">
        <f>"$"</f>
        <v>$</v>
      </c>
    </row>
    <row r="2330" spans="1:38" x14ac:dyDescent="0.3">
      <c r="A2330" t="str">
        <f>"SO23000048"</f>
        <v>SO23000048</v>
      </c>
      <c r="B2330" t="str">
        <f>"E000383715"</f>
        <v>E000383715</v>
      </c>
      <c r="C2330" t="str">
        <f>"בוצעה"</f>
        <v>בוצעה</v>
      </c>
      <c r="E2330" s="3">
        <v>44944</v>
      </c>
      <c r="F2330" s="3">
        <v>45076</v>
      </c>
      <c r="G2330" t="str">
        <f>"700065"</f>
        <v>700065</v>
      </c>
      <c r="H2330" t="str">
        <f>"אלתא מערכות בע""מ"</f>
        <v>אלתא מערכות בע"מ</v>
      </c>
      <c r="I2330" t="str">
        <f>"רחמים זרוק"</f>
        <v>רחמים זרוק</v>
      </c>
      <c r="J2330" t="str">
        <f>"OP-AR03548"</f>
        <v>OP-AR03548</v>
      </c>
      <c r="K2330" s="1" t="str">
        <f>"1037N451-001    CABLE ASSY W44"</f>
        <v>1037N451-001    CABLE ASSY W44</v>
      </c>
      <c r="L2330">
        <v>3</v>
      </c>
      <c r="M2330" t="str">
        <f>"PR23000077"</f>
        <v>PR23000077</v>
      </c>
      <c r="N2330" t="str">
        <f>"E000383715"</f>
        <v>E000383715</v>
      </c>
      <c r="O2330">
        <v>328.89</v>
      </c>
      <c r="P2330" t="str">
        <f>"$"</f>
        <v>$</v>
      </c>
      <c r="Q2330" t="str">
        <f>"117"</f>
        <v>117</v>
      </c>
      <c r="R2330" t="str">
        <f>"רתמות"</f>
        <v>רתמות</v>
      </c>
      <c r="S2330" t="str">
        <f>"040"</f>
        <v>040</v>
      </c>
      <c r="T2330" t="str">
        <f>"עמר ליגל"</f>
        <v>עמר ליגל</v>
      </c>
      <c r="U2330">
        <v>0</v>
      </c>
      <c r="V2330">
        <v>0</v>
      </c>
      <c r="W2330">
        <v>328.89</v>
      </c>
      <c r="X2330">
        <v>986.67</v>
      </c>
      <c r="Z2330" t="str">
        <f>"Y"</f>
        <v>Y</v>
      </c>
      <c r="AA2330">
        <v>0</v>
      </c>
      <c r="AC2330">
        <v>0</v>
      </c>
      <c r="AE2330">
        <v>0</v>
      </c>
      <c r="AF2330">
        <v>0</v>
      </c>
      <c r="AG2330" s="2">
        <v>1111.98</v>
      </c>
      <c r="AH2330">
        <v>0</v>
      </c>
      <c r="AI2330" s="2">
        <v>3335.93</v>
      </c>
      <c r="AJ2330">
        <v>986.67</v>
      </c>
      <c r="AK2330">
        <v>986.67</v>
      </c>
      <c r="AL2330" t="str">
        <f>"$"</f>
        <v>$</v>
      </c>
    </row>
    <row r="2331" spans="1:38" x14ac:dyDescent="0.3">
      <c r="A2331" t="str">
        <f>"SO23000048"</f>
        <v>SO23000048</v>
      </c>
      <c r="B2331" t="str">
        <f>"E000383715"</f>
        <v>E000383715</v>
      </c>
      <c r="C2331" t="str">
        <f>"בוצעה"</f>
        <v>בוצעה</v>
      </c>
      <c r="E2331" s="3">
        <v>44944</v>
      </c>
      <c r="F2331" s="3">
        <v>45076</v>
      </c>
      <c r="G2331" t="str">
        <f>"700065"</f>
        <v>700065</v>
      </c>
      <c r="H2331" t="str">
        <f>"אלתא מערכות בע""מ"</f>
        <v>אלתא מערכות בע"מ</v>
      </c>
      <c r="I2331" t="str">
        <f>"רחמים זרוק"</f>
        <v>רחמים זרוק</v>
      </c>
      <c r="J2331" t="str">
        <f>"OP-AR03548"</f>
        <v>OP-AR03548</v>
      </c>
      <c r="K2331" s="1" t="str">
        <f>"1037N451-001    CABLE ASSY W44"</f>
        <v>1037N451-001    CABLE ASSY W44</v>
      </c>
      <c r="L2331">
        <v>2</v>
      </c>
      <c r="M2331" t="str">
        <f>"PR23000077"</f>
        <v>PR23000077</v>
      </c>
      <c r="N2331" t="str">
        <f>"E000383715"</f>
        <v>E000383715</v>
      </c>
      <c r="O2331">
        <v>328.89</v>
      </c>
      <c r="P2331" t="str">
        <f>"$"</f>
        <v>$</v>
      </c>
      <c r="Q2331" t="str">
        <f>"117"</f>
        <v>117</v>
      </c>
      <c r="R2331" t="str">
        <f>"רתמות"</f>
        <v>רתמות</v>
      </c>
      <c r="S2331" t="str">
        <f>"040"</f>
        <v>040</v>
      </c>
      <c r="T2331" t="str">
        <f>"עמר ליגל"</f>
        <v>עמר ליגל</v>
      </c>
      <c r="U2331">
        <v>0</v>
      </c>
      <c r="V2331">
        <v>0</v>
      </c>
      <c r="W2331">
        <v>328.89</v>
      </c>
      <c r="X2331">
        <v>657.78</v>
      </c>
      <c r="Z2331" t="str">
        <f>"Y"</f>
        <v>Y</v>
      </c>
      <c r="AA2331">
        <v>0</v>
      </c>
      <c r="AC2331">
        <v>0</v>
      </c>
      <c r="AE2331">
        <v>0</v>
      </c>
      <c r="AF2331">
        <v>0</v>
      </c>
      <c r="AG2331" s="2">
        <v>1111.98</v>
      </c>
      <c r="AH2331">
        <v>0</v>
      </c>
      <c r="AI2331" s="2">
        <v>2223.9499999999998</v>
      </c>
      <c r="AJ2331">
        <v>657.78</v>
      </c>
      <c r="AK2331">
        <v>657.78</v>
      </c>
      <c r="AL2331" t="str">
        <f>"$"</f>
        <v>$</v>
      </c>
    </row>
    <row r="2332" spans="1:38" x14ac:dyDescent="0.3">
      <c r="A2332" t="str">
        <f>"SO23000048"</f>
        <v>SO23000048</v>
      </c>
      <c r="B2332" t="str">
        <f>"E000383715"</f>
        <v>E000383715</v>
      </c>
      <c r="C2332" t="str">
        <f>"בוצעה"</f>
        <v>בוצעה</v>
      </c>
      <c r="E2332" s="3">
        <v>44944</v>
      </c>
      <c r="F2332" s="3">
        <v>45076</v>
      </c>
      <c r="G2332" t="str">
        <f>"700065"</f>
        <v>700065</v>
      </c>
      <c r="H2332" t="str">
        <f>"אלתא מערכות בע""מ"</f>
        <v>אלתא מערכות בע"מ</v>
      </c>
      <c r="I2332" t="str">
        <f>"רחמים זרוק"</f>
        <v>רחמים זרוק</v>
      </c>
      <c r="J2332" t="str">
        <f>"OP-AR03548"</f>
        <v>OP-AR03548</v>
      </c>
      <c r="K2332" s="1" t="str">
        <f>"1037N451-001    CABLE ASSY W44"</f>
        <v>1037N451-001    CABLE ASSY W44</v>
      </c>
      <c r="L2332">
        <v>2</v>
      </c>
      <c r="M2332" t="str">
        <f>"PR23000077"</f>
        <v>PR23000077</v>
      </c>
      <c r="N2332" t="str">
        <f>"E000383715"</f>
        <v>E000383715</v>
      </c>
      <c r="O2332">
        <v>328.89</v>
      </c>
      <c r="P2332" t="str">
        <f>"$"</f>
        <v>$</v>
      </c>
      <c r="Q2332" t="str">
        <f>"117"</f>
        <v>117</v>
      </c>
      <c r="R2332" t="str">
        <f>"רתמות"</f>
        <v>רתמות</v>
      </c>
      <c r="S2332" t="str">
        <f>"040"</f>
        <v>040</v>
      </c>
      <c r="T2332" t="str">
        <f>"עמר ליגל"</f>
        <v>עמר ליגל</v>
      </c>
      <c r="U2332">
        <v>0</v>
      </c>
      <c r="V2332">
        <v>0</v>
      </c>
      <c r="W2332">
        <v>328.89</v>
      </c>
      <c r="X2332">
        <v>657.78</v>
      </c>
      <c r="Z2332" t="str">
        <f>"Y"</f>
        <v>Y</v>
      </c>
      <c r="AA2332">
        <v>0</v>
      </c>
      <c r="AC2332">
        <v>0</v>
      </c>
      <c r="AE2332">
        <v>0</v>
      </c>
      <c r="AF2332">
        <v>0</v>
      </c>
      <c r="AG2332" s="2">
        <v>1111.98</v>
      </c>
      <c r="AH2332">
        <v>0</v>
      </c>
      <c r="AI2332" s="2">
        <v>2223.9499999999998</v>
      </c>
      <c r="AJ2332">
        <v>657.78</v>
      </c>
      <c r="AK2332">
        <v>657.78</v>
      </c>
      <c r="AL2332" t="str">
        <f>"$"</f>
        <v>$</v>
      </c>
    </row>
    <row r="2333" spans="1:38" x14ac:dyDescent="0.3">
      <c r="A2333" t="str">
        <f>"SO23000048"</f>
        <v>SO23000048</v>
      </c>
      <c r="B2333" t="str">
        <f>"E000383715"</f>
        <v>E000383715</v>
      </c>
      <c r="C2333" t="str">
        <f>"בוצעה"</f>
        <v>בוצעה</v>
      </c>
      <c r="E2333" s="3">
        <v>44944</v>
      </c>
      <c r="F2333" s="3">
        <v>45076</v>
      </c>
      <c r="G2333" t="str">
        <f>"700065"</f>
        <v>700065</v>
      </c>
      <c r="H2333" t="str">
        <f>"אלתא מערכות בע""מ"</f>
        <v>אלתא מערכות בע"מ</v>
      </c>
      <c r="I2333" t="str">
        <f>"רחמים זרוק"</f>
        <v>רחמים זרוק</v>
      </c>
      <c r="J2333" t="str">
        <f>"OP-AR03541"</f>
        <v>OP-AR03541</v>
      </c>
      <c r="K2333" s="1" t="str">
        <f>"1023F870-001    CABLE ASSY W42"</f>
        <v>1023F870-001    CABLE ASSY W42</v>
      </c>
      <c r="L2333">
        <v>4</v>
      </c>
      <c r="M2333" t="str">
        <f>"PR23000077"</f>
        <v>PR23000077</v>
      </c>
      <c r="N2333" t="str">
        <f>"E000383715"</f>
        <v>E000383715</v>
      </c>
      <c r="O2333">
        <v>367.6</v>
      </c>
      <c r="P2333" t="str">
        <f>"$"</f>
        <v>$</v>
      </c>
      <c r="Q2333" t="str">
        <f>"117"</f>
        <v>117</v>
      </c>
      <c r="R2333" t="str">
        <f>"רתמות"</f>
        <v>רתמות</v>
      </c>
      <c r="S2333" t="str">
        <f>"040"</f>
        <v>040</v>
      </c>
      <c r="T2333" t="str">
        <f>"עמר ליגל"</f>
        <v>עמר ליגל</v>
      </c>
      <c r="U2333">
        <v>0</v>
      </c>
      <c r="V2333">
        <v>0</v>
      </c>
      <c r="W2333">
        <v>367.6</v>
      </c>
      <c r="X2333" s="2">
        <v>1470.4</v>
      </c>
      <c r="Z2333" t="str">
        <f>"Y"</f>
        <v>Y</v>
      </c>
      <c r="AA2333">
        <v>0</v>
      </c>
      <c r="AC2333">
        <v>0</v>
      </c>
      <c r="AE2333">
        <v>0</v>
      </c>
      <c r="AF2333">
        <v>0</v>
      </c>
      <c r="AG2333" s="2">
        <v>1242.8599999999999</v>
      </c>
      <c r="AH2333">
        <v>0</v>
      </c>
      <c r="AI2333" s="2">
        <v>4971.42</v>
      </c>
      <c r="AJ2333" s="2">
        <v>1470.4</v>
      </c>
      <c r="AK2333" s="2">
        <v>1470.4</v>
      </c>
      <c r="AL2333" t="str">
        <f>"$"</f>
        <v>$</v>
      </c>
    </row>
    <row r="2334" spans="1:38" x14ac:dyDescent="0.3">
      <c r="A2334" t="str">
        <f>"SO23000048"</f>
        <v>SO23000048</v>
      </c>
      <c r="B2334" t="str">
        <f>"E000383715"</f>
        <v>E000383715</v>
      </c>
      <c r="C2334" t="str">
        <f>"בוצעה"</f>
        <v>בוצעה</v>
      </c>
      <c r="E2334" s="3">
        <v>44944</v>
      </c>
      <c r="F2334" s="3">
        <v>45076</v>
      </c>
      <c r="G2334" t="str">
        <f>"700065"</f>
        <v>700065</v>
      </c>
      <c r="H2334" t="str">
        <f>"אלתא מערכות בע""מ"</f>
        <v>אלתא מערכות בע"מ</v>
      </c>
      <c r="I2334" t="str">
        <f>"רחמים זרוק"</f>
        <v>רחמים זרוק</v>
      </c>
      <c r="J2334" t="str">
        <f>"OP-AR03548"</f>
        <v>OP-AR03548</v>
      </c>
      <c r="K2334" s="1" t="str">
        <f>"1037N451-001    CABLE ASSY W44"</f>
        <v>1037N451-001    CABLE ASSY W44</v>
      </c>
      <c r="L2334">
        <v>2</v>
      </c>
      <c r="M2334" t="str">
        <f>"PR23000077"</f>
        <v>PR23000077</v>
      </c>
      <c r="N2334" t="str">
        <f>"E000383715"</f>
        <v>E000383715</v>
      </c>
      <c r="O2334">
        <v>328.89</v>
      </c>
      <c r="P2334" t="str">
        <f>"$"</f>
        <v>$</v>
      </c>
      <c r="Q2334" t="str">
        <f>"117"</f>
        <v>117</v>
      </c>
      <c r="R2334" t="str">
        <f>"רתמות"</f>
        <v>רתמות</v>
      </c>
      <c r="S2334" t="str">
        <f>"040"</f>
        <v>040</v>
      </c>
      <c r="T2334" t="str">
        <f>"עמר ליגל"</f>
        <v>עמר ליגל</v>
      </c>
      <c r="U2334">
        <v>0</v>
      </c>
      <c r="V2334">
        <v>0</v>
      </c>
      <c r="W2334">
        <v>328.89</v>
      </c>
      <c r="X2334">
        <v>657.78</v>
      </c>
      <c r="Z2334" t="str">
        <f>"Y"</f>
        <v>Y</v>
      </c>
      <c r="AA2334">
        <v>0</v>
      </c>
      <c r="AC2334">
        <v>0</v>
      </c>
      <c r="AE2334">
        <v>0</v>
      </c>
      <c r="AF2334">
        <v>0</v>
      </c>
      <c r="AG2334" s="2">
        <v>1111.98</v>
      </c>
      <c r="AH2334">
        <v>0</v>
      </c>
      <c r="AI2334" s="2">
        <v>2223.9499999999998</v>
      </c>
      <c r="AJ2334">
        <v>657.78</v>
      </c>
      <c r="AK2334">
        <v>657.78</v>
      </c>
      <c r="AL2334" t="str">
        <f>"$"</f>
        <v>$</v>
      </c>
    </row>
    <row r="2335" spans="1:38" x14ac:dyDescent="0.3">
      <c r="A2335" t="str">
        <f>"SO23000049"</f>
        <v>SO23000049</v>
      </c>
      <c r="B2335" t="str">
        <f>"E000385043"</f>
        <v>E000385043</v>
      </c>
      <c r="C2335" t="str">
        <f>"מאושרת לבצוע"</f>
        <v>מאושרת לבצוע</v>
      </c>
      <c r="E2335" s="3">
        <v>44948</v>
      </c>
      <c r="F2335" s="3">
        <v>44948</v>
      </c>
      <c r="G2335" t="str">
        <f>"700065"</f>
        <v>700065</v>
      </c>
      <c r="H2335" t="str">
        <f>"אלתא מערכות בע""מ"</f>
        <v>אלתא מערכות בע"מ</v>
      </c>
      <c r="I2335" t="str">
        <f>"ערן שלו"</f>
        <v>ערן שלו</v>
      </c>
      <c r="J2335" t="str">
        <f>"CO0700054"</f>
        <v>CO0700054</v>
      </c>
      <c r="K2335" s="1" t="str">
        <f>"אטם TRISIL 03.31.10.1824 F 0811"</f>
        <v>אטם TRISIL 03.31.10.1824 F 0811</v>
      </c>
      <c r="L2335">
        <v>10</v>
      </c>
      <c r="M2335" t="str">
        <f>"PR23000081"</f>
        <v>PR23000081</v>
      </c>
      <c r="N2335" t="str">
        <f>"אספקת פריטים ללקוח"</f>
        <v>אספקת פריטים ללקוח</v>
      </c>
      <c r="O2335">
        <v>0</v>
      </c>
      <c r="P2335" t="str">
        <f>"$"</f>
        <v>$</v>
      </c>
      <c r="Q2335" t="str">
        <f>"118"</f>
        <v>118</v>
      </c>
      <c r="R2335" t="str">
        <f>"מערכות"</f>
        <v>מערכות</v>
      </c>
      <c r="S2335" t="str">
        <f>"034"</f>
        <v>034</v>
      </c>
      <c r="T2335" t="str">
        <f>"עמר ליגל"</f>
        <v>עמר ליגל</v>
      </c>
      <c r="U2335">
        <v>0</v>
      </c>
      <c r="V2335">
        <v>0</v>
      </c>
      <c r="W2335">
        <v>0</v>
      </c>
      <c r="X2335">
        <v>0</v>
      </c>
      <c r="Z2335" t="str">
        <f>"Y"</f>
        <v>Y</v>
      </c>
      <c r="AA2335">
        <v>0</v>
      </c>
      <c r="AC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 t="str">
        <f>"$"</f>
        <v>$</v>
      </c>
    </row>
    <row r="2336" spans="1:38" x14ac:dyDescent="0.3">
      <c r="A2336" t="str">
        <f>"SO23000049"</f>
        <v>SO23000049</v>
      </c>
      <c r="B2336" t="str">
        <f>"E000385043"</f>
        <v>E000385043</v>
      </c>
      <c r="C2336" t="str">
        <f>"מאושרת לבצוע"</f>
        <v>מאושרת לבצוע</v>
      </c>
      <c r="E2336" s="3">
        <v>44948</v>
      </c>
      <c r="F2336" s="3">
        <v>44948</v>
      </c>
      <c r="G2336" t="str">
        <f>"700065"</f>
        <v>700065</v>
      </c>
      <c r="H2336" t="str">
        <f>"אלתא מערכות בע""מ"</f>
        <v>אלתא מערכות בע"מ</v>
      </c>
      <c r="I2336" t="str">
        <f>"ערן שלו"</f>
        <v>ערן שלו</v>
      </c>
      <c r="J2336" t="str">
        <f>"ZV0180238"</f>
        <v>ZV0180238</v>
      </c>
      <c r="K2336" s="1" t="str">
        <f>"בסיס צ'קלקה עבור יחידת PDB LB / ARMY"</f>
        <v>בסיס צ'קלקה עבור יחידת PDB LB / ARMY</v>
      </c>
      <c r="L2336">
        <v>3</v>
      </c>
      <c r="M2336" t="str">
        <f>"PR23000081"</f>
        <v>PR23000081</v>
      </c>
      <c r="N2336" t="str">
        <f>"אספקת פריטים ללקוח"</f>
        <v>אספקת פריטים ללקוח</v>
      </c>
      <c r="O2336">
        <v>0</v>
      </c>
      <c r="P2336" t="str">
        <f>"$"</f>
        <v>$</v>
      </c>
      <c r="Q2336" t="str">
        <f>"118"</f>
        <v>118</v>
      </c>
      <c r="R2336" t="str">
        <f>"מערכות"</f>
        <v>מערכות</v>
      </c>
      <c r="S2336" t="str">
        <f>"034"</f>
        <v>034</v>
      </c>
      <c r="T2336" t="str">
        <f>"עמר ליגל"</f>
        <v>עמר ליגל</v>
      </c>
      <c r="U2336">
        <v>0</v>
      </c>
      <c r="V2336">
        <v>0</v>
      </c>
      <c r="W2336">
        <v>0</v>
      </c>
      <c r="X2336">
        <v>0</v>
      </c>
      <c r="Z2336" t="str">
        <f>"Y"</f>
        <v>Y</v>
      </c>
      <c r="AA2336">
        <v>0</v>
      </c>
      <c r="AC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 t="str">
        <f>"$"</f>
        <v>$</v>
      </c>
    </row>
    <row r="2337" spans="1:38" x14ac:dyDescent="0.3">
      <c r="A2337" t="str">
        <f>"SO23000049"</f>
        <v>SO23000049</v>
      </c>
      <c r="B2337" t="str">
        <f>"E000385043"</f>
        <v>E000385043</v>
      </c>
      <c r="C2337" t="str">
        <f>"מאושרת לבצוע"</f>
        <v>מאושרת לבצוע</v>
      </c>
      <c r="E2337" s="3">
        <v>44948</v>
      </c>
      <c r="F2337" s="3">
        <v>44948</v>
      </c>
      <c r="G2337" t="str">
        <f>"700065"</f>
        <v>700065</v>
      </c>
      <c r="H2337" t="str">
        <f>"אלתא מערכות בע""מ"</f>
        <v>אלתא מערכות בע"מ</v>
      </c>
      <c r="I2337" t="str">
        <f>"ערן שלו"</f>
        <v>ערן שלו</v>
      </c>
      <c r="J2337" t="str">
        <f>"PD0242919"</f>
        <v>PD0242919</v>
      </c>
      <c r="K2337" s="1" t="str">
        <f>"ממסר+לד RJ2S-CL 24DC"</f>
        <v>ממסר+לד RJ2S-CL 24DC</v>
      </c>
      <c r="L2337">
        <v>3</v>
      </c>
      <c r="M2337" t="str">
        <f>"PR23000081"</f>
        <v>PR23000081</v>
      </c>
      <c r="N2337" t="str">
        <f>"אספקת פריטים ללקוח"</f>
        <v>אספקת פריטים ללקוח</v>
      </c>
      <c r="O2337">
        <v>0</v>
      </c>
      <c r="P2337" t="str">
        <f>"$"</f>
        <v>$</v>
      </c>
      <c r="Q2337" t="str">
        <f>"118"</f>
        <v>118</v>
      </c>
      <c r="R2337" t="str">
        <f>"מערכות"</f>
        <v>מערכות</v>
      </c>
      <c r="S2337" t="str">
        <f>"034"</f>
        <v>034</v>
      </c>
      <c r="T2337" t="str">
        <f>"עמר ליגל"</f>
        <v>עמר ליגל</v>
      </c>
      <c r="U2337">
        <v>0</v>
      </c>
      <c r="V2337">
        <v>0</v>
      </c>
      <c r="W2337">
        <v>0</v>
      </c>
      <c r="X2337">
        <v>0</v>
      </c>
      <c r="Z2337" t="str">
        <f>"Y"</f>
        <v>Y</v>
      </c>
      <c r="AA2337">
        <v>0</v>
      </c>
      <c r="AC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 t="str">
        <f>"$"</f>
        <v>$</v>
      </c>
    </row>
    <row r="2338" spans="1:38" x14ac:dyDescent="0.3">
      <c r="A2338" t="str">
        <f>"SO23000049"</f>
        <v>SO23000049</v>
      </c>
      <c r="B2338" t="str">
        <f>"E000385043"</f>
        <v>E000385043</v>
      </c>
      <c r="C2338" t="str">
        <f>"מאושרת לבצוע"</f>
        <v>מאושרת לבצוע</v>
      </c>
      <c r="E2338" s="3">
        <v>44948</v>
      </c>
      <c r="F2338" s="3">
        <v>44949</v>
      </c>
      <c r="G2338" t="str">
        <f>"700065"</f>
        <v>700065</v>
      </c>
      <c r="H2338" t="str">
        <f>"אלתא מערכות בע""מ"</f>
        <v>אלתא מערכות בע"מ</v>
      </c>
      <c r="I2338" t="str">
        <f>"ערן שלו"</f>
        <v>ערן שלו</v>
      </c>
      <c r="J2338" t="str">
        <f>"000"</f>
        <v>000</v>
      </c>
      <c r="K2338" s="1" t="str">
        <f>"חלפים לPDB"</f>
        <v>חלפים לPDB</v>
      </c>
      <c r="L2338">
        <v>1</v>
      </c>
      <c r="M2338" t="str">
        <f>"PR23000081"</f>
        <v>PR23000081</v>
      </c>
      <c r="N2338" t="str">
        <f>"אספקת פריטים ללקוח"</f>
        <v>אספקת פריטים ללקוח</v>
      </c>
      <c r="O2338">
        <v>900</v>
      </c>
      <c r="P2338" t="str">
        <f>"$"</f>
        <v>$</v>
      </c>
      <c r="Q2338" t="str">
        <f>"118"</f>
        <v>118</v>
      </c>
      <c r="R2338" t="str">
        <f>"מערכות"</f>
        <v>מערכות</v>
      </c>
      <c r="S2338" t="str">
        <f>"034"</f>
        <v>034</v>
      </c>
      <c r="T2338" t="str">
        <f>"עמר ליגל"</f>
        <v>עמר ליגל</v>
      </c>
      <c r="U2338">
        <v>0</v>
      </c>
      <c r="V2338">
        <v>0</v>
      </c>
      <c r="W2338">
        <v>900</v>
      </c>
      <c r="X2338">
        <v>900</v>
      </c>
      <c r="AA2338">
        <v>1</v>
      </c>
      <c r="AC2338">
        <v>0</v>
      </c>
      <c r="AE2338">
        <v>0</v>
      </c>
      <c r="AF2338">
        <v>0</v>
      </c>
      <c r="AG2338" s="2">
        <v>3066.3</v>
      </c>
      <c r="AH2338">
        <v>0</v>
      </c>
      <c r="AI2338" s="2">
        <v>3066.3</v>
      </c>
      <c r="AJ2338">
        <v>900</v>
      </c>
      <c r="AK2338">
        <v>900</v>
      </c>
      <c r="AL2338" t="str">
        <f>"$"</f>
        <v>$</v>
      </c>
    </row>
    <row r="2339" spans="1:38" x14ac:dyDescent="0.3">
      <c r="A2339" t="str">
        <f>"SO23000054"</f>
        <v>SO23000054</v>
      </c>
      <c r="B2339" t="str">
        <f>"E000384484"</f>
        <v>E000384484</v>
      </c>
      <c r="C2339" t="str">
        <f>"מאושרת לחיוב"</f>
        <v>מאושרת לחיוב</v>
      </c>
      <c r="E2339" s="3">
        <v>44949</v>
      </c>
      <c r="F2339" s="3">
        <v>45056</v>
      </c>
      <c r="G2339" t="str">
        <f>"700065"</f>
        <v>700065</v>
      </c>
      <c r="H2339" t="str">
        <f>"אלתא מערכות בע""מ"</f>
        <v>אלתא מערכות בע"מ</v>
      </c>
      <c r="I2339" t="str">
        <f>"רוני דידי"</f>
        <v>רוני דידי</v>
      </c>
      <c r="J2339" t="str">
        <f>"OP-AR03550"</f>
        <v>OP-AR03550</v>
      </c>
      <c r="K2339" s="1" t="str">
        <f>"PDU LAB SOCD 6930P400-001"</f>
        <v>PDU LAB SOCD 6930P400-001</v>
      </c>
      <c r="L2339">
        <v>2</v>
      </c>
      <c r="M2339" t="str">
        <f>"PR23000083"</f>
        <v>PR23000083</v>
      </c>
      <c r="N2339" t="str">
        <f>"PDU LAB SOCD 6930P400-001"</f>
        <v>PDU LAB SOCD 6930P400-001</v>
      </c>
      <c r="O2339">
        <v>0</v>
      </c>
      <c r="P2339" t="str">
        <f>"$"</f>
        <v>$</v>
      </c>
      <c r="Q2339" t="str">
        <f>"118"</f>
        <v>118</v>
      </c>
      <c r="R2339" t="str">
        <f>"מערכות"</f>
        <v>מערכות</v>
      </c>
      <c r="S2339" t="str">
        <f>"007"</f>
        <v>007</v>
      </c>
      <c r="T2339" t="str">
        <f>"עמר ליגל"</f>
        <v>עמר ליגל</v>
      </c>
      <c r="U2339">
        <v>0</v>
      </c>
      <c r="V2339">
        <v>0</v>
      </c>
      <c r="W2339">
        <v>0</v>
      </c>
      <c r="X2339">
        <v>0</v>
      </c>
      <c r="AA2339">
        <v>0</v>
      </c>
      <c r="AC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 t="str">
        <f>"$"</f>
        <v>$</v>
      </c>
    </row>
    <row r="2340" spans="1:38" x14ac:dyDescent="0.3">
      <c r="A2340" t="str">
        <f>"SO23000054"</f>
        <v>SO23000054</v>
      </c>
      <c r="B2340" t="str">
        <f>"E000384484"</f>
        <v>E000384484</v>
      </c>
      <c r="C2340" t="str">
        <f>"מאושרת לחיוב"</f>
        <v>מאושרת לחיוב</v>
      </c>
      <c r="E2340" s="3">
        <v>44949</v>
      </c>
      <c r="F2340" s="3">
        <v>45091</v>
      </c>
      <c r="G2340" t="str">
        <f>"700065"</f>
        <v>700065</v>
      </c>
      <c r="H2340" t="str">
        <f>"אלתא מערכות בע""מ"</f>
        <v>אלתא מערכות בע"מ</v>
      </c>
      <c r="I2340" t="str">
        <f>"רוני דידי"</f>
        <v>רוני דידי</v>
      </c>
      <c r="J2340" t="str">
        <f>"000"</f>
        <v>000</v>
      </c>
      <c r="K2340" s="1" t="str">
        <f>"6930P400-001"</f>
        <v>6930P400-001</v>
      </c>
      <c r="L2340">
        <v>1</v>
      </c>
      <c r="M2340" t="str">
        <f>"PR23000083"</f>
        <v>PR23000083</v>
      </c>
      <c r="N2340" t="str">
        <f>"PDU LAB SOCD 6930P400-001"</f>
        <v>PDU LAB SOCD 6930P400-001</v>
      </c>
      <c r="O2340" s="2">
        <v>3500</v>
      </c>
      <c r="P2340" t="str">
        <f>"$"</f>
        <v>$</v>
      </c>
      <c r="Q2340" t="str">
        <f>"118"</f>
        <v>118</v>
      </c>
      <c r="R2340" t="str">
        <f>"מערכות"</f>
        <v>מערכות</v>
      </c>
      <c r="S2340" t="str">
        <f>"007"</f>
        <v>007</v>
      </c>
      <c r="T2340" t="str">
        <f>"עמר ליגל"</f>
        <v>עמר ליגל</v>
      </c>
      <c r="U2340">
        <v>0</v>
      </c>
      <c r="V2340">
        <v>0</v>
      </c>
      <c r="W2340" s="2">
        <v>3500</v>
      </c>
      <c r="X2340" s="2">
        <v>3500</v>
      </c>
      <c r="AA2340">
        <v>1</v>
      </c>
      <c r="AC2340">
        <v>0</v>
      </c>
      <c r="AE2340">
        <v>0</v>
      </c>
      <c r="AF2340">
        <v>0</v>
      </c>
      <c r="AG2340" s="2">
        <v>11830</v>
      </c>
      <c r="AH2340">
        <v>0</v>
      </c>
      <c r="AI2340" s="2">
        <v>11830</v>
      </c>
      <c r="AJ2340" s="2">
        <v>3500</v>
      </c>
      <c r="AK2340" s="2">
        <v>3500</v>
      </c>
      <c r="AL2340" t="str">
        <f>"$"</f>
        <v>$</v>
      </c>
    </row>
    <row r="2341" spans="1:38" x14ac:dyDescent="0.3">
      <c r="A2341" t="str">
        <f>"SO23000060"</f>
        <v>SO23000060</v>
      </c>
      <c r="B2341" t="str">
        <f>"E000385907"</f>
        <v>E000385907</v>
      </c>
      <c r="C2341" t="str">
        <f>"מאושרת לבצוע"</f>
        <v>מאושרת לבצוע</v>
      </c>
      <c r="E2341" s="3">
        <v>44952</v>
      </c>
      <c r="F2341" s="3">
        <v>44952</v>
      </c>
      <c r="G2341" t="str">
        <f>"700065"</f>
        <v>700065</v>
      </c>
      <c r="H2341" t="str">
        <f>"אלתא מערכות בע""מ"</f>
        <v>אלתא מערכות בע"מ</v>
      </c>
      <c r="I2341" t="str">
        <f>"רוני דידי"</f>
        <v>רוני דידי</v>
      </c>
      <c r="J2341" t="str">
        <f>"MV9900004"</f>
        <v>MV9900004</v>
      </c>
      <c r="K2341" s="1" t="str">
        <f>"פיטינג מתכתי פליז לכבל+אום PG-29"</f>
        <v>פיטינג מתכתי פליז לכבל+אום PG-29</v>
      </c>
      <c r="L2341">
        <v>20</v>
      </c>
      <c r="M2341" t="str">
        <f>"PR23000096"</f>
        <v>PR23000096</v>
      </c>
      <c r="N2341" t="str">
        <f>"הצטיידות בכניסות  טל שמיים"</f>
        <v>הצטיידות בכניסות  טל שמיים</v>
      </c>
      <c r="O2341">
        <v>12</v>
      </c>
      <c r="P2341" t="str">
        <f>"$"</f>
        <v>$</v>
      </c>
      <c r="Q2341" t="str">
        <f>"118"</f>
        <v>118</v>
      </c>
      <c r="R2341" t="str">
        <f>"מערכות"</f>
        <v>מערכות</v>
      </c>
      <c r="S2341" t="str">
        <f>"007"</f>
        <v>007</v>
      </c>
      <c r="T2341" t="str">
        <f>"עמר ליגל"</f>
        <v>עמר ליגל</v>
      </c>
      <c r="U2341">
        <v>0</v>
      </c>
      <c r="V2341">
        <v>0</v>
      </c>
      <c r="W2341">
        <v>12</v>
      </c>
      <c r="X2341">
        <v>240</v>
      </c>
      <c r="AA2341">
        <v>0</v>
      </c>
      <c r="AC2341">
        <v>0</v>
      </c>
      <c r="AE2341">
        <v>0</v>
      </c>
      <c r="AF2341">
        <v>0</v>
      </c>
      <c r="AG2341">
        <v>40.79</v>
      </c>
      <c r="AH2341">
        <v>0</v>
      </c>
      <c r="AI2341">
        <v>815.76</v>
      </c>
      <c r="AJ2341">
        <v>240</v>
      </c>
      <c r="AK2341">
        <v>240</v>
      </c>
      <c r="AL2341" t="str">
        <f>"$"</f>
        <v>$</v>
      </c>
    </row>
    <row r="2342" spans="1:38" x14ac:dyDescent="0.3">
      <c r="A2342" t="str">
        <f>"SO23000060"</f>
        <v>SO23000060</v>
      </c>
      <c r="B2342" t="str">
        <f>"E000385907"</f>
        <v>E000385907</v>
      </c>
      <c r="C2342" t="str">
        <f>"מאושרת לבצוע"</f>
        <v>מאושרת לבצוע</v>
      </c>
      <c r="E2342" s="3">
        <v>44952</v>
      </c>
      <c r="F2342" s="3">
        <v>44952</v>
      </c>
      <c r="G2342" t="str">
        <f>"700065"</f>
        <v>700065</v>
      </c>
      <c r="H2342" t="str">
        <f>"אלתא מערכות בע""מ"</f>
        <v>אלתא מערכות בע"מ</v>
      </c>
      <c r="I2342" t="str">
        <f>"רוני דידי"</f>
        <v>רוני דידי</v>
      </c>
      <c r="J2342" t="str">
        <f>"MV9922216"</f>
        <v>MV9922216</v>
      </c>
      <c r="K2342" s="1" t="str">
        <f>"פיטינג מתכתי פליז לכבל+אום PG-21"</f>
        <v>פיטינג מתכתי פליז לכבל+אום PG-21</v>
      </c>
      <c r="L2342">
        <v>10</v>
      </c>
      <c r="M2342" t="str">
        <f>"PR23000096"</f>
        <v>PR23000096</v>
      </c>
      <c r="N2342" t="str">
        <f>"הצטיידות בכניסות  טל שמיים"</f>
        <v>הצטיידות בכניסות  טל שמיים</v>
      </c>
      <c r="O2342">
        <v>7</v>
      </c>
      <c r="P2342" t="str">
        <f>"$"</f>
        <v>$</v>
      </c>
      <c r="Q2342" t="str">
        <f>"118"</f>
        <v>118</v>
      </c>
      <c r="R2342" t="str">
        <f>"מערכות"</f>
        <v>מערכות</v>
      </c>
      <c r="S2342" t="str">
        <f>"007"</f>
        <v>007</v>
      </c>
      <c r="T2342" t="str">
        <f>"עמר ליגל"</f>
        <v>עמר ליגל</v>
      </c>
      <c r="U2342">
        <v>0</v>
      </c>
      <c r="V2342">
        <v>0</v>
      </c>
      <c r="W2342">
        <v>7</v>
      </c>
      <c r="X2342">
        <v>70</v>
      </c>
      <c r="AA2342">
        <v>0</v>
      </c>
      <c r="AC2342">
        <v>0</v>
      </c>
      <c r="AE2342">
        <v>0</v>
      </c>
      <c r="AF2342">
        <v>0</v>
      </c>
      <c r="AG2342">
        <v>23.79</v>
      </c>
      <c r="AH2342">
        <v>0</v>
      </c>
      <c r="AI2342">
        <v>237.93</v>
      </c>
      <c r="AJ2342">
        <v>70</v>
      </c>
      <c r="AK2342">
        <v>70</v>
      </c>
      <c r="AL2342" t="str">
        <f>"$"</f>
        <v>$</v>
      </c>
    </row>
    <row r="2343" spans="1:38" x14ac:dyDescent="0.3">
      <c r="A2343" t="str">
        <f>"SO23000060"</f>
        <v>SO23000060</v>
      </c>
      <c r="B2343" t="str">
        <f>"E000385907"</f>
        <v>E000385907</v>
      </c>
      <c r="C2343" t="str">
        <f>"מאושרת לבצוע"</f>
        <v>מאושרת לבצוע</v>
      </c>
      <c r="E2343" s="3">
        <v>44952</v>
      </c>
      <c r="F2343" s="3">
        <v>44957</v>
      </c>
      <c r="G2343" t="str">
        <f>"700065"</f>
        <v>700065</v>
      </c>
      <c r="H2343" t="str">
        <f>"אלתא מערכות בע""מ"</f>
        <v>אלתא מערכות בע"מ</v>
      </c>
      <c r="I2343" t="str">
        <f>"רוני דידי"</f>
        <v>רוני דידי</v>
      </c>
      <c r="J2343" t="str">
        <f>"000"</f>
        <v>000</v>
      </c>
      <c r="K2343" s="1" t="str">
        <f>"אטם גומי גדול - אורינג - לכני"</f>
        <v>אטם גומי גדול - אורינג - לכני</v>
      </c>
      <c r="L2343">
        <v>20</v>
      </c>
      <c r="M2343" t="str">
        <f>"PR23000096"</f>
        <v>PR23000096</v>
      </c>
      <c r="N2343" t="str">
        <f>"הצטיידות בכניסות  טל שמיים"</f>
        <v>הצטיידות בכניסות  טל שמיים</v>
      </c>
      <c r="O2343">
        <v>0.2</v>
      </c>
      <c r="P2343" t="str">
        <f>"$"</f>
        <v>$</v>
      </c>
      <c r="Q2343" t="str">
        <f>"118"</f>
        <v>118</v>
      </c>
      <c r="R2343" t="str">
        <f>"מערכות"</f>
        <v>מערכות</v>
      </c>
      <c r="S2343" t="str">
        <f>"007"</f>
        <v>007</v>
      </c>
      <c r="T2343" t="str">
        <f>"עמר ליגל"</f>
        <v>עמר ליגל</v>
      </c>
      <c r="U2343">
        <v>0</v>
      </c>
      <c r="V2343">
        <v>0</v>
      </c>
      <c r="W2343">
        <v>0.2</v>
      </c>
      <c r="X2343">
        <v>4</v>
      </c>
      <c r="AA2343">
        <v>20</v>
      </c>
      <c r="AC2343">
        <v>0</v>
      </c>
      <c r="AE2343">
        <v>0</v>
      </c>
      <c r="AF2343">
        <v>0</v>
      </c>
      <c r="AG2343">
        <v>0.68</v>
      </c>
      <c r="AH2343">
        <v>0</v>
      </c>
      <c r="AI2343">
        <v>13.6</v>
      </c>
      <c r="AJ2343">
        <v>4</v>
      </c>
      <c r="AK2343">
        <v>4</v>
      </c>
      <c r="AL2343" t="str">
        <f>"$"</f>
        <v>$</v>
      </c>
    </row>
    <row r="2344" spans="1:38" x14ac:dyDescent="0.3">
      <c r="A2344" t="str">
        <f>"SO23000060"</f>
        <v>SO23000060</v>
      </c>
      <c r="B2344" t="str">
        <f>"E000385907"</f>
        <v>E000385907</v>
      </c>
      <c r="C2344" t="str">
        <f>"מאושרת לבצוע"</f>
        <v>מאושרת לבצוע</v>
      </c>
      <c r="E2344" s="3">
        <v>44952</v>
      </c>
      <c r="F2344" s="3">
        <v>44957</v>
      </c>
      <c r="G2344" t="str">
        <f>"700065"</f>
        <v>700065</v>
      </c>
      <c r="H2344" t="str">
        <f>"אלתא מערכות בע""מ"</f>
        <v>אלתא מערכות בע"מ</v>
      </c>
      <c r="I2344" t="str">
        <f>"רוני דידי"</f>
        <v>רוני דידי</v>
      </c>
      <c r="J2344" t="str">
        <f>"000"</f>
        <v>000</v>
      </c>
      <c r="K2344" s="1" t="str">
        <f>"אטם גומי גדול - אורינג - לכני"</f>
        <v>אטם גומי גדול - אורינג - לכני</v>
      </c>
      <c r="L2344">
        <v>20</v>
      </c>
      <c r="M2344" t="str">
        <f>"PR23000096"</f>
        <v>PR23000096</v>
      </c>
      <c r="N2344" t="str">
        <f>"הצטיידות בכניסות  טל שמיים"</f>
        <v>הצטיידות בכניסות  טל שמיים</v>
      </c>
      <c r="O2344">
        <v>0.2</v>
      </c>
      <c r="P2344" t="str">
        <f>"$"</f>
        <v>$</v>
      </c>
      <c r="Q2344" t="str">
        <f>"118"</f>
        <v>118</v>
      </c>
      <c r="R2344" t="str">
        <f>"מערכות"</f>
        <v>מערכות</v>
      </c>
      <c r="S2344" t="str">
        <f>"007"</f>
        <v>007</v>
      </c>
      <c r="T2344" t="str">
        <f>"עמר ליגל"</f>
        <v>עמר ליגל</v>
      </c>
      <c r="U2344">
        <v>0</v>
      </c>
      <c r="V2344">
        <v>0</v>
      </c>
      <c r="W2344">
        <v>0.2</v>
      </c>
      <c r="X2344">
        <v>4</v>
      </c>
      <c r="AA2344">
        <v>20</v>
      </c>
      <c r="AC2344">
        <v>0</v>
      </c>
      <c r="AE2344">
        <v>0</v>
      </c>
      <c r="AF2344">
        <v>0</v>
      </c>
      <c r="AG2344">
        <v>0.68</v>
      </c>
      <c r="AH2344">
        <v>0</v>
      </c>
      <c r="AI2344">
        <v>13.6</v>
      </c>
      <c r="AJ2344">
        <v>4</v>
      </c>
      <c r="AK2344">
        <v>4</v>
      </c>
      <c r="AL2344" t="str">
        <f>"$"</f>
        <v>$</v>
      </c>
    </row>
    <row r="2345" spans="1:38" x14ac:dyDescent="0.3">
      <c r="A2345" t="str">
        <f>"SO23000063"</f>
        <v>SO23000063</v>
      </c>
      <c r="B2345" t="str">
        <f>"E000383952"</f>
        <v>E000383952</v>
      </c>
      <c r="C2345" t="str">
        <f>"מאושרת לבצוע"</f>
        <v>מאושרת לבצוע</v>
      </c>
      <c r="E2345" s="3">
        <v>44956</v>
      </c>
      <c r="F2345" s="3">
        <v>45120</v>
      </c>
      <c r="G2345" t="str">
        <f>"700065"</f>
        <v>700065</v>
      </c>
      <c r="H2345" t="str">
        <f>"אלתא מערכות בע""מ"</f>
        <v>אלתא מערכות בע"מ</v>
      </c>
      <c r="I2345" t="str">
        <f>"רוני דידי"</f>
        <v>רוני דידי</v>
      </c>
      <c r="J2345" t="str">
        <f>"PS0200161"</f>
        <v>PS0200161</v>
      </c>
      <c r="K2345" s="1" t="str">
        <f>"ספק כח ווידמולר 1478150000 pro max 960W 24V 40A"</f>
        <v>ספק כח ווידמולר 1478150000 pro max 960W 24V 40A</v>
      </c>
      <c r="L2345">
        <v>2</v>
      </c>
      <c r="M2345" t="str">
        <f>"PR23000127"</f>
        <v>PR23000127</v>
      </c>
      <c r="N2345" t="str">
        <f>"אספקת רכיבים DELTA"</f>
        <v>אספקת רכיבים DELTA</v>
      </c>
      <c r="O2345">
        <v>645</v>
      </c>
      <c r="P2345" t="str">
        <f>"$"</f>
        <v>$</v>
      </c>
      <c r="Q2345" t="str">
        <f>"112"</f>
        <v>112</v>
      </c>
      <c r="R2345" t="str">
        <f>"תיקון תקלות"</f>
        <v>תיקון תקלות</v>
      </c>
      <c r="S2345" t="str">
        <f>"007"</f>
        <v>007</v>
      </c>
      <c r="T2345" t="str">
        <f>"עמר ליגל"</f>
        <v>עמר ליגל</v>
      </c>
      <c r="U2345">
        <v>0</v>
      </c>
      <c r="V2345">
        <v>0</v>
      </c>
      <c r="W2345">
        <v>645</v>
      </c>
      <c r="X2345" s="2">
        <v>1290</v>
      </c>
      <c r="Z2345" t="str">
        <f>"Y"</f>
        <v>Y</v>
      </c>
      <c r="AA2345">
        <v>0</v>
      </c>
      <c r="AC2345">
        <v>0</v>
      </c>
      <c r="AE2345">
        <v>0</v>
      </c>
      <c r="AF2345">
        <v>0</v>
      </c>
      <c r="AG2345" s="2">
        <v>2236.86</v>
      </c>
      <c r="AH2345">
        <v>0</v>
      </c>
      <c r="AI2345" s="2">
        <v>4473.72</v>
      </c>
      <c r="AJ2345" s="2">
        <v>1290</v>
      </c>
      <c r="AK2345" s="2">
        <v>1290</v>
      </c>
      <c r="AL2345" t="str">
        <f>"$"</f>
        <v>$</v>
      </c>
    </row>
    <row r="2346" spans="1:38" x14ac:dyDescent="0.3">
      <c r="A2346" t="str">
        <f>"SO23000063"</f>
        <v>SO23000063</v>
      </c>
      <c r="B2346" t="str">
        <f>"E000383952"</f>
        <v>E000383952</v>
      </c>
      <c r="C2346" t="str">
        <f>"מאושרת לבצוע"</f>
        <v>מאושרת לבצוע</v>
      </c>
      <c r="E2346" s="3">
        <v>44956</v>
      </c>
      <c r="F2346" s="3">
        <v>45046</v>
      </c>
      <c r="G2346" t="str">
        <f>"700065"</f>
        <v>700065</v>
      </c>
      <c r="H2346" t="str">
        <f>"אלתא מערכות בע""מ"</f>
        <v>אלתא מערכות בע"מ</v>
      </c>
      <c r="I2346" t="str">
        <f>"רוני דידי"</f>
        <v>רוני דידי</v>
      </c>
      <c r="J2346" t="str">
        <f>"PS0300006"</f>
        <v>PS0300006</v>
      </c>
      <c r="K2346" s="1" t="str">
        <f>"TSI-EPC - 380Vac-Module BRAVO"</f>
        <v>TSI-EPC - 380Vac-Module BRAVO</v>
      </c>
      <c r="L2346">
        <v>20</v>
      </c>
      <c r="M2346" t="str">
        <f>"PR23000127"</f>
        <v>PR23000127</v>
      </c>
      <c r="N2346" t="str">
        <f>"אספקת רכיבים DELTA"</f>
        <v>אספקת רכיבים DELTA</v>
      </c>
      <c r="O2346" s="2">
        <v>1852.5</v>
      </c>
      <c r="P2346" t="str">
        <f>"$"</f>
        <v>$</v>
      </c>
      <c r="Q2346" t="str">
        <f>"112"</f>
        <v>112</v>
      </c>
      <c r="R2346" t="str">
        <f>"תיקון תקלות"</f>
        <v>תיקון תקלות</v>
      </c>
      <c r="S2346" t="str">
        <f>"007"</f>
        <v>007</v>
      </c>
      <c r="T2346" t="str">
        <f>"עמר ליגל"</f>
        <v>עמר ליגל</v>
      </c>
      <c r="U2346">
        <v>0</v>
      </c>
      <c r="V2346">
        <v>0</v>
      </c>
      <c r="W2346" s="2">
        <v>1852.5</v>
      </c>
      <c r="X2346" s="2">
        <v>37050</v>
      </c>
      <c r="Z2346" t="str">
        <f>"Y"</f>
        <v>Y</v>
      </c>
      <c r="AA2346">
        <v>0</v>
      </c>
      <c r="AC2346">
        <v>0</v>
      </c>
      <c r="AE2346">
        <v>0</v>
      </c>
      <c r="AF2346">
        <v>0</v>
      </c>
      <c r="AG2346" s="2">
        <v>6424.47</v>
      </c>
      <c r="AH2346">
        <v>0</v>
      </c>
      <c r="AI2346" s="2">
        <v>128489.4</v>
      </c>
      <c r="AJ2346" s="2">
        <v>37050</v>
      </c>
      <c r="AK2346" s="2">
        <v>37050</v>
      </c>
      <c r="AL2346" t="str">
        <f>"$"</f>
        <v>$</v>
      </c>
    </row>
    <row r="2347" spans="1:38" x14ac:dyDescent="0.3">
      <c r="A2347" t="str">
        <f>"SO23000063"</f>
        <v>SO23000063</v>
      </c>
      <c r="B2347" t="str">
        <f>"E000383952"</f>
        <v>E000383952</v>
      </c>
      <c r="C2347" t="str">
        <f>"מאושרת לבצוע"</f>
        <v>מאושרת לבצוע</v>
      </c>
      <c r="E2347" s="3">
        <v>44956</v>
      </c>
      <c r="F2347" s="3">
        <v>45046</v>
      </c>
      <c r="G2347" t="str">
        <f>"700065"</f>
        <v>700065</v>
      </c>
      <c r="H2347" t="str">
        <f>"אלתא מערכות בע""מ"</f>
        <v>אלתא מערכות בע"מ</v>
      </c>
      <c r="I2347" t="str">
        <f>"רוני דידי"</f>
        <v>רוני דידי</v>
      </c>
      <c r="J2347" t="str">
        <f>"PS9900057"</f>
        <v>PS9900057</v>
      </c>
      <c r="K2347" s="1" t="str">
        <f>"TSI-T2S-ETH-BRAVO-2C-HVDC"</f>
        <v>TSI-T2S-ETH-BRAVO-2C-HVDC</v>
      </c>
      <c r="L2347">
        <v>2</v>
      </c>
      <c r="M2347" t="str">
        <f>"PR23000127"</f>
        <v>PR23000127</v>
      </c>
      <c r="N2347" t="str">
        <f>"אספקת רכיבים DELTA"</f>
        <v>אספקת רכיבים DELTA</v>
      </c>
      <c r="O2347">
        <v>456</v>
      </c>
      <c r="P2347" t="str">
        <f>"$"</f>
        <v>$</v>
      </c>
      <c r="Q2347" t="str">
        <f>"112"</f>
        <v>112</v>
      </c>
      <c r="R2347" t="str">
        <f>"תיקון תקלות"</f>
        <v>תיקון תקלות</v>
      </c>
      <c r="S2347" t="str">
        <f>"007"</f>
        <v>007</v>
      </c>
      <c r="T2347" t="str">
        <f>"עמר ליגל"</f>
        <v>עמר ליגל</v>
      </c>
      <c r="U2347">
        <v>0</v>
      </c>
      <c r="V2347">
        <v>0</v>
      </c>
      <c r="W2347">
        <v>456</v>
      </c>
      <c r="X2347">
        <v>912</v>
      </c>
      <c r="Z2347" t="str">
        <f>"Y"</f>
        <v>Y</v>
      </c>
      <c r="AA2347">
        <v>0</v>
      </c>
      <c r="AC2347">
        <v>0</v>
      </c>
      <c r="AE2347">
        <v>0</v>
      </c>
      <c r="AF2347">
        <v>0</v>
      </c>
      <c r="AG2347" s="2">
        <v>1581.41</v>
      </c>
      <c r="AH2347">
        <v>0</v>
      </c>
      <c r="AI2347" s="2">
        <v>3162.82</v>
      </c>
      <c r="AJ2347">
        <v>912</v>
      </c>
      <c r="AK2347">
        <v>912</v>
      </c>
      <c r="AL2347" t="str">
        <f>"$"</f>
        <v>$</v>
      </c>
    </row>
    <row r="2348" spans="1:38" x14ac:dyDescent="0.3">
      <c r="A2348" t="str">
        <f>"SO23000063"</f>
        <v>SO23000063</v>
      </c>
      <c r="B2348" t="str">
        <f>"E000383952"</f>
        <v>E000383952</v>
      </c>
      <c r="C2348" t="str">
        <f>"מאושרת לבצוע"</f>
        <v>מאושרת לבצוע</v>
      </c>
      <c r="E2348" s="3">
        <v>44956</v>
      </c>
      <c r="F2348" s="3">
        <v>45046</v>
      </c>
      <c r="G2348" t="str">
        <f>"700065"</f>
        <v>700065</v>
      </c>
      <c r="H2348" t="str">
        <f>"אלתא מערכות בע""מ"</f>
        <v>אלתא מערכות בע"מ</v>
      </c>
      <c r="I2348" t="str">
        <f>"רוני דידי"</f>
        <v>רוני דידי</v>
      </c>
      <c r="J2348" t="str">
        <f>"PS0300006"</f>
        <v>PS0300006</v>
      </c>
      <c r="K2348" s="1" t="str">
        <f>"TSI-EPC - 380Vac-Module BRAVO"</f>
        <v>TSI-EPC - 380Vac-Module BRAVO</v>
      </c>
      <c r="L2348">
        <v>10</v>
      </c>
      <c r="M2348" t="str">
        <f>"PR23000127"</f>
        <v>PR23000127</v>
      </c>
      <c r="N2348" t="str">
        <f>"אספקת רכיבים DELTA"</f>
        <v>אספקת רכיבים DELTA</v>
      </c>
      <c r="O2348" s="2">
        <v>1852.5</v>
      </c>
      <c r="P2348" t="str">
        <f>"$"</f>
        <v>$</v>
      </c>
      <c r="Q2348" t="str">
        <f>"112"</f>
        <v>112</v>
      </c>
      <c r="R2348" t="str">
        <f>"תיקון תקלות"</f>
        <v>תיקון תקלות</v>
      </c>
      <c r="S2348" t="str">
        <f>"007"</f>
        <v>007</v>
      </c>
      <c r="T2348" t="str">
        <f>"עמר ליגל"</f>
        <v>עמר ליגל</v>
      </c>
      <c r="U2348">
        <v>0</v>
      </c>
      <c r="V2348">
        <v>0</v>
      </c>
      <c r="W2348" s="2">
        <v>1852.5</v>
      </c>
      <c r="X2348" s="2">
        <v>18525</v>
      </c>
      <c r="Z2348" t="str">
        <f>"Y"</f>
        <v>Y</v>
      </c>
      <c r="AA2348">
        <v>0</v>
      </c>
      <c r="AC2348">
        <v>0</v>
      </c>
      <c r="AE2348">
        <v>0</v>
      </c>
      <c r="AF2348">
        <v>0</v>
      </c>
      <c r="AG2348" s="2">
        <v>6424.47</v>
      </c>
      <c r="AH2348">
        <v>0</v>
      </c>
      <c r="AI2348" s="2">
        <v>64244.7</v>
      </c>
      <c r="AJ2348" s="2">
        <v>18525</v>
      </c>
      <c r="AK2348" s="2">
        <v>18525</v>
      </c>
      <c r="AL2348" t="str">
        <f>"$"</f>
        <v>$</v>
      </c>
    </row>
    <row r="2349" spans="1:38" x14ac:dyDescent="0.3">
      <c r="A2349" t="str">
        <f>"SO23000063"</f>
        <v>SO23000063</v>
      </c>
      <c r="B2349" t="str">
        <f>"E000383952"</f>
        <v>E000383952</v>
      </c>
      <c r="C2349" t="str">
        <f>"מאושרת לבצוע"</f>
        <v>מאושרת לבצוע</v>
      </c>
      <c r="E2349" s="3">
        <v>44956</v>
      </c>
      <c r="F2349" s="3">
        <v>45046</v>
      </c>
      <c r="G2349" t="str">
        <f>"700065"</f>
        <v>700065</v>
      </c>
      <c r="H2349" t="str">
        <f>"אלתא מערכות בע""מ"</f>
        <v>אלתא מערכות בע"מ</v>
      </c>
      <c r="I2349" t="str">
        <f>"רוני דידי"</f>
        <v>רוני דידי</v>
      </c>
      <c r="J2349" t="str">
        <f>"PS0300006"</f>
        <v>PS0300006</v>
      </c>
      <c r="K2349" s="1" t="str">
        <f>"TSI-EPC - 380Vac-Module BRAVO"</f>
        <v>TSI-EPC - 380Vac-Module BRAVO</v>
      </c>
      <c r="L2349">
        <v>10</v>
      </c>
      <c r="M2349" t="str">
        <f>"PR23000127"</f>
        <v>PR23000127</v>
      </c>
      <c r="N2349" t="str">
        <f>"אספקת רכיבים DELTA"</f>
        <v>אספקת רכיבים DELTA</v>
      </c>
      <c r="O2349" s="2">
        <v>1852.5</v>
      </c>
      <c r="P2349" t="str">
        <f>"$"</f>
        <v>$</v>
      </c>
      <c r="Q2349" t="str">
        <f>"112"</f>
        <v>112</v>
      </c>
      <c r="R2349" t="str">
        <f>"תיקון תקלות"</f>
        <v>תיקון תקלות</v>
      </c>
      <c r="S2349" t="str">
        <f>"007"</f>
        <v>007</v>
      </c>
      <c r="T2349" t="str">
        <f>"עמר ליגל"</f>
        <v>עמר ליגל</v>
      </c>
      <c r="U2349">
        <v>0</v>
      </c>
      <c r="V2349">
        <v>0</v>
      </c>
      <c r="W2349" s="2">
        <v>1852.5</v>
      </c>
      <c r="X2349" s="2">
        <v>18525</v>
      </c>
      <c r="Z2349" t="str">
        <f>"Y"</f>
        <v>Y</v>
      </c>
      <c r="AA2349">
        <v>0</v>
      </c>
      <c r="AC2349">
        <v>0</v>
      </c>
      <c r="AE2349">
        <v>0</v>
      </c>
      <c r="AF2349">
        <v>0</v>
      </c>
      <c r="AG2349" s="2">
        <v>6424.47</v>
      </c>
      <c r="AH2349">
        <v>0</v>
      </c>
      <c r="AI2349" s="2">
        <v>64244.7</v>
      </c>
      <c r="AJ2349" s="2">
        <v>18525</v>
      </c>
      <c r="AK2349" s="2">
        <v>18525</v>
      </c>
      <c r="AL2349" t="str">
        <f>"$"</f>
        <v>$</v>
      </c>
    </row>
    <row r="2350" spans="1:38" x14ac:dyDescent="0.3">
      <c r="A2350" t="str">
        <f>"SO23000063"</f>
        <v>SO23000063</v>
      </c>
      <c r="B2350" t="str">
        <f>"E000383952"</f>
        <v>E000383952</v>
      </c>
      <c r="C2350" t="str">
        <f>"מאושרת לבצוע"</f>
        <v>מאושרת לבצוע</v>
      </c>
      <c r="E2350" s="3">
        <v>44956</v>
      </c>
      <c r="F2350" s="3">
        <v>45102</v>
      </c>
      <c r="G2350" t="str">
        <f>"700065"</f>
        <v>700065</v>
      </c>
      <c r="H2350" t="str">
        <f>"אלתא מערכות בע""מ"</f>
        <v>אלתא מערכות בע"מ</v>
      </c>
      <c r="I2350" t="str">
        <f>"רוני דידי"</f>
        <v>רוני דידי</v>
      </c>
      <c r="J2350" t="str">
        <f>"PS0200161"</f>
        <v>PS0200161</v>
      </c>
      <c r="K2350" s="1" t="str">
        <f>"ספק כח ווידמולר 1478150000 pro max 960W 24V 40A"</f>
        <v>ספק כח ווידמולר 1478150000 pro max 960W 24V 40A</v>
      </c>
      <c r="L2350">
        <v>2</v>
      </c>
      <c r="M2350" t="str">
        <f>"PR23000127"</f>
        <v>PR23000127</v>
      </c>
      <c r="N2350" t="str">
        <f>"אספקת רכיבים DELTA"</f>
        <v>אספקת רכיבים DELTA</v>
      </c>
      <c r="O2350">
        <v>0</v>
      </c>
      <c r="P2350" t="str">
        <f>"$"</f>
        <v>$</v>
      </c>
      <c r="Q2350" t="str">
        <f>"112"</f>
        <v>112</v>
      </c>
      <c r="R2350" t="str">
        <f>"תיקון תקלות"</f>
        <v>תיקון תקלות</v>
      </c>
      <c r="S2350" t="str">
        <f>"007"</f>
        <v>007</v>
      </c>
      <c r="T2350" t="str">
        <f>"עמר ליגל"</f>
        <v>עמר ליגל</v>
      </c>
      <c r="U2350">
        <v>0</v>
      </c>
      <c r="V2350">
        <v>0</v>
      </c>
      <c r="W2350">
        <v>0</v>
      </c>
      <c r="X2350">
        <v>0</v>
      </c>
      <c r="AA2350">
        <v>2</v>
      </c>
      <c r="AC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 t="str">
        <f>"$"</f>
        <v>$</v>
      </c>
    </row>
    <row r="2351" spans="1:38" x14ac:dyDescent="0.3">
      <c r="A2351" t="str">
        <f>"SO23000071"</f>
        <v>SO23000071</v>
      </c>
      <c r="B2351" t="str">
        <f>"E000385874"</f>
        <v>E000385874</v>
      </c>
      <c r="C2351" t="str">
        <f>"בוצעה"</f>
        <v>בוצעה</v>
      </c>
      <c r="E2351" s="3">
        <v>44959</v>
      </c>
      <c r="F2351" s="3">
        <v>45076</v>
      </c>
      <c r="G2351" t="str">
        <f>"700065"</f>
        <v>700065</v>
      </c>
      <c r="H2351" t="str">
        <f>"אלתא מערכות בע""מ"</f>
        <v>אלתא מערכות בע"מ</v>
      </c>
      <c r="I2351" t="str">
        <f>"רוני דידי"</f>
        <v>רוני דידי</v>
      </c>
      <c r="J2351" t="str">
        <f>"OP-ML00234"</f>
        <v>OP-ML00234</v>
      </c>
      <c r="K2351" s="1" t="str">
        <f>"RUGGED ISO TRAFO 12KVA RPI-3X115/400/440 SEC-3X220V Dyn5"</f>
        <v>RUGGED ISO TRAFO 12KVA RPI-3X115/400/440 SEC-3X220V Dyn5</v>
      </c>
      <c r="L2351">
        <v>1</v>
      </c>
      <c r="M2351" t="str">
        <f>"PR23000135"</f>
        <v>PR23000135</v>
      </c>
      <c r="N2351" t="str">
        <f>"TRANSFORMER ISOLATION 3PH 12KVA"</f>
        <v>TRANSFORMER ISOLATION 3PH 12KVA</v>
      </c>
      <c r="O2351" s="2">
        <v>14468.72</v>
      </c>
      <c r="P2351" t="str">
        <f>"$"</f>
        <v>$</v>
      </c>
      <c r="Q2351" t="str">
        <f>"118"</f>
        <v>118</v>
      </c>
      <c r="R2351" t="str">
        <f>"מערכות"</f>
        <v>מערכות</v>
      </c>
      <c r="S2351" t="str">
        <f>"007"</f>
        <v>007</v>
      </c>
      <c r="T2351" t="str">
        <f>"עמר ליגל"</f>
        <v>עמר ליגל</v>
      </c>
      <c r="U2351">
        <v>0</v>
      </c>
      <c r="V2351">
        <v>0</v>
      </c>
      <c r="W2351" s="2">
        <v>14468.72</v>
      </c>
      <c r="X2351" s="2">
        <v>14468.72</v>
      </c>
      <c r="Z2351" t="str">
        <f>"Y"</f>
        <v>Y</v>
      </c>
      <c r="AA2351">
        <v>0</v>
      </c>
      <c r="AC2351">
        <v>0</v>
      </c>
      <c r="AE2351">
        <v>0</v>
      </c>
      <c r="AF2351">
        <v>0</v>
      </c>
      <c r="AG2351" s="2">
        <v>49511.96</v>
      </c>
      <c r="AH2351">
        <v>0</v>
      </c>
      <c r="AI2351" s="2">
        <v>49511.96</v>
      </c>
      <c r="AJ2351" s="2">
        <v>14468.72</v>
      </c>
      <c r="AK2351" s="2">
        <v>14468.72</v>
      </c>
      <c r="AL2351" t="str">
        <f>"$"</f>
        <v>$</v>
      </c>
    </row>
    <row r="2352" spans="1:38" x14ac:dyDescent="0.3">
      <c r="A2352" t="str">
        <f>"SO23000071"</f>
        <v>SO23000071</v>
      </c>
      <c r="B2352" t="str">
        <f>"E000385874"</f>
        <v>E000385874</v>
      </c>
      <c r="C2352" t="str">
        <f>"בוצעה"</f>
        <v>בוצעה</v>
      </c>
      <c r="E2352" s="3">
        <v>44959</v>
      </c>
      <c r="F2352" s="3">
        <v>45076</v>
      </c>
      <c r="G2352" t="str">
        <f>"700065"</f>
        <v>700065</v>
      </c>
      <c r="H2352" t="str">
        <f>"אלתא מערכות בע""מ"</f>
        <v>אלתא מערכות בע"מ</v>
      </c>
      <c r="I2352" t="str">
        <f>"רוני דידי"</f>
        <v>רוני דידי</v>
      </c>
      <c r="J2352" t="str">
        <f>"OP-ML00234"</f>
        <v>OP-ML00234</v>
      </c>
      <c r="K2352" s="1" t="str">
        <f>"RUGGED ISO TRAFO 12KVA RPI-3X115/400/440 SEC-3X220V Dyn5"</f>
        <v>RUGGED ISO TRAFO 12KVA RPI-3X115/400/440 SEC-3X220V Dyn5</v>
      </c>
      <c r="L2352">
        <v>1</v>
      </c>
      <c r="M2352" t="str">
        <f>"PR23000135"</f>
        <v>PR23000135</v>
      </c>
      <c r="N2352" t="str">
        <f>"TRANSFORMER ISOLATION 3PH 12KVA"</f>
        <v>TRANSFORMER ISOLATION 3PH 12KVA</v>
      </c>
      <c r="O2352" s="2">
        <v>14468</v>
      </c>
      <c r="P2352" t="str">
        <f>"$"</f>
        <v>$</v>
      </c>
      <c r="Q2352" t="str">
        <f>"118"</f>
        <v>118</v>
      </c>
      <c r="R2352" t="str">
        <f>"מערכות"</f>
        <v>מערכות</v>
      </c>
      <c r="S2352" t="str">
        <f>"007"</f>
        <v>007</v>
      </c>
      <c r="T2352" t="str">
        <f>"עמר ליגל"</f>
        <v>עמר ליגל</v>
      </c>
      <c r="U2352">
        <v>0</v>
      </c>
      <c r="V2352">
        <v>0</v>
      </c>
      <c r="W2352" s="2">
        <v>14468</v>
      </c>
      <c r="X2352" s="2">
        <v>14468</v>
      </c>
      <c r="Z2352" t="str">
        <f>"Y"</f>
        <v>Y</v>
      </c>
      <c r="AA2352">
        <v>0</v>
      </c>
      <c r="AC2352">
        <v>0</v>
      </c>
      <c r="AE2352">
        <v>0</v>
      </c>
      <c r="AF2352">
        <v>0</v>
      </c>
      <c r="AG2352" s="2">
        <v>49509.5</v>
      </c>
      <c r="AH2352">
        <v>0</v>
      </c>
      <c r="AI2352" s="2">
        <v>49509.5</v>
      </c>
      <c r="AJ2352" s="2">
        <v>14468</v>
      </c>
      <c r="AK2352" s="2">
        <v>14468</v>
      </c>
      <c r="AL2352" t="str">
        <f>"$"</f>
        <v>$</v>
      </c>
    </row>
    <row r="2353" spans="1:38" x14ac:dyDescent="0.3">
      <c r="A2353" t="str">
        <f>"SO23000072"</f>
        <v>SO23000072</v>
      </c>
      <c r="B2353" t="str">
        <f>"E000385438"</f>
        <v>E000385438</v>
      </c>
      <c r="C2353" t="str">
        <f>"הרכבה חלקית"</f>
        <v>הרכבה חלקית</v>
      </c>
      <c r="E2353" s="3">
        <v>44959</v>
      </c>
      <c r="F2353" s="3">
        <v>45596</v>
      </c>
      <c r="G2353" t="str">
        <f>"700065"</f>
        <v>700065</v>
      </c>
      <c r="H2353" t="str">
        <f>"אלתא מערכות בע""מ"</f>
        <v>אלתא מערכות בע"מ</v>
      </c>
      <c r="I2353" t="str">
        <f>"רחמים זרוק"</f>
        <v>רחמים זרוק</v>
      </c>
      <c r="J2353" t="str">
        <f>"OP-AR03553"</f>
        <v>OP-AR03553</v>
      </c>
      <c r="K2353" s="1" t="str">
        <f>"1025R666-001     GND CABLE ASSY"</f>
        <v>1025R666-001     GND CABLE ASSY</v>
      </c>
      <c r="L2353">
        <v>4</v>
      </c>
      <c r="M2353" t="str">
        <f>"PR23000131"</f>
        <v>PR23000131</v>
      </c>
      <c r="N2353" t="str">
        <f>"E000385438"</f>
        <v>E000385438</v>
      </c>
      <c r="O2353">
        <v>74.099999999999994</v>
      </c>
      <c r="P2353" t="str">
        <f>"$"</f>
        <v>$</v>
      </c>
      <c r="Q2353" t="str">
        <f>"117"</f>
        <v>117</v>
      </c>
      <c r="R2353" t="str">
        <f>"רתמות"</f>
        <v>רתמות</v>
      </c>
      <c r="S2353" t="str">
        <f>"040"</f>
        <v>040</v>
      </c>
      <c r="T2353" t="str">
        <f>"עמר ליגל"</f>
        <v>עמר ליגל</v>
      </c>
      <c r="U2353">
        <v>0</v>
      </c>
      <c r="V2353">
        <v>0</v>
      </c>
      <c r="W2353">
        <v>74.099999999999994</v>
      </c>
      <c r="X2353">
        <v>296.39999999999998</v>
      </c>
      <c r="Z2353" t="str">
        <f>"Y"</f>
        <v>Y</v>
      </c>
      <c r="AA2353">
        <v>0</v>
      </c>
      <c r="AC2353">
        <v>0</v>
      </c>
      <c r="AE2353">
        <v>0</v>
      </c>
      <c r="AF2353">
        <v>0</v>
      </c>
      <c r="AG2353">
        <v>253.57</v>
      </c>
      <c r="AH2353">
        <v>0</v>
      </c>
      <c r="AI2353" s="2">
        <v>1014.28</v>
      </c>
      <c r="AJ2353">
        <v>296.39999999999998</v>
      </c>
      <c r="AK2353">
        <v>296.39999999999998</v>
      </c>
      <c r="AL2353" t="str">
        <f>"$"</f>
        <v>$</v>
      </c>
    </row>
    <row r="2354" spans="1:38" x14ac:dyDescent="0.3">
      <c r="A2354" t="str">
        <f>"SO23000072"</f>
        <v>SO23000072</v>
      </c>
      <c r="B2354" t="str">
        <f>"E000385438"</f>
        <v>E000385438</v>
      </c>
      <c r="C2354" t="str">
        <f>"הרכבה חלקית"</f>
        <v>הרכבה חלקית</v>
      </c>
      <c r="E2354" s="3">
        <v>44959</v>
      </c>
      <c r="F2354" s="3">
        <v>45168</v>
      </c>
      <c r="G2354" t="str">
        <f>"700065"</f>
        <v>700065</v>
      </c>
      <c r="H2354" t="str">
        <f>"אלתא מערכות בע""מ"</f>
        <v>אלתא מערכות בע"מ</v>
      </c>
      <c r="I2354" t="str">
        <f>"רחמים זרוק"</f>
        <v>רחמים זרוק</v>
      </c>
      <c r="J2354" t="str">
        <f>"OP-AR03253"</f>
        <v>OP-AR03253</v>
      </c>
      <c r="K2354" s="1" t="str">
        <f>"1036H284-001    HARNESS WC284 - MB TO PS1"</f>
        <v>1036H284-001    HARNESS WC284 - MB TO PS1</v>
      </c>
      <c r="L2354">
        <v>1</v>
      </c>
      <c r="M2354" t="str">
        <f>"PR23000131"</f>
        <v>PR23000131</v>
      </c>
      <c r="N2354" t="str">
        <f>"E000385438"</f>
        <v>E000385438</v>
      </c>
      <c r="O2354">
        <v>319.44</v>
      </c>
      <c r="P2354" t="str">
        <f>"$"</f>
        <v>$</v>
      </c>
      <c r="Q2354" t="str">
        <f>"117"</f>
        <v>117</v>
      </c>
      <c r="R2354" t="str">
        <f>"רתמות"</f>
        <v>רתמות</v>
      </c>
      <c r="S2354" t="str">
        <f>"040"</f>
        <v>040</v>
      </c>
      <c r="T2354" t="str">
        <f>"עמר ליגל"</f>
        <v>עמר ליגל</v>
      </c>
      <c r="U2354">
        <v>0</v>
      </c>
      <c r="V2354">
        <v>0</v>
      </c>
      <c r="W2354">
        <v>319.44</v>
      </c>
      <c r="X2354">
        <v>319.44</v>
      </c>
      <c r="Z2354" t="str">
        <f>"Y"</f>
        <v>Y</v>
      </c>
      <c r="AA2354">
        <v>0</v>
      </c>
      <c r="AC2354">
        <v>0</v>
      </c>
      <c r="AE2354">
        <v>0</v>
      </c>
      <c r="AF2354">
        <v>0</v>
      </c>
      <c r="AG2354" s="2">
        <v>1093.1199999999999</v>
      </c>
      <c r="AH2354">
        <v>0</v>
      </c>
      <c r="AI2354" s="2">
        <v>1093.1199999999999</v>
      </c>
      <c r="AJ2354">
        <v>319.44</v>
      </c>
      <c r="AK2354">
        <v>319.44</v>
      </c>
      <c r="AL2354" t="str">
        <f>"$"</f>
        <v>$</v>
      </c>
    </row>
    <row r="2355" spans="1:38" x14ac:dyDescent="0.3">
      <c r="A2355" t="str">
        <f>"SO23000072"</f>
        <v>SO23000072</v>
      </c>
      <c r="B2355" t="str">
        <f>"E000385438"</f>
        <v>E000385438</v>
      </c>
      <c r="C2355" t="str">
        <f>"הרכבה חלקית"</f>
        <v>הרכבה חלקית</v>
      </c>
      <c r="E2355" s="3">
        <v>44959</v>
      </c>
      <c r="F2355" s="3">
        <v>45168</v>
      </c>
      <c r="G2355" t="str">
        <f>"700065"</f>
        <v>700065</v>
      </c>
      <c r="H2355" t="str">
        <f>"אלתא מערכות בע""מ"</f>
        <v>אלתא מערכות בע"מ</v>
      </c>
      <c r="I2355" t="str">
        <f>"רחמים זרוק"</f>
        <v>רחמים זרוק</v>
      </c>
      <c r="J2355" t="str">
        <f>"OP-AR03254"</f>
        <v>OP-AR03254</v>
      </c>
      <c r="K2355" s="1" t="str">
        <f>"1036H285-001    HARNESS WC285 - MB TO PS2"</f>
        <v>1036H285-001    HARNESS WC285 - MB TO PS2</v>
      </c>
      <c r="L2355">
        <v>1</v>
      </c>
      <c r="M2355" t="str">
        <f>"PR23000131"</f>
        <v>PR23000131</v>
      </c>
      <c r="N2355" t="str">
        <f>"E000385438"</f>
        <v>E000385438</v>
      </c>
      <c r="O2355">
        <v>185.71</v>
      </c>
      <c r="P2355" t="str">
        <f>"$"</f>
        <v>$</v>
      </c>
      <c r="Q2355" t="str">
        <f>"117"</f>
        <v>117</v>
      </c>
      <c r="R2355" t="str">
        <f>"רתמות"</f>
        <v>רתמות</v>
      </c>
      <c r="S2355" t="str">
        <f>"040"</f>
        <v>040</v>
      </c>
      <c r="T2355" t="str">
        <f>"עמר ליגל"</f>
        <v>עמר ליגל</v>
      </c>
      <c r="U2355">
        <v>0</v>
      </c>
      <c r="V2355">
        <v>0</v>
      </c>
      <c r="W2355">
        <v>185.71</v>
      </c>
      <c r="X2355">
        <v>185.71</v>
      </c>
      <c r="Z2355" t="str">
        <f>"Y"</f>
        <v>Y</v>
      </c>
      <c r="AA2355">
        <v>0</v>
      </c>
      <c r="AC2355">
        <v>0</v>
      </c>
      <c r="AE2355">
        <v>0</v>
      </c>
      <c r="AF2355">
        <v>0</v>
      </c>
      <c r="AG2355">
        <v>635.5</v>
      </c>
      <c r="AH2355">
        <v>0</v>
      </c>
      <c r="AI2355">
        <v>635.5</v>
      </c>
      <c r="AJ2355">
        <v>185.71</v>
      </c>
      <c r="AK2355">
        <v>185.71</v>
      </c>
      <c r="AL2355" t="str">
        <f>"$"</f>
        <v>$</v>
      </c>
    </row>
    <row r="2356" spans="1:38" x14ac:dyDescent="0.3">
      <c r="A2356" t="str">
        <f>"SO23000073"</f>
        <v>SO23000073</v>
      </c>
      <c r="B2356" t="str">
        <f>"E000384048"</f>
        <v>E000384048</v>
      </c>
      <c r="C2356" t="str">
        <f>"בוצעה"</f>
        <v>בוצעה</v>
      </c>
      <c r="E2356" s="3">
        <v>44959</v>
      </c>
      <c r="F2356" s="3">
        <v>45061</v>
      </c>
      <c r="G2356" t="str">
        <f>"700065"</f>
        <v>700065</v>
      </c>
      <c r="H2356" t="str">
        <f>"אלתא מערכות בע""מ"</f>
        <v>אלתא מערכות בע"מ</v>
      </c>
      <c r="I2356" t="str">
        <f>"רוני דידי"</f>
        <v>רוני דידי</v>
      </c>
      <c r="J2356" t="str">
        <f>"OP-AR00467"</f>
        <v>OP-AR00467</v>
      </c>
      <c r="K2356" s="1" t="str">
        <f>"AC PCU CONTROL BOX"</f>
        <v>AC PCU CONTROL BOX</v>
      </c>
      <c r="L2356">
        <v>1</v>
      </c>
      <c r="M2356" t="str">
        <f>"PR23000073"</f>
        <v>PR23000073</v>
      </c>
      <c r="N2356" t="str">
        <f>"AC PCU CONTROL BOX"</f>
        <v>AC PCU CONTROL BOX</v>
      </c>
      <c r="O2356" s="2">
        <v>4250</v>
      </c>
      <c r="P2356" t="str">
        <f>"$"</f>
        <v>$</v>
      </c>
      <c r="Q2356" t="str">
        <f>"118"</f>
        <v>118</v>
      </c>
      <c r="R2356" t="str">
        <f>"מערכות"</f>
        <v>מערכות</v>
      </c>
      <c r="S2356" t="str">
        <f>"007"</f>
        <v>007</v>
      </c>
      <c r="T2356" t="str">
        <f>"עמר ליגל"</f>
        <v>עמר ליגל</v>
      </c>
      <c r="U2356">
        <v>0</v>
      </c>
      <c r="V2356">
        <v>0</v>
      </c>
      <c r="W2356" s="2">
        <v>4250</v>
      </c>
      <c r="X2356" s="2">
        <v>4250</v>
      </c>
      <c r="Z2356" t="str">
        <f>"Y"</f>
        <v>Y</v>
      </c>
      <c r="AA2356">
        <v>0</v>
      </c>
      <c r="AC2356">
        <v>0</v>
      </c>
      <c r="AE2356">
        <v>0</v>
      </c>
      <c r="AF2356">
        <v>0</v>
      </c>
      <c r="AG2356" s="2">
        <v>14543.5</v>
      </c>
      <c r="AH2356">
        <v>0</v>
      </c>
      <c r="AI2356" s="2">
        <v>14543.5</v>
      </c>
      <c r="AJ2356" s="2">
        <v>4250</v>
      </c>
      <c r="AK2356" s="2">
        <v>4250</v>
      </c>
      <c r="AL2356" t="str">
        <f>"$"</f>
        <v>$</v>
      </c>
    </row>
    <row r="2357" spans="1:38" x14ac:dyDescent="0.3">
      <c r="A2357" t="str">
        <f>"SO23000078"</f>
        <v>SO23000078</v>
      </c>
      <c r="B2357" t="str">
        <f>"E000385960"</f>
        <v>E000385960</v>
      </c>
      <c r="C2357" t="str">
        <f>"בוצעה"</f>
        <v>בוצעה</v>
      </c>
      <c r="E2357" s="3">
        <v>44962</v>
      </c>
      <c r="F2357" s="3">
        <v>45046</v>
      </c>
      <c r="G2357" t="str">
        <f>"700065"</f>
        <v>700065</v>
      </c>
      <c r="H2357" t="str">
        <f>"אלתא מערכות בע""מ"</f>
        <v>אלתא מערכות בע"מ</v>
      </c>
      <c r="I2357" t="str">
        <f>"רחמים זרוק"</f>
        <v>רחמים זרוק</v>
      </c>
      <c r="J2357" t="str">
        <f>"OP-AR03354"</f>
        <v>OP-AR03354</v>
      </c>
      <c r="K2357" s="1" t="str">
        <f>"CB1100227    AC SUPPLY CONTROL BOX 230V FEED CABLE"</f>
        <v>CB1100227    AC SUPPLY CONTROL BOX 230V FEED CABLE</v>
      </c>
      <c r="L2357">
        <v>1</v>
      </c>
      <c r="M2357" t="str">
        <f>"PR23000134"</f>
        <v>PR23000134</v>
      </c>
      <c r="N2357" t="str">
        <f>"E000385960"</f>
        <v>E000385960</v>
      </c>
      <c r="O2357">
        <v>578</v>
      </c>
      <c r="P2357" t="str">
        <f>"$"</f>
        <v>$</v>
      </c>
      <c r="Q2357" t="str">
        <f>"117"</f>
        <v>117</v>
      </c>
      <c r="R2357" t="str">
        <f>"רתמות"</f>
        <v>רתמות</v>
      </c>
      <c r="S2357" t="str">
        <f>"040"</f>
        <v>040</v>
      </c>
      <c r="T2357" t="str">
        <f>"עמר ליגל"</f>
        <v>עמר ליגל</v>
      </c>
      <c r="U2357">
        <v>0</v>
      </c>
      <c r="V2357">
        <v>0</v>
      </c>
      <c r="W2357">
        <v>578</v>
      </c>
      <c r="X2357">
        <v>578</v>
      </c>
      <c r="Z2357" t="str">
        <f>"Y"</f>
        <v>Y</v>
      </c>
      <c r="AA2357">
        <v>0</v>
      </c>
      <c r="AC2357">
        <v>0</v>
      </c>
      <c r="AE2357">
        <v>0</v>
      </c>
      <c r="AF2357">
        <v>0</v>
      </c>
      <c r="AG2357" s="2">
        <v>1964.04</v>
      </c>
      <c r="AH2357">
        <v>0</v>
      </c>
      <c r="AI2357" s="2">
        <v>1964.04</v>
      </c>
      <c r="AJ2357">
        <v>578</v>
      </c>
      <c r="AK2357">
        <v>578</v>
      </c>
      <c r="AL2357" t="str">
        <f>"$"</f>
        <v>$</v>
      </c>
    </row>
    <row r="2358" spans="1:38" x14ac:dyDescent="0.3">
      <c r="A2358" t="str">
        <f>"SO23000078"</f>
        <v>SO23000078</v>
      </c>
      <c r="B2358" t="str">
        <f>"E000385960"</f>
        <v>E000385960</v>
      </c>
      <c r="C2358" t="str">
        <f>"בוצעה"</f>
        <v>בוצעה</v>
      </c>
      <c r="E2358" s="3">
        <v>44962</v>
      </c>
      <c r="F2358" s="3">
        <v>45046</v>
      </c>
      <c r="G2358" t="str">
        <f>"700065"</f>
        <v>700065</v>
      </c>
      <c r="H2358" t="str">
        <f>"אלתא מערכות בע""מ"</f>
        <v>אלתא מערכות בע"מ</v>
      </c>
      <c r="I2358" t="str">
        <f>"רחמים זרוק"</f>
        <v>רחמים זרוק</v>
      </c>
      <c r="J2358" t="str">
        <f>"OP-AR03355"</f>
        <v>OP-AR03355</v>
      </c>
      <c r="K2358" s="1" t="str">
        <f>"CB1100229    AC SUPPLY CONTROL BOX 115V 32A FEED CABLE"</f>
        <v>CB1100229    AC SUPPLY CONTROL BOX 115V 32A FEED CABLE</v>
      </c>
      <c r="L2358">
        <v>1</v>
      </c>
      <c r="M2358" t="str">
        <f>"PR23000134"</f>
        <v>PR23000134</v>
      </c>
      <c r="N2358" t="str">
        <f>"E000385960"</f>
        <v>E000385960</v>
      </c>
      <c r="O2358">
        <v>688</v>
      </c>
      <c r="P2358" t="str">
        <f>"$"</f>
        <v>$</v>
      </c>
      <c r="Q2358" t="str">
        <f>"117"</f>
        <v>117</v>
      </c>
      <c r="R2358" t="str">
        <f>"רתמות"</f>
        <v>רתמות</v>
      </c>
      <c r="S2358" t="str">
        <f>"040"</f>
        <v>040</v>
      </c>
      <c r="T2358" t="str">
        <f>"עמר ליגל"</f>
        <v>עמר ליגל</v>
      </c>
      <c r="U2358">
        <v>0</v>
      </c>
      <c r="V2358">
        <v>0</v>
      </c>
      <c r="W2358">
        <v>688</v>
      </c>
      <c r="X2358">
        <v>688</v>
      </c>
      <c r="Z2358" t="str">
        <f>"Y"</f>
        <v>Y</v>
      </c>
      <c r="AA2358">
        <v>0</v>
      </c>
      <c r="AC2358">
        <v>0</v>
      </c>
      <c r="AE2358">
        <v>0</v>
      </c>
      <c r="AF2358">
        <v>0</v>
      </c>
      <c r="AG2358" s="2">
        <v>2337.8200000000002</v>
      </c>
      <c r="AH2358">
        <v>0</v>
      </c>
      <c r="AI2358" s="2">
        <v>2337.8200000000002</v>
      </c>
      <c r="AJ2358">
        <v>688</v>
      </c>
      <c r="AK2358">
        <v>688</v>
      </c>
      <c r="AL2358" t="str">
        <f>"$"</f>
        <v>$</v>
      </c>
    </row>
    <row r="2359" spans="1:38" x14ac:dyDescent="0.3">
      <c r="A2359" t="str">
        <f>"SO23000079"</f>
        <v>SO23000079</v>
      </c>
      <c r="B2359" t="str">
        <f>"E000383732"</f>
        <v>E000383732</v>
      </c>
      <c r="C2359" t="str">
        <f>"בוצעה"</f>
        <v>בוצעה</v>
      </c>
      <c r="E2359" s="3">
        <v>44963</v>
      </c>
      <c r="F2359" s="3">
        <v>45015</v>
      </c>
      <c r="G2359" t="str">
        <f>"700065"</f>
        <v>700065</v>
      </c>
      <c r="H2359" t="str">
        <f>"אלתא מערכות בע""מ"</f>
        <v>אלתא מערכות בע"מ</v>
      </c>
      <c r="I2359" t="str">
        <f>"רחמים זרוק"</f>
        <v>רחמים זרוק</v>
      </c>
      <c r="J2359" t="str">
        <f>"cust001290"</f>
        <v>cust001290</v>
      </c>
      <c r="K2359" s="1" t="str">
        <f>"ELTA 1039V378-002"</f>
        <v>ELTA 1039V378-002</v>
      </c>
      <c r="L2359">
        <v>1</v>
      </c>
      <c r="M2359" t="str">
        <f>"PR23000208"</f>
        <v>PR23000208</v>
      </c>
      <c r="N2359" t="str">
        <f>"E000383732 הזמנת תיקון"</f>
        <v>E000383732 הזמנת תיקון</v>
      </c>
      <c r="O2359">
        <v>0.01</v>
      </c>
      <c r="P2359" t="str">
        <f>"$"</f>
        <v>$</v>
      </c>
      <c r="Q2359" t="str">
        <f>"117"</f>
        <v>117</v>
      </c>
      <c r="R2359" t="str">
        <f>"רתמות"</f>
        <v>רתמות</v>
      </c>
      <c r="S2359" t="str">
        <f>"040"</f>
        <v>040</v>
      </c>
      <c r="T2359" t="str">
        <f>"עמר ליגל"</f>
        <v>עמר ליגל</v>
      </c>
      <c r="U2359">
        <v>0</v>
      </c>
      <c r="V2359">
        <v>0</v>
      </c>
      <c r="W2359">
        <v>0.01</v>
      </c>
      <c r="X2359">
        <v>0.01</v>
      </c>
      <c r="Z2359" t="str">
        <f>"Y"</f>
        <v>Y</v>
      </c>
      <c r="AA2359">
        <v>0</v>
      </c>
      <c r="AC2359">
        <v>0</v>
      </c>
      <c r="AE2359">
        <v>0</v>
      </c>
      <c r="AF2359">
        <v>0</v>
      </c>
      <c r="AG2359">
        <v>0.03</v>
      </c>
      <c r="AH2359">
        <v>0</v>
      </c>
      <c r="AI2359">
        <v>0.03</v>
      </c>
      <c r="AJ2359">
        <v>0.01</v>
      </c>
      <c r="AK2359">
        <v>0.01</v>
      </c>
      <c r="AL2359" t="str">
        <f>"$"</f>
        <v>$</v>
      </c>
    </row>
    <row r="2360" spans="1:38" x14ac:dyDescent="0.3">
      <c r="A2360" t="str">
        <f>"SO23000079"</f>
        <v>SO23000079</v>
      </c>
      <c r="B2360" t="str">
        <f>"E000383732"</f>
        <v>E000383732</v>
      </c>
      <c r="C2360" t="str">
        <f>"בוצעה"</f>
        <v>בוצעה</v>
      </c>
      <c r="E2360" s="3">
        <v>44963</v>
      </c>
      <c r="F2360" s="3">
        <v>45015</v>
      </c>
      <c r="G2360" t="str">
        <f>"700065"</f>
        <v>700065</v>
      </c>
      <c r="H2360" t="str">
        <f>"אלתא מערכות בע""מ"</f>
        <v>אלתא מערכות בע"מ</v>
      </c>
      <c r="I2360" t="str">
        <f>"רחמים זרוק"</f>
        <v>רחמים זרוק</v>
      </c>
      <c r="J2360" t="str">
        <f>"cust001290"</f>
        <v>cust001290</v>
      </c>
      <c r="K2360" s="1" t="str">
        <f>"ELTA 1039V378-002"</f>
        <v>ELTA 1039V378-002</v>
      </c>
      <c r="L2360">
        <v>1</v>
      </c>
      <c r="M2360" t="str">
        <f>"PR23000208"</f>
        <v>PR23000208</v>
      </c>
      <c r="N2360" t="str">
        <f>"E000383732 הזמנת תיקון"</f>
        <v>E000383732 הזמנת תיקון</v>
      </c>
      <c r="O2360">
        <v>0.01</v>
      </c>
      <c r="P2360" t="str">
        <f>"$"</f>
        <v>$</v>
      </c>
      <c r="Q2360" t="str">
        <f>"117"</f>
        <v>117</v>
      </c>
      <c r="R2360" t="str">
        <f>"רתמות"</f>
        <v>רתמות</v>
      </c>
      <c r="S2360" t="str">
        <f>"040"</f>
        <v>040</v>
      </c>
      <c r="T2360" t="str">
        <f>"עמר ליגל"</f>
        <v>עמר ליגל</v>
      </c>
      <c r="U2360">
        <v>0</v>
      </c>
      <c r="V2360">
        <v>0</v>
      </c>
      <c r="W2360">
        <v>0.01</v>
      </c>
      <c r="X2360">
        <v>0.01</v>
      </c>
      <c r="Z2360" t="str">
        <f>"Y"</f>
        <v>Y</v>
      </c>
      <c r="AA2360">
        <v>0</v>
      </c>
      <c r="AC2360">
        <v>0</v>
      </c>
      <c r="AE2360">
        <v>0</v>
      </c>
      <c r="AF2360">
        <v>0</v>
      </c>
      <c r="AG2360">
        <v>0.03</v>
      </c>
      <c r="AH2360">
        <v>0</v>
      </c>
      <c r="AI2360">
        <v>0.03</v>
      </c>
      <c r="AJ2360">
        <v>0.01</v>
      </c>
      <c r="AK2360">
        <v>0.01</v>
      </c>
      <c r="AL2360" t="str">
        <f>"$"</f>
        <v>$</v>
      </c>
    </row>
    <row r="2361" spans="1:38" x14ac:dyDescent="0.3">
      <c r="A2361" t="str">
        <f>"SO23000082"</f>
        <v>SO23000082</v>
      </c>
      <c r="B2361" t="str">
        <f>"E000384462"</f>
        <v>E000384462</v>
      </c>
      <c r="C2361" t="str">
        <f>"מאושרת לבצוע"</f>
        <v>מאושרת לבצוע</v>
      </c>
      <c r="E2361" s="3">
        <v>44964</v>
      </c>
      <c r="F2361" s="3">
        <v>45199</v>
      </c>
      <c r="G2361" t="str">
        <f>"700065"</f>
        <v>700065</v>
      </c>
      <c r="H2361" t="str">
        <f>"אלתא מערכות בע""מ"</f>
        <v>אלתא מערכות בע"מ</v>
      </c>
      <c r="I2361" t="str">
        <f>"רוני דידי"</f>
        <v>רוני דידי</v>
      </c>
      <c r="J2361" t="str">
        <f>"000"</f>
        <v>000</v>
      </c>
      <c r="K2361" s="1" t="str">
        <f>"NRE PDB פיתוח"</f>
        <v>NRE PDB פיתוח</v>
      </c>
      <c r="L2361">
        <v>1</v>
      </c>
      <c r="M2361" t="str">
        <f>"PR23000145"</f>
        <v>PR23000145</v>
      </c>
      <c r="N2361" t="str">
        <f>"NRE E000384462"</f>
        <v>NRE E000384462</v>
      </c>
      <c r="O2361" s="2">
        <v>77777</v>
      </c>
      <c r="P2361" t="str">
        <f>"$"</f>
        <v>$</v>
      </c>
      <c r="Q2361" t="str">
        <f>"118"</f>
        <v>118</v>
      </c>
      <c r="R2361" t="str">
        <f>"מערכות"</f>
        <v>מערכות</v>
      </c>
      <c r="S2361" t="str">
        <f>"007"</f>
        <v>007</v>
      </c>
      <c r="T2361" t="str">
        <f>"עמר ליגל"</f>
        <v>עמר ליגל</v>
      </c>
      <c r="U2361">
        <v>0</v>
      </c>
      <c r="V2361">
        <v>0</v>
      </c>
      <c r="W2361" s="2">
        <v>77777</v>
      </c>
      <c r="X2361" s="2">
        <v>77777</v>
      </c>
      <c r="AA2361">
        <v>1</v>
      </c>
      <c r="AC2361">
        <v>0</v>
      </c>
      <c r="AE2361">
        <v>0</v>
      </c>
      <c r="AF2361">
        <v>0</v>
      </c>
      <c r="AG2361" s="2">
        <v>270119.52</v>
      </c>
      <c r="AH2361">
        <v>0</v>
      </c>
      <c r="AI2361" s="2">
        <v>270119.52</v>
      </c>
      <c r="AJ2361" s="2">
        <v>77777</v>
      </c>
      <c r="AK2361" s="2">
        <v>77777</v>
      </c>
      <c r="AL2361" t="str">
        <f>"$"</f>
        <v>$</v>
      </c>
    </row>
    <row r="2362" spans="1:38" x14ac:dyDescent="0.3">
      <c r="A2362" t="str">
        <f>"SO23000082"</f>
        <v>SO23000082</v>
      </c>
      <c r="B2362" t="str">
        <f>"E000384462"</f>
        <v>E000384462</v>
      </c>
      <c r="C2362" t="str">
        <f>"מאושרת לבצוע"</f>
        <v>מאושרת לבצוע</v>
      </c>
      <c r="E2362" s="3">
        <v>44964</v>
      </c>
      <c r="F2362" s="3">
        <v>45199</v>
      </c>
      <c r="G2362" t="str">
        <f>"700065"</f>
        <v>700065</v>
      </c>
      <c r="H2362" t="str">
        <f>"אלתא מערכות בע""מ"</f>
        <v>אלתא מערכות בע"מ</v>
      </c>
      <c r="I2362" t="str">
        <f>"רוני דידי"</f>
        <v>רוני דידי</v>
      </c>
      <c r="J2362" t="str">
        <f>"000"</f>
        <v>000</v>
      </c>
      <c r="K2362" s="1" t="str">
        <f>"TEST PDB אימות פיתוח"</f>
        <v>TEST PDB אימות פיתוח</v>
      </c>
      <c r="L2362">
        <v>1</v>
      </c>
      <c r="M2362" t="str">
        <f>"PR23000145"</f>
        <v>PR23000145</v>
      </c>
      <c r="N2362" t="str">
        <f>"NRE E000384462"</f>
        <v>NRE E000384462</v>
      </c>
      <c r="O2362" s="2">
        <v>51893</v>
      </c>
      <c r="P2362" t="str">
        <f>"$"</f>
        <v>$</v>
      </c>
      <c r="Q2362" t="str">
        <f>"118"</f>
        <v>118</v>
      </c>
      <c r="R2362" t="str">
        <f>"מערכות"</f>
        <v>מערכות</v>
      </c>
      <c r="S2362" t="str">
        <f>"007"</f>
        <v>007</v>
      </c>
      <c r="T2362" t="str">
        <f>"עמר ליגל"</f>
        <v>עמר ליגל</v>
      </c>
      <c r="U2362">
        <v>0</v>
      </c>
      <c r="V2362">
        <v>0</v>
      </c>
      <c r="W2362" s="2">
        <v>51893</v>
      </c>
      <c r="X2362" s="2">
        <v>51893</v>
      </c>
      <c r="AA2362">
        <v>1</v>
      </c>
      <c r="AC2362">
        <v>0</v>
      </c>
      <c r="AE2362">
        <v>0</v>
      </c>
      <c r="AF2362">
        <v>0</v>
      </c>
      <c r="AG2362" s="2">
        <v>180224.39</v>
      </c>
      <c r="AH2362">
        <v>0</v>
      </c>
      <c r="AI2362" s="2">
        <v>180224.39</v>
      </c>
      <c r="AJ2362" s="2">
        <v>51893</v>
      </c>
      <c r="AK2362" s="2">
        <v>51893</v>
      </c>
      <c r="AL2362" t="str">
        <f>"$"</f>
        <v>$</v>
      </c>
    </row>
    <row r="2363" spans="1:38" x14ac:dyDescent="0.3">
      <c r="A2363" t="str">
        <f>"SO23000082"</f>
        <v>SO23000082</v>
      </c>
      <c r="B2363" t="str">
        <f>"E000384462"</f>
        <v>E000384462</v>
      </c>
      <c r="C2363" t="str">
        <f>"מאושרת לבצוע"</f>
        <v>מאושרת לבצוע</v>
      </c>
      <c r="E2363" s="3">
        <v>44964</v>
      </c>
      <c r="F2363" s="3">
        <v>45199</v>
      </c>
      <c r="G2363" t="str">
        <f>"700065"</f>
        <v>700065</v>
      </c>
      <c r="H2363" t="str">
        <f>"אלתא מערכות בע""מ"</f>
        <v>אלתא מערכות בע"מ</v>
      </c>
      <c r="I2363" t="str">
        <f>"רוני דידי"</f>
        <v>רוני דידי</v>
      </c>
      <c r="J2363" t="str">
        <f>"OP-ML00237"</f>
        <v>OP-ML00237</v>
      </c>
      <c r="K2363" s="1" t="str">
        <f>"AC PDB SOCD 1040J110-001"</f>
        <v>AC PDB SOCD 1040J110-001</v>
      </c>
      <c r="L2363">
        <v>1</v>
      </c>
      <c r="M2363" t="str">
        <f>"PR23000123"</f>
        <v>PR23000123</v>
      </c>
      <c r="N2363" t="str">
        <f>"AC PDB SOCD 1040J110-001"</f>
        <v>AC PDB SOCD 1040J110-001</v>
      </c>
      <c r="O2363" s="2">
        <v>124935</v>
      </c>
      <c r="P2363" t="str">
        <f>"$"</f>
        <v>$</v>
      </c>
      <c r="Q2363" t="str">
        <f>"118"</f>
        <v>118</v>
      </c>
      <c r="R2363" t="str">
        <f>"מערכות"</f>
        <v>מערכות</v>
      </c>
      <c r="S2363" t="str">
        <f>"007"</f>
        <v>007</v>
      </c>
      <c r="T2363" t="str">
        <f>"עמר ליגל"</f>
        <v>עמר ליגל</v>
      </c>
      <c r="U2363">
        <v>0</v>
      </c>
      <c r="V2363">
        <v>0</v>
      </c>
      <c r="W2363" s="2">
        <v>124935</v>
      </c>
      <c r="X2363" s="2">
        <v>124935</v>
      </c>
      <c r="AA2363">
        <v>1</v>
      </c>
      <c r="AC2363">
        <v>0</v>
      </c>
      <c r="AE2363">
        <v>0</v>
      </c>
      <c r="AF2363">
        <v>0</v>
      </c>
      <c r="AG2363" s="2">
        <v>433899.26</v>
      </c>
      <c r="AH2363">
        <v>0</v>
      </c>
      <c r="AI2363" s="2">
        <v>433899.26</v>
      </c>
      <c r="AJ2363" s="2">
        <v>124935</v>
      </c>
      <c r="AK2363" s="2">
        <v>124935</v>
      </c>
      <c r="AL2363" t="str">
        <f>"$"</f>
        <v>$</v>
      </c>
    </row>
    <row r="2364" spans="1:38" x14ac:dyDescent="0.3">
      <c r="A2364" t="str">
        <f>"SO23000082"</f>
        <v>SO23000082</v>
      </c>
      <c r="B2364" t="str">
        <f>"E000384462"</f>
        <v>E000384462</v>
      </c>
      <c r="C2364" t="str">
        <f>"מאושרת לבצוע"</f>
        <v>מאושרת לבצוע</v>
      </c>
      <c r="E2364" s="3">
        <v>44964</v>
      </c>
      <c r="F2364" s="3">
        <v>45199</v>
      </c>
      <c r="G2364" t="str">
        <f>"700065"</f>
        <v>700065</v>
      </c>
      <c r="H2364" t="str">
        <f>"אלתא מערכות בע""מ"</f>
        <v>אלתא מערכות בע"מ</v>
      </c>
      <c r="I2364" t="str">
        <f>"רוני דידי"</f>
        <v>רוני דידי</v>
      </c>
      <c r="J2364" t="str">
        <f>"OP-ML00238"</f>
        <v>OP-ML00238</v>
      </c>
      <c r="K2364" s="1" t="str">
        <f>"PDB 2 1040J120-001"</f>
        <v>PDB 2 1040J120-001</v>
      </c>
      <c r="L2364">
        <v>1</v>
      </c>
      <c r="M2364" t="str">
        <f>"PR23000124"</f>
        <v>PR23000124</v>
      </c>
      <c r="N2364" t="str">
        <f>"PDB 2 1040J120-001"</f>
        <v>PDB 2 1040J120-001</v>
      </c>
      <c r="O2364" s="2">
        <v>124935</v>
      </c>
      <c r="P2364" t="str">
        <f>"$"</f>
        <v>$</v>
      </c>
      <c r="Q2364" t="str">
        <f>"118"</f>
        <v>118</v>
      </c>
      <c r="R2364" t="str">
        <f>"מערכות"</f>
        <v>מערכות</v>
      </c>
      <c r="S2364" t="str">
        <f>"007"</f>
        <v>007</v>
      </c>
      <c r="T2364" t="str">
        <f>"עמר ליגל"</f>
        <v>עמר ליגל</v>
      </c>
      <c r="U2364">
        <v>0</v>
      </c>
      <c r="V2364">
        <v>0</v>
      </c>
      <c r="W2364" s="2">
        <v>124935</v>
      </c>
      <c r="X2364" s="2">
        <v>124935</v>
      </c>
      <c r="AA2364">
        <v>1</v>
      </c>
      <c r="AC2364">
        <v>0</v>
      </c>
      <c r="AE2364">
        <v>0</v>
      </c>
      <c r="AF2364">
        <v>0</v>
      </c>
      <c r="AG2364" s="2">
        <v>433899.26</v>
      </c>
      <c r="AH2364">
        <v>0</v>
      </c>
      <c r="AI2364" s="2">
        <v>433899.26</v>
      </c>
      <c r="AJ2364" s="2">
        <v>124935</v>
      </c>
      <c r="AK2364" s="2">
        <v>124935</v>
      </c>
      <c r="AL2364" t="str">
        <f>"$"</f>
        <v>$</v>
      </c>
    </row>
    <row r="2365" spans="1:38" x14ac:dyDescent="0.3">
      <c r="A2365" t="str">
        <f>"SO23000083"</f>
        <v>SO23000083</v>
      </c>
      <c r="B2365" t="str">
        <f>"E000381348"</f>
        <v>E000381348</v>
      </c>
      <c r="C2365" t="str">
        <f>"בוצעה"</f>
        <v>בוצעה</v>
      </c>
      <c r="E2365" s="3">
        <v>44965</v>
      </c>
      <c r="F2365" s="3">
        <v>44958</v>
      </c>
      <c r="G2365" t="str">
        <f>"700065"</f>
        <v>700065</v>
      </c>
      <c r="H2365" t="str">
        <f>"אלתא מערכות בע""מ"</f>
        <v>אלתא מערכות בע"מ</v>
      </c>
      <c r="I2365" t="str">
        <f>"רחמים זרוק"</f>
        <v>רחמים זרוק</v>
      </c>
      <c r="J2365" t="str">
        <f>"cust001163"</f>
        <v>cust001163</v>
      </c>
      <c r="K2365" s="1" t="str">
        <f>"1039H812-001 ELTA"</f>
        <v>1039H812-001 ELTA</v>
      </c>
      <c r="L2365">
        <v>1</v>
      </c>
      <c r="M2365" t="str">
        <f>"PR23000142"</f>
        <v>PR23000142</v>
      </c>
      <c r="N2365" t="str">
        <f>"E000381348 הזמנת תיקון"</f>
        <v>E000381348 הזמנת תיקון</v>
      </c>
      <c r="O2365">
        <v>0.01</v>
      </c>
      <c r="P2365" t="str">
        <f>"$"</f>
        <v>$</v>
      </c>
      <c r="Q2365" t="str">
        <f>"117"</f>
        <v>117</v>
      </c>
      <c r="R2365" t="str">
        <f>"רתמות"</f>
        <v>רתמות</v>
      </c>
      <c r="S2365" t="str">
        <f>"040"</f>
        <v>040</v>
      </c>
      <c r="T2365" t="str">
        <f>"עמר ליגל"</f>
        <v>עמר ליגל</v>
      </c>
      <c r="U2365">
        <v>0</v>
      </c>
      <c r="V2365">
        <v>0</v>
      </c>
      <c r="W2365">
        <v>0.01</v>
      </c>
      <c r="X2365">
        <v>0.01</v>
      </c>
      <c r="Z2365" t="str">
        <f>"Y"</f>
        <v>Y</v>
      </c>
      <c r="AA2365">
        <v>0</v>
      </c>
      <c r="AC2365">
        <v>0</v>
      </c>
      <c r="AE2365">
        <v>0</v>
      </c>
      <c r="AF2365">
        <v>0</v>
      </c>
      <c r="AG2365">
        <v>0.03</v>
      </c>
      <c r="AH2365">
        <v>0</v>
      </c>
      <c r="AI2365">
        <v>0.03</v>
      </c>
      <c r="AJ2365">
        <v>0.01</v>
      </c>
      <c r="AK2365">
        <v>0.01</v>
      </c>
      <c r="AL2365" t="str">
        <f>"$"</f>
        <v>$</v>
      </c>
    </row>
    <row r="2366" spans="1:38" x14ac:dyDescent="0.3">
      <c r="A2366" t="str">
        <f>"SO23000083"</f>
        <v>SO23000083</v>
      </c>
      <c r="B2366" t="str">
        <f>"E000381348"</f>
        <v>E000381348</v>
      </c>
      <c r="C2366" t="str">
        <f>"בוצעה"</f>
        <v>בוצעה</v>
      </c>
      <c r="E2366" s="3">
        <v>44965</v>
      </c>
      <c r="F2366" s="3">
        <v>44958</v>
      </c>
      <c r="G2366" t="str">
        <f>"700065"</f>
        <v>700065</v>
      </c>
      <c r="H2366" t="str">
        <f>"אלתא מערכות בע""מ"</f>
        <v>אלתא מערכות בע"מ</v>
      </c>
      <c r="I2366" t="str">
        <f>"רחמים זרוק"</f>
        <v>רחמים זרוק</v>
      </c>
      <c r="J2366" t="str">
        <f>"cust001659"</f>
        <v>cust001659</v>
      </c>
      <c r="K2366" s="1" t="str">
        <f>"1039H834-001 ELTA"</f>
        <v>1039H834-001 ELTA</v>
      </c>
      <c r="L2366">
        <v>1</v>
      </c>
      <c r="M2366" t="str">
        <f>"PR23000142"</f>
        <v>PR23000142</v>
      </c>
      <c r="N2366" t="str">
        <f>"E000381348 הזמנת תיקון"</f>
        <v>E000381348 הזמנת תיקון</v>
      </c>
      <c r="O2366">
        <v>0.01</v>
      </c>
      <c r="P2366" t="str">
        <f>"$"</f>
        <v>$</v>
      </c>
      <c r="Q2366" t="str">
        <f>"117"</f>
        <v>117</v>
      </c>
      <c r="R2366" t="str">
        <f>"רתמות"</f>
        <v>רתמות</v>
      </c>
      <c r="S2366" t="str">
        <f>"040"</f>
        <v>040</v>
      </c>
      <c r="T2366" t="str">
        <f>"עמר ליגל"</f>
        <v>עמר ליגל</v>
      </c>
      <c r="U2366">
        <v>0</v>
      </c>
      <c r="V2366">
        <v>0</v>
      </c>
      <c r="W2366">
        <v>0.01</v>
      </c>
      <c r="X2366">
        <v>0.01</v>
      </c>
      <c r="Z2366" t="str">
        <f>"Y"</f>
        <v>Y</v>
      </c>
      <c r="AA2366">
        <v>0</v>
      </c>
      <c r="AC2366">
        <v>0</v>
      </c>
      <c r="AE2366">
        <v>0</v>
      </c>
      <c r="AF2366">
        <v>0</v>
      </c>
      <c r="AG2366">
        <v>0.03</v>
      </c>
      <c r="AH2366">
        <v>0</v>
      </c>
      <c r="AI2366">
        <v>0.03</v>
      </c>
      <c r="AJ2366">
        <v>0.01</v>
      </c>
      <c r="AK2366">
        <v>0.01</v>
      </c>
      <c r="AL2366" t="str">
        <f>"$"</f>
        <v>$</v>
      </c>
    </row>
    <row r="2367" spans="1:38" x14ac:dyDescent="0.3">
      <c r="A2367" t="str">
        <f>"SO23000084"</f>
        <v>SO23000084</v>
      </c>
      <c r="B2367" t="str">
        <f>"אספקת מארז מחשוב אורנט"</f>
        <v>אספקת מארז מחשוב אורנט</v>
      </c>
      <c r="C2367" t="str">
        <f>"מאושרת לחיוב"</f>
        <v>מאושרת לחיוב</v>
      </c>
      <c r="E2367" s="3">
        <v>44966</v>
      </c>
      <c r="F2367" s="3">
        <v>44966</v>
      </c>
      <c r="G2367" t="str">
        <f>"700065"</f>
        <v>700065</v>
      </c>
      <c r="H2367" t="str">
        <f>"אלתא מערכות בע""מ"</f>
        <v>אלתא מערכות בע"מ</v>
      </c>
      <c r="I2367" t="str">
        <f>"ערן שלו"</f>
        <v>ערן שלו</v>
      </c>
      <c r="J2367" t="str">
        <f>"ZV02800088"</f>
        <v>ZV02800088</v>
      </c>
      <c r="K2367" s="1" t="str">
        <f>"מארז מחשבים חלקים מכופפים בלבד ללא הרכבה , ציפוי בלבד"</f>
        <v>מארז מחשבים חלקים מכופפים בלבד ללא הרכבה , ציפוי בלבד</v>
      </c>
      <c r="L2367">
        <v>1</v>
      </c>
      <c r="M2367" t="str">
        <f>"PR22000201"</f>
        <v>PR22000201</v>
      </c>
      <c r="N2367" t="str">
        <f>"מארז מחשוב ייצור זיווד"</f>
        <v>מארז מחשוב ייצור זיווד</v>
      </c>
      <c r="O2367">
        <v>0</v>
      </c>
      <c r="P2367" t="str">
        <f>"$"</f>
        <v>$</v>
      </c>
      <c r="Q2367" t="str">
        <f>"119"</f>
        <v>119</v>
      </c>
      <c r="R2367" t="str">
        <f>"פלטפורמות"</f>
        <v>פלטפורמות</v>
      </c>
      <c r="S2367" t="str">
        <f>"034"</f>
        <v>034</v>
      </c>
      <c r="T2367" t="str">
        <f>"עמר ליגל"</f>
        <v>עמר ליגל</v>
      </c>
      <c r="U2367">
        <v>0</v>
      </c>
      <c r="V2367">
        <v>0</v>
      </c>
      <c r="W2367">
        <v>0</v>
      </c>
      <c r="X2367">
        <v>0</v>
      </c>
      <c r="Z2367" t="str">
        <f>"Y"</f>
        <v>Y</v>
      </c>
      <c r="AA2367">
        <v>0</v>
      </c>
      <c r="AC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 t="str">
        <f>"$"</f>
        <v>$</v>
      </c>
    </row>
    <row r="2368" spans="1:38" x14ac:dyDescent="0.3">
      <c r="A2368" t="str">
        <f>"SO23000084"</f>
        <v>SO23000084</v>
      </c>
      <c r="B2368" t="str">
        <f>"אספקת מארז מחשוב אורנט"</f>
        <v>אספקת מארז מחשוב אורנט</v>
      </c>
      <c r="C2368" t="str">
        <f>"מאושרת לחיוב"</f>
        <v>מאושרת לחיוב</v>
      </c>
      <c r="E2368" s="3">
        <v>44966</v>
      </c>
      <c r="F2368" s="3">
        <v>44966</v>
      </c>
      <c r="G2368" t="str">
        <f>"700065"</f>
        <v>700065</v>
      </c>
      <c r="H2368" t="str">
        <f>"אלתא מערכות בע""מ"</f>
        <v>אלתא מערכות בע"מ</v>
      </c>
      <c r="I2368" t="str">
        <f>"ערן שלו"</f>
        <v>ערן שלו</v>
      </c>
      <c r="J2368" t="str">
        <f>"000"</f>
        <v>000</v>
      </c>
      <c r="K2368" s="1" t="str">
        <f>"אספקה לאלתא - השאלה"</f>
        <v>אספקה לאלתא - השאלה</v>
      </c>
      <c r="L2368">
        <v>1</v>
      </c>
      <c r="M2368" t="str">
        <f>"PR22000201"</f>
        <v>PR22000201</v>
      </c>
      <c r="N2368" t="str">
        <f>"מארז מחשוב ייצור זיווד"</f>
        <v>מארז מחשוב ייצור זיווד</v>
      </c>
      <c r="O2368">
        <v>0</v>
      </c>
      <c r="P2368" t="str">
        <f>"$"</f>
        <v>$</v>
      </c>
      <c r="Q2368" t="str">
        <f>"119"</f>
        <v>119</v>
      </c>
      <c r="R2368" t="str">
        <f>"פלטפורמות"</f>
        <v>פלטפורמות</v>
      </c>
      <c r="S2368" t="str">
        <f>"034"</f>
        <v>034</v>
      </c>
      <c r="T2368" t="str">
        <f>"עמר ליגל"</f>
        <v>עמר ליגל</v>
      </c>
      <c r="U2368">
        <v>0</v>
      </c>
      <c r="V2368">
        <v>0</v>
      </c>
      <c r="W2368">
        <v>0</v>
      </c>
      <c r="X2368">
        <v>0</v>
      </c>
      <c r="AA2368">
        <v>1</v>
      </c>
      <c r="AC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 t="str">
        <f>"$"</f>
        <v>$</v>
      </c>
    </row>
    <row r="2369" spans="1:38" x14ac:dyDescent="0.3">
      <c r="A2369" t="str">
        <f>"SO23000089"</f>
        <v>SO23000089</v>
      </c>
      <c r="B2369" t="str">
        <f>"E000370014"</f>
        <v>E000370014</v>
      </c>
      <c r="C2369" t="str">
        <f>"בוצעה"</f>
        <v>בוצעה</v>
      </c>
      <c r="E2369" s="3">
        <v>44969</v>
      </c>
      <c r="F2369" s="3">
        <v>44956</v>
      </c>
      <c r="G2369" t="str">
        <f>"700065"</f>
        <v>700065</v>
      </c>
      <c r="H2369" t="str">
        <f>"אלתא מערכות בע""מ"</f>
        <v>אלתא מערכות בע"מ</v>
      </c>
      <c r="I2369" t="str">
        <f>"ערן שלו"</f>
        <v>ערן שלו</v>
      </c>
      <c r="J2369" t="str">
        <f>"OP-KT00134"</f>
        <v>OP-KT00134</v>
      </c>
      <c r="K2369" s="1" t="str">
        <f>"1036R033-001 ELM 2288MR Shelter Electrical Spare Parts"</f>
        <v>1036R033-001 ELM 2288MR Shelter Electrical Spare Parts</v>
      </c>
      <c r="L2369">
        <v>1</v>
      </c>
      <c r="M2369" t="str">
        <f>"PR23000147"</f>
        <v>PR23000147</v>
      </c>
      <c r="N2369" t="str">
        <f>"ח""ח 1036R033-001"</f>
        <v>ח"ח 1036R033-001</v>
      </c>
      <c r="O2369" s="2">
        <v>16298.63</v>
      </c>
      <c r="P2369" t="str">
        <f>"$"</f>
        <v>$</v>
      </c>
      <c r="Q2369" t="str">
        <f>"118"</f>
        <v>118</v>
      </c>
      <c r="R2369" t="str">
        <f>"מערכות"</f>
        <v>מערכות</v>
      </c>
      <c r="S2369" t="str">
        <f>"034"</f>
        <v>034</v>
      </c>
      <c r="T2369" t="str">
        <f>"עמר ליגל"</f>
        <v>עמר ליגל</v>
      </c>
      <c r="U2369">
        <v>0</v>
      </c>
      <c r="V2369">
        <v>0</v>
      </c>
      <c r="W2369" s="2">
        <v>16298.63</v>
      </c>
      <c r="X2369" s="2">
        <v>16298.63</v>
      </c>
      <c r="Z2369" t="str">
        <f>"Y"</f>
        <v>Y</v>
      </c>
      <c r="AA2369">
        <v>0</v>
      </c>
      <c r="AC2369">
        <v>0</v>
      </c>
      <c r="AE2369">
        <v>0</v>
      </c>
      <c r="AF2369">
        <v>0</v>
      </c>
      <c r="AG2369" s="2">
        <v>57159.3</v>
      </c>
      <c r="AH2369">
        <v>0</v>
      </c>
      <c r="AI2369" s="2">
        <v>57159.3</v>
      </c>
      <c r="AJ2369" s="2">
        <v>16298.63</v>
      </c>
      <c r="AK2369" s="2">
        <v>16298.63</v>
      </c>
      <c r="AL2369" t="str">
        <f>"$"</f>
        <v>$</v>
      </c>
    </row>
    <row r="2370" spans="1:38" x14ac:dyDescent="0.3">
      <c r="A2370" t="str">
        <f>"SO23000091"</f>
        <v>SO23000091</v>
      </c>
      <c r="B2370" t="str">
        <f>"E000386977"</f>
        <v>E000386977</v>
      </c>
      <c r="C2370" t="str">
        <f>"בוצעה"</f>
        <v>בוצעה</v>
      </c>
      <c r="E2370" s="3">
        <v>44969</v>
      </c>
      <c r="F2370" s="3">
        <v>45290</v>
      </c>
      <c r="G2370" t="str">
        <f>"700065"</f>
        <v>700065</v>
      </c>
      <c r="H2370" t="str">
        <f>"אלתא מערכות בע""מ"</f>
        <v>אלתא מערכות בע"מ</v>
      </c>
      <c r="I2370" t="str">
        <f>"רחמים זרוק"</f>
        <v>רחמים זרוק</v>
      </c>
      <c r="J2370" t="str">
        <f>"000"</f>
        <v>000</v>
      </c>
      <c r="K2370" s="1" t="str">
        <f>"תיקון מערכת LB9 בעטרות"</f>
        <v>תיקון מערכת LB9 בעטרות</v>
      </c>
      <c r="L2370">
        <v>1</v>
      </c>
      <c r="M2370" t="str">
        <f>"PR23000144"</f>
        <v>PR23000144</v>
      </c>
      <c r="N2370" t="str">
        <f>"תיקון תקלה PDB עטרות"</f>
        <v>תיקון תקלה PDB עטרות</v>
      </c>
      <c r="O2370" s="2">
        <v>2495</v>
      </c>
      <c r="P2370" t="str">
        <f>"$"</f>
        <v>$</v>
      </c>
      <c r="Q2370" t="str">
        <f>"118"</f>
        <v>118</v>
      </c>
      <c r="R2370" t="str">
        <f>"מערכות"</f>
        <v>מערכות</v>
      </c>
      <c r="S2370" t="str">
        <f>"040"</f>
        <v>040</v>
      </c>
      <c r="T2370" t="str">
        <f>"עמר ליגל"</f>
        <v>עמר ליגל</v>
      </c>
      <c r="U2370">
        <v>0</v>
      </c>
      <c r="V2370">
        <v>0</v>
      </c>
      <c r="W2370" s="2">
        <v>2495</v>
      </c>
      <c r="X2370" s="2">
        <v>2495</v>
      </c>
      <c r="Z2370" t="str">
        <f>"Y"</f>
        <v>Y</v>
      </c>
      <c r="AA2370">
        <v>1</v>
      </c>
      <c r="AC2370">
        <v>0</v>
      </c>
      <c r="AE2370">
        <v>0</v>
      </c>
      <c r="AF2370">
        <v>0</v>
      </c>
      <c r="AG2370" s="2">
        <v>8749.9699999999993</v>
      </c>
      <c r="AH2370">
        <v>0</v>
      </c>
      <c r="AI2370" s="2">
        <v>8749.9699999999993</v>
      </c>
      <c r="AJ2370" s="2">
        <v>2495</v>
      </c>
      <c r="AK2370" s="2">
        <v>2495</v>
      </c>
      <c r="AL2370" t="str">
        <f>"$"</f>
        <v>$</v>
      </c>
    </row>
    <row r="2371" spans="1:38" x14ac:dyDescent="0.3">
      <c r="A2371" t="str">
        <f>"SO23000095"</f>
        <v>SO23000095</v>
      </c>
      <c r="B2371" t="str">
        <f>"E000385907"</f>
        <v>E000385907</v>
      </c>
      <c r="C2371" t="str">
        <f>"בוצעה"</f>
        <v>בוצעה</v>
      </c>
      <c r="E2371" s="3">
        <v>44971</v>
      </c>
      <c r="F2371" s="3">
        <v>44957</v>
      </c>
      <c r="G2371" t="str">
        <f>"700065"</f>
        <v>700065</v>
      </c>
      <c r="H2371" t="str">
        <f>"אלתא מערכות בע""מ"</f>
        <v>אלתא מערכות בע"מ</v>
      </c>
      <c r="I2371" t="str">
        <f>"רוני דידי"</f>
        <v>רוני דידי</v>
      </c>
      <c r="J2371" t="str">
        <f>"MV9900004"</f>
        <v>MV9900004</v>
      </c>
      <c r="K2371" s="1" t="str">
        <f>"פיטינג מתכתי פליז לכבל+אום PG-29"</f>
        <v>פיטינג מתכתי פליז לכבל+אום PG-29</v>
      </c>
      <c r="L2371">
        <v>20</v>
      </c>
      <c r="M2371" t="str">
        <f>"PR23000096"</f>
        <v>PR23000096</v>
      </c>
      <c r="N2371" t="str">
        <f>"הצטיידות בכניסות  טל שמיים"</f>
        <v>הצטיידות בכניסות  טל שמיים</v>
      </c>
      <c r="O2371">
        <v>12</v>
      </c>
      <c r="P2371" t="str">
        <f>"$"</f>
        <v>$</v>
      </c>
      <c r="Q2371" t="str">
        <f>"118"</f>
        <v>118</v>
      </c>
      <c r="R2371" t="str">
        <f>"מערכות"</f>
        <v>מערכות</v>
      </c>
      <c r="S2371" t="str">
        <f>"007"</f>
        <v>007</v>
      </c>
      <c r="T2371" t="str">
        <f>"עמר ליגל"</f>
        <v>עמר ליגל</v>
      </c>
      <c r="U2371">
        <v>0</v>
      </c>
      <c r="V2371">
        <v>0</v>
      </c>
      <c r="W2371">
        <v>12</v>
      </c>
      <c r="X2371">
        <v>240</v>
      </c>
      <c r="Z2371" t="str">
        <f>"Y"</f>
        <v>Y</v>
      </c>
      <c r="AA2371">
        <v>0</v>
      </c>
      <c r="AC2371">
        <v>0</v>
      </c>
      <c r="AE2371">
        <v>0</v>
      </c>
      <c r="AF2371">
        <v>0</v>
      </c>
      <c r="AG2371">
        <v>42.02</v>
      </c>
      <c r="AH2371">
        <v>0</v>
      </c>
      <c r="AI2371">
        <v>840.48</v>
      </c>
      <c r="AJ2371">
        <v>240</v>
      </c>
      <c r="AK2371">
        <v>240</v>
      </c>
      <c r="AL2371" t="str">
        <f>"$"</f>
        <v>$</v>
      </c>
    </row>
    <row r="2372" spans="1:38" x14ac:dyDescent="0.3">
      <c r="A2372" t="str">
        <f>"SO23000095"</f>
        <v>SO23000095</v>
      </c>
      <c r="B2372" t="str">
        <f>"E000385907"</f>
        <v>E000385907</v>
      </c>
      <c r="C2372" t="str">
        <f>"בוצעה"</f>
        <v>בוצעה</v>
      </c>
      <c r="E2372" s="3">
        <v>44971</v>
      </c>
      <c r="F2372" s="3">
        <v>44957</v>
      </c>
      <c r="G2372" t="str">
        <f>"700065"</f>
        <v>700065</v>
      </c>
      <c r="H2372" t="str">
        <f>"אלתא מערכות בע""מ"</f>
        <v>אלתא מערכות בע"מ</v>
      </c>
      <c r="I2372" t="str">
        <f>"רוני דידי"</f>
        <v>רוני דידי</v>
      </c>
      <c r="J2372" t="str">
        <f>"000"</f>
        <v>000</v>
      </c>
      <c r="K2372" s="1" t="str">
        <f>"אטם גומי גדול - אורינג - לכני"</f>
        <v>אטם גומי גדול - אורינג - לכני</v>
      </c>
      <c r="L2372">
        <v>20</v>
      </c>
      <c r="M2372" t="str">
        <f>"PR23000096"</f>
        <v>PR23000096</v>
      </c>
      <c r="N2372" t="str">
        <f>"הצטיידות בכניסות  טל שמיים"</f>
        <v>הצטיידות בכניסות  טל שמיים</v>
      </c>
      <c r="O2372">
        <v>0.2</v>
      </c>
      <c r="P2372" t="str">
        <f>"$"</f>
        <v>$</v>
      </c>
      <c r="Q2372" t="str">
        <f>"118"</f>
        <v>118</v>
      </c>
      <c r="R2372" t="str">
        <f>"מערכות"</f>
        <v>מערכות</v>
      </c>
      <c r="S2372" t="str">
        <f>"007"</f>
        <v>007</v>
      </c>
      <c r="T2372" t="str">
        <f>"עמר ליגל"</f>
        <v>עמר ליגל</v>
      </c>
      <c r="U2372">
        <v>0</v>
      </c>
      <c r="V2372">
        <v>0</v>
      </c>
      <c r="W2372">
        <v>0.2</v>
      </c>
      <c r="X2372">
        <v>4</v>
      </c>
      <c r="Z2372" t="str">
        <f>"Y"</f>
        <v>Y</v>
      </c>
      <c r="AA2372">
        <v>0</v>
      </c>
      <c r="AC2372">
        <v>0</v>
      </c>
      <c r="AE2372">
        <v>0</v>
      </c>
      <c r="AF2372">
        <v>0</v>
      </c>
      <c r="AG2372">
        <v>0.7</v>
      </c>
      <c r="AH2372">
        <v>0</v>
      </c>
      <c r="AI2372">
        <v>14.01</v>
      </c>
      <c r="AJ2372">
        <v>4</v>
      </c>
      <c r="AK2372">
        <v>4</v>
      </c>
      <c r="AL2372" t="str">
        <f>"$"</f>
        <v>$</v>
      </c>
    </row>
    <row r="2373" spans="1:38" x14ac:dyDescent="0.3">
      <c r="A2373" t="str">
        <f>"SO23000095"</f>
        <v>SO23000095</v>
      </c>
      <c r="B2373" t="str">
        <f>"E000385907"</f>
        <v>E000385907</v>
      </c>
      <c r="C2373" t="str">
        <f>"בוצעה"</f>
        <v>בוצעה</v>
      </c>
      <c r="E2373" s="3">
        <v>44971</v>
      </c>
      <c r="F2373" s="3">
        <v>44957</v>
      </c>
      <c r="G2373" t="str">
        <f>"700065"</f>
        <v>700065</v>
      </c>
      <c r="H2373" t="str">
        <f>"אלתא מערכות בע""מ"</f>
        <v>אלתא מערכות בע"מ</v>
      </c>
      <c r="I2373" t="str">
        <f>"רוני דידי"</f>
        <v>רוני דידי</v>
      </c>
      <c r="J2373" t="str">
        <f>"MV9922216"</f>
        <v>MV9922216</v>
      </c>
      <c r="K2373" s="1" t="str">
        <f>"פיטינג מתכתי פליז לכבל+אום PG-21"</f>
        <v>פיטינג מתכתי פליז לכבל+אום PG-21</v>
      </c>
      <c r="L2373">
        <v>10</v>
      </c>
      <c r="M2373" t="str">
        <f>"PR23000096"</f>
        <v>PR23000096</v>
      </c>
      <c r="N2373" t="str">
        <f>"הצטיידות בכניסות  טל שמיים"</f>
        <v>הצטיידות בכניסות  טל שמיים</v>
      </c>
      <c r="O2373">
        <v>7</v>
      </c>
      <c r="P2373" t="str">
        <f>"$"</f>
        <v>$</v>
      </c>
      <c r="Q2373" t="str">
        <f>"118"</f>
        <v>118</v>
      </c>
      <c r="R2373" t="str">
        <f>"מערכות"</f>
        <v>מערכות</v>
      </c>
      <c r="S2373" t="str">
        <f>"007"</f>
        <v>007</v>
      </c>
      <c r="T2373" t="str">
        <f>"עמר ליגל"</f>
        <v>עמר ליגל</v>
      </c>
      <c r="U2373">
        <v>0</v>
      </c>
      <c r="V2373">
        <v>0</v>
      </c>
      <c r="W2373">
        <v>7</v>
      </c>
      <c r="X2373">
        <v>70</v>
      </c>
      <c r="Z2373" t="str">
        <f>"Y"</f>
        <v>Y</v>
      </c>
      <c r="AA2373">
        <v>0</v>
      </c>
      <c r="AC2373">
        <v>0</v>
      </c>
      <c r="AE2373">
        <v>0</v>
      </c>
      <c r="AF2373">
        <v>0</v>
      </c>
      <c r="AG2373">
        <v>24.51</v>
      </c>
      <c r="AH2373">
        <v>0</v>
      </c>
      <c r="AI2373">
        <v>245.14</v>
      </c>
      <c r="AJ2373">
        <v>70</v>
      </c>
      <c r="AK2373">
        <v>70</v>
      </c>
      <c r="AL2373" t="str">
        <f>"$"</f>
        <v>$</v>
      </c>
    </row>
    <row r="2374" spans="1:38" x14ac:dyDescent="0.3">
      <c r="A2374" t="str">
        <f>"SO23000095"</f>
        <v>SO23000095</v>
      </c>
      <c r="B2374" t="str">
        <f>"E000385907"</f>
        <v>E000385907</v>
      </c>
      <c r="C2374" t="str">
        <f>"בוצעה"</f>
        <v>בוצעה</v>
      </c>
      <c r="E2374" s="3">
        <v>44971</v>
      </c>
      <c r="F2374" s="3">
        <v>44957</v>
      </c>
      <c r="G2374" t="str">
        <f>"700065"</f>
        <v>700065</v>
      </c>
      <c r="H2374" t="str">
        <f>"אלתא מערכות בע""מ"</f>
        <v>אלתא מערכות בע"מ</v>
      </c>
      <c r="I2374" t="str">
        <f>"רוני דידי"</f>
        <v>רוני דידי</v>
      </c>
      <c r="J2374" t="str">
        <f>"000"</f>
        <v>000</v>
      </c>
      <c r="K2374" s="1" t="str">
        <f>"אטם גומי גדול-אורינג-לכני"</f>
        <v>אטם גומי גדול-אורינג-לכני</v>
      </c>
      <c r="L2374">
        <v>20</v>
      </c>
      <c r="M2374" t="str">
        <f>"PR23000096"</f>
        <v>PR23000096</v>
      </c>
      <c r="N2374" t="str">
        <f>"הצטיידות בכניסות  טל שמיים"</f>
        <v>הצטיידות בכניסות  טל שמיים</v>
      </c>
      <c r="O2374">
        <v>0.2</v>
      </c>
      <c r="P2374" t="str">
        <f>"$"</f>
        <v>$</v>
      </c>
      <c r="Q2374" t="str">
        <f>"118"</f>
        <v>118</v>
      </c>
      <c r="R2374" t="str">
        <f>"מערכות"</f>
        <v>מערכות</v>
      </c>
      <c r="S2374" t="str">
        <f>"007"</f>
        <v>007</v>
      </c>
      <c r="T2374" t="str">
        <f>"עמר ליגל"</f>
        <v>עמר ליגל</v>
      </c>
      <c r="U2374">
        <v>0</v>
      </c>
      <c r="V2374">
        <v>0</v>
      </c>
      <c r="W2374">
        <v>0.2</v>
      </c>
      <c r="X2374">
        <v>4</v>
      </c>
      <c r="Z2374" t="str">
        <f>"Y"</f>
        <v>Y</v>
      </c>
      <c r="AA2374">
        <v>0</v>
      </c>
      <c r="AC2374">
        <v>0</v>
      </c>
      <c r="AE2374">
        <v>0</v>
      </c>
      <c r="AF2374">
        <v>0</v>
      </c>
      <c r="AG2374">
        <v>0.7</v>
      </c>
      <c r="AH2374">
        <v>0</v>
      </c>
      <c r="AI2374">
        <v>14.01</v>
      </c>
      <c r="AJ2374">
        <v>4</v>
      </c>
      <c r="AK2374">
        <v>4</v>
      </c>
      <c r="AL2374" t="str">
        <f>"$"</f>
        <v>$</v>
      </c>
    </row>
    <row r="2375" spans="1:38" x14ac:dyDescent="0.3">
      <c r="A2375" t="str">
        <f>"SO23000111"</f>
        <v>SO23000111</v>
      </c>
      <c r="B2375" t="str">
        <f>"E000387890"</f>
        <v>E000387890</v>
      </c>
      <c r="C2375" t="str">
        <f>"מאושרת לבצוע"</f>
        <v>מאושרת לבצוע</v>
      </c>
      <c r="E2375" s="3">
        <v>44979</v>
      </c>
      <c r="F2375" s="3">
        <v>45290</v>
      </c>
      <c r="G2375" t="str">
        <f>"700065"</f>
        <v>700065</v>
      </c>
      <c r="H2375" t="str">
        <f>"אלתא מערכות בע""מ"</f>
        <v>אלתא מערכות בע"מ</v>
      </c>
      <c r="I2375" t="str">
        <f>"ערן שלו"</f>
        <v>ערן שלו</v>
      </c>
      <c r="J2375" t="str">
        <f>"cust001426"</f>
        <v>cust001426</v>
      </c>
      <c r="K2375" s="1" t="str">
        <f>"1037C500-001 ELTA"</f>
        <v>1037C500-001 ELTA</v>
      </c>
      <c r="L2375">
        <v>1</v>
      </c>
      <c r="M2375" t="str">
        <f>"PR23000689"</f>
        <v>PR23000689</v>
      </c>
      <c r="N2375" t="str">
        <f>"תיקון לוח 6/07 סידורי 118 ספינות"</f>
        <v>תיקון לוח 6/07 סידורי 118 ספינות</v>
      </c>
      <c r="O2375" s="2">
        <v>61250</v>
      </c>
      <c r="P2375" t="str">
        <f>"$"</f>
        <v>$</v>
      </c>
      <c r="Q2375" t="str">
        <f>"111"</f>
        <v>111</v>
      </c>
      <c r="R2375" t="str">
        <f>"מכירה"</f>
        <v>מכירה</v>
      </c>
      <c r="S2375" t="str">
        <f>"034"</f>
        <v>034</v>
      </c>
      <c r="T2375" t="str">
        <f>"עמר ליגל"</f>
        <v>עמר ליגל</v>
      </c>
      <c r="U2375">
        <v>0</v>
      </c>
      <c r="V2375">
        <v>0</v>
      </c>
      <c r="W2375" s="2">
        <v>61250</v>
      </c>
      <c r="X2375" s="2">
        <v>61250</v>
      </c>
      <c r="AA2375">
        <v>1</v>
      </c>
      <c r="AC2375">
        <v>0</v>
      </c>
      <c r="AE2375">
        <v>0</v>
      </c>
      <c r="AF2375">
        <v>0</v>
      </c>
      <c r="AG2375" s="2">
        <v>224358.75</v>
      </c>
      <c r="AH2375">
        <v>0</v>
      </c>
      <c r="AI2375" s="2">
        <v>224358.75</v>
      </c>
      <c r="AJ2375" s="2">
        <v>61250</v>
      </c>
      <c r="AK2375" s="2">
        <v>61250</v>
      </c>
      <c r="AL2375" t="str">
        <f>"$"</f>
        <v>$</v>
      </c>
    </row>
    <row r="2376" spans="1:38" x14ac:dyDescent="0.3">
      <c r="A2376" t="str">
        <f>"SO23000113"</f>
        <v>SO23000113</v>
      </c>
      <c r="B2376" t="str">
        <f>"E000387886"</f>
        <v>E000387886</v>
      </c>
      <c r="C2376" t="str">
        <f>"בוצעה"</f>
        <v>בוצעה</v>
      </c>
      <c r="E2376" s="3">
        <v>44980</v>
      </c>
      <c r="F2376" s="3">
        <v>45291</v>
      </c>
      <c r="G2376" t="str">
        <f>"700065"</f>
        <v>700065</v>
      </c>
      <c r="H2376" t="str">
        <f>"אלתא מערכות בע""מ"</f>
        <v>אלתא מערכות בע"מ</v>
      </c>
      <c r="I2376" t="str">
        <f>"ערן שלו"</f>
        <v>ערן שלו</v>
      </c>
      <c r="J2376" t="str">
        <f>"999"</f>
        <v>999</v>
      </c>
      <c r="K2376" s="1" t="str">
        <f>"קופסה-רגל מערכת כוח 6 PQ23000"</f>
        <v>קופסה-רגל מערכת כוח 6 PQ23000</v>
      </c>
      <c r="L2376">
        <v>1</v>
      </c>
      <c r="M2376" t="str">
        <f>"PR20000705"</f>
        <v>PR20000705</v>
      </c>
      <c r="N2376" t="str">
        <f>"108C906-001 RPU8"</f>
        <v>108C906-001 RPU8</v>
      </c>
      <c r="O2376" s="2">
        <v>3000</v>
      </c>
      <c r="P2376" t="str">
        <f>"$"</f>
        <v>$</v>
      </c>
      <c r="Q2376" t="str">
        <f>"118"</f>
        <v>118</v>
      </c>
      <c r="R2376" t="str">
        <f>"מערכות"</f>
        <v>מערכות</v>
      </c>
      <c r="S2376" t="str">
        <f>"034"</f>
        <v>034</v>
      </c>
      <c r="T2376" t="str">
        <f>"עמר ליגל"</f>
        <v>עמר ליגל</v>
      </c>
      <c r="U2376">
        <v>0</v>
      </c>
      <c r="V2376">
        <v>0</v>
      </c>
      <c r="W2376" s="2">
        <v>3000</v>
      </c>
      <c r="X2376" s="2">
        <v>3000</v>
      </c>
      <c r="Z2376" t="str">
        <f>"Y"</f>
        <v>Y</v>
      </c>
      <c r="AA2376">
        <v>1</v>
      </c>
      <c r="AC2376">
        <v>0</v>
      </c>
      <c r="AE2376">
        <v>0</v>
      </c>
      <c r="AF2376">
        <v>0</v>
      </c>
      <c r="AG2376" s="2">
        <v>10839</v>
      </c>
      <c r="AH2376">
        <v>0</v>
      </c>
      <c r="AI2376" s="2">
        <v>10839</v>
      </c>
      <c r="AJ2376" s="2">
        <v>3000</v>
      </c>
      <c r="AK2376" s="2">
        <v>3000</v>
      </c>
      <c r="AL2376" t="str">
        <f>"$"</f>
        <v>$</v>
      </c>
    </row>
    <row r="2377" spans="1:38" x14ac:dyDescent="0.3">
      <c r="A2377" t="str">
        <f>"SO23000124"</f>
        <v>SO23000124</v>
      </c>
      <c r="B2377" t="str">
        <f>"E000387558"</f>
        <v>E000387558</v>
      </c>
      <c r="C2377" t="str">
        <f>"מאושרת לבצוע"</f>
        <v>מאושרת לבצוע</v>
      </c>
      <c r="E2377" s="3">
        <v>44986</v>
      </c>
      <c r="F2377" s="3">
        <v>45092</v>
      </c>
      <c r="G2377" t="str">
        <f>"700065"</f>
        <v>700065</v>
      </c>
      <c r="H2377" t="str">
        <f>"אלתא מערכות בע""מ"</f>
        <v>אלתא מערכות בע"מ</v>
      </c>
      <c r="I2377" t="str">
        <f>"רוני דידי"</f>
        <v>רוני דידי</v>
      </c>
      <c r="J2377" t="str">
        <f>"OP-AR01232"</f>
        <v>OP-AR01232</v>
      </c>
      <c r="K2377" s="1" t="str">
        <f>"AC SUPPLY CONTROL BOX"</f>
        <v>AC SUPPLY CONTROL BOX</v>
      </c>
      <c r="L2377">
        <v>1</v>
      </c>
      <c r="M2377" t="str">
        <f>"PR23000189"</f>
        <v>PR23000189</v>
      </c>
      <c r="N2377" t="str">
        <f>"AC SUPPLY CONTROL BOX 230V/115"</f>
        <v>AC SUPPLY CONTROL BOX 230V/115</v>
      </c>
      <c r="O2377" s="2">
        <v>8550</v>
      </c>
      <c r="P2377" t="str">
        <f>"$"</f>
        <v>$</v>
      </c>
      <c r="Q2377" t="str">
        <f>"118"</f>
        <v>118</v>
      </c>
      <c r="R2377" t="str">
        <f>"מערכות"</f>
        <v>מערכות</v>
      </c>
      <c r="S2377" t="str">
        <f>"007"</f>
        <v>007</v>
      </c>
      <c r="T2377" t="str">
        <f>"עמר ליגל"</f>
        <v>עמר ליגל</v>
      </c>
      <c r="U2377">
        <v>0</v>
      </c>
      <c r="V2377">
        <v>0</v>
      </c>
      <c r="W2377" s="2">
        <v>8550</v>
      </c>
      <c r="X2377" s="2">
        <v>8550</v>
      </c>
      <c r="AA2377">
        <v>1</v>
      </c>
      <c r="AC2377">
        <v>0</v>
      </c>
      <c r="AE2377">
        <v>0</v>
      </c>
      <c r="AF2377">
        <v>0</v>
      </c>
      <c r="AG2377" s="2">
        <v>31087.8</v>
      </c>
      <c r="AH2377">
        <v>0</v>
      </c>
      <c r="AI2377" s="2">
        <v>31087.8</v>
      </c>
      <c r="AJ2377" s="2">
        <v>8550</v>
      </c>
      <c r="AK2377" s="2">
        <v>8550</v>
      </c>
      <c r="AL2377" t="str">
        <f>"$"</f>
        <v>$</v>
      </c>
    </row>
    <row r="2378" spans="1:38" x14ac:dyDescent="0.3">
      <c r="A2378" t="str">
        <f>"SO23000125"</f>
        <v>SO23000125</v>
      </c>
      <c r="B2378" t="str">
        <f>"E000388475"</f>
        <v>E000388475</v>
      </c>
      <c r="C2378" t="str">
        <f>"בוצעה"</f>
        <v>בוצעה</v>
      </c>
      <c r="E2378" s="3">
        <v>44987</v>
      </c>
      <c r="F2378" s="3">
        <v>45290</v>
      </c>
      <c r="G2378" t="str">
        <f>"700065"</f>
        <v>700065</v>
      </c>
      <c r="H2378" t="str">
        <f>"אלתא מערכות בע""מ"</f>
        <v>אלתא מערכות בע"מ</v>
      </c>
      <c r="I2378" t="str">
        <f>"רוני דידי"</f>
        <v>רוני דידי</v>
      </c>
      <c r="J2378" t="str">
        <f>"000"</f>
        <v>000</v>
      </c>
      <c r="K2378" s="1" t="str">
        <f>"טכנאי בצכיה ערן שלו"</f>
        <v>טכנאי בצכיה ערן שלו</v>
      </c>
      <c r="L2378">
        <v>1</v>
      </c>
      <c r="O2378" s="2">
        <v>6000</v>
      </c>
      <c r="P2378" t="str">
        <f>"$"</f>
        <v>$</v>
      </c>
      <c r="Q2378" t="str">
        <f>"118"</f>
        <v>118</v>
      </c>
      <c r="R2378" t="str">
        <f>"מערכות"</f>
        <v>מערכות</v>
      </c>
      <c r="S2378" t="str">
        <f>"007"</f>
        <v>007</v>
      </c>
      <c r="T2378" t="str">
        <f>"עמר ליגל"</f>
        <v>עמר ליגל</v>
      </c>
      <c r="U2378">
        <v>0</v>
      </c>
      <c r="V2378">
        <v>0</v>
      </c>
      <c r="W2378" s="2">
        <v>6000</v>
      </c>
      <c r="X2378" s="2">
        <v>6000</v>
      </c>
      <c r="Z2378" t="str">
        <f>"Y"</f>
        <v>Y</v>
      </c>
      <c r="AA2378">
        <v>1</v>
      </c>
      <c r="AC2378">
        <v>0</v>
      </c>
      <c r="AE2378">
        <v>0</v>
      </c>
      <c r="AF2378">
        <v>0</v>
      </c>
      <c r="AG2378" s="2">
        <v>21852</v>
      </c>
      <c r="AH2378">
        <v>0</v>
      </c>
      <c r="AI2378" s="2">
        <v>21852</v>
      </c>
      <c r="AJ2378" s="2">
        <v>6000</v>
      </c>
      <c r="AK2378" s="2">
        <v>6000</v>
      </c>
      <c r="AL2378" t="str">
        <f>"$"</f>
        <v>$</v>
      </c>
    </row>
    <row r="2379" spans="1:38" x14ac:dyDescent="0.3">
      <c r="A2379" t="str">
        <f>"SO23000126"</f>
        <v>SO23000126</v>
      </c>
      <c r="B2379" t="str">
        <f>"E000386802"</f>
        <v>E000386802</v>
      </c>
      <c r="C2379" t="str">
        <f>"בוצעה"</f>
        <v>בוצעה</v>
      </c>
      <c r="E2379" s="3">
        <v>44987</v>
      </c>
      <c r="F2379" s="3">
        <v>45015</v>
      </c>
      <c r="G2379" t="str">
        <f>"700065"</f>
        <v>700065</v>
      </c>
      <c r="H2379" t="str">
        <f>"אלתא מערכות בע""מ"</f>
        <v>אלתא מערכות בע"מ</v>
      </c>
      <c r="I2379" t="str">
        <f>"רחמים זרוק"</f>
        <v>רחמים זרוק</v>
      </c>
      <c r="J2379" t="str">
        <f>"cust001510"</f>
        <v>cust001510</v>
      </c>
      <c r="K2379" s="1" t="str">
        <f>"ELTA 4043B120-001   HARNESS W120"</f>
        <v>ELTA 4043B120-001   HARNESS W120</v>
      </c>
      <c r="L2379">
        <v>3</v>
      </c>
      <c r="O2379">
        <v>97</v>
      </c>
      <c r="P2379" t="str">
        <f>"$"</f>
        <v>$</v>
      </c>
      <c r="Q2379" t="str">
        <f>"117"</f>
        <v>117</v>
      </c>
      <c r="R2379" t="str">
        <f>"רתמות"</f>
        <v>רתמות</v>
      </c>
      <c r="S2379" t="str">
        <f>"040"</f>
        <v>040</v>
      </c>
      <c r="T2379" t="str">
        <f>"עמר ליגל"</f>
        <v>עמר ליגל</v>
      </c>
      <c r="U2379">
        <v>0</v>
      </c>
      <c r="V2379">
        <v>0</v>
      </c>
      <c r="W2379">
        <v>97</v>
      </c>
      <c r="X2379">
        <v>291</v>
      </c>
      <c r="Z2379" t="str">
        <f>"Y"</f>
        <v>Y</v>
      </c>
      <c r="AA2379">
        <v>0</v>
      </c>
      <c r="AC2379">
        <v>0</v>
      </c>
      <c r="AE2379">
        <v>0</v>
      </c>
      <c r="AF2379">
        <v>0</v>
      </c>
      <c r="AG2379">
        <v>353.27</v>
      </c>
      <c r="AH2379">
        <v>0</v>
      </c>
      <c r="AI2379" s="2">
        <v>1059.82</v>
      </c>
      <c r="AJ2379">
        <v>291</v>
      </c>
      <c r="AK2379">
        <v>291</v>
      </c>
      <c r="AL2379" t="str">
        <f>"$"</f>
        <v>$</v>
      </c>
    </row>
    <row r="2380" spans="1:38" x14ac:dyDescent="0.3">
      <c r="A2380" t="str">
        <f>"SO23000129"</f>
        <v>SO23000129</v>
      </c>
      <c r="B2380" t="str">
        <f>"E000387745"</f>
        <v>E000387745</v>
      </c>
      <c r="C2380" t="str">
        <f>"בוצעה"</f>
        <v>בוצעה</v>
      </c>
      <c r="E2380" s="3">
        <v>44990</v>
      </c>
      <c r="F2380" s="3">
        <v>45107</v>
      </c>
      <c r="G2380" t="str">
        <f>"700065"</f>
        <v>700065</v>
      </c>
      <c r="H2380" t="str">
        <f>"אלתא מערכות בע""מ"</f>
        <v>אלתא מערכות בע"מ</v>
      </c>
      <c r="I2380" t="str">
        <f>"רוני דידי"</f>
        <v>רוני דידי</v>
      </c>
      <c r="J2380" t="str">
        <f>"OP-AR01234"</f>
        <v>OP-AR01234</v>
      </c>
      <c r="K2380" s="1" t="str">
        <f>"PDU 4 CHANNELS"</f>
        <v>PDU 4 CHANNELS</v>
      </c>
      <c r="L2380">
        <v>1</v>
      </c>
      <c r="M2380" t="str">
        <f>"PR23000199"</f>
        <v>PR23000199</v>
      </c>
      <c r="N2380" t="str">
        <f>"CHANNELS PDU FOR 115V/400HZ/3PH"</f>
        <v>CHANNELS PDU FOR 115V/400HZ/3PH</v>
      </c>
      <c r="O2380" s="2">
        <v>5950</v>
      </c>
      <c r="P2380" t="str">
        <f>"$"</f>
        <v>$</v>
      </c>
      <c r="Q2380" t="str">
        <f>"117"</f>
        <v>117</v>
      </c>
      <c r="R2380" t="str">
        <f>"רתמות"</f>
        <v>רתמות</v>
      </c>
      <c r="S2380" t="str">
        <f>"007"</f>
        <v>007</v>
      </c>
      <c r="T2380" t="str">
        <f>"עמר ליגל"</f>
        <v>עמר ליגל</v>
      </c>
      <c r="U2380">
        <v>0</v>
      </c>
      <c r="V2380">
        <v>0</v>
      </c>
      <c r="W2380" s="2">
        <v>5950</v>
      </c>
      <c r="X2380" s="2">
        <v>5950</v>
      </c>
      <c r="Z2380" t="str">
        <f>"Y"</f>
        <v>Y</v>
      </c>
      <c r="AA2380">
        <v>0</v>
      </c>
      <c r="AC2380">
        <v>0</v>
      </c>
      <c r="AE2380">
        <v>0</v>
      </c>
      <c r="AF2380">
        <v>0</v>
      </c>
      <c r="AG2380" s="2">
        <v>21800.799999999999</v>
      </c>
      <c r="AH2380">
        <v>0</v>
      </c>
      <c r="AI2380" s="2">
        <v>21800.799999999999</v>
      </c>
      <c r="AJ2380" s="2">
        <v>5950</v>
      </c>
      <c r="AK2380" s="2">
        <v>5950</v>
      </c>
      <c r="AL2380" t="str">
        <f>"$"</f>
        <v>$</v>
      </c>
    </row>
    <row r="2381" spans="1:38" x14ac:dyDescent="0.3">
      <c r="A2381" t="str">
        <f>"SO23000131"</f>
        <v>SO23000131</v>
      </c>
      <c r="B2381" t="str">
        <f>"E000388463"</f>
        <v>E000388463</v>
      </c>
      <c r="C2381" t="str">
        <f>"בוצעה"</f>
        <v>בוצעה</v>
      </c>
      <c r="E2381" s="3">
        <v>44990</v>
      </c>
      <c r="F2381" s="3">
        <v>45087</v>
      </c>
      <c r="G2381" t="str">
        <f>"700065"</f>
        <v>700065</v>
      </c>
      <c r="H2381" t="str">
        <f>"אלתא מערכות בע""מ"</f>
        <v>אלתא מערכות בע"מ</v>
      </c>
      <c r="I2381" t="str">
        <f>"רוני דידי"</f>
        <v>רוני דידי</v>
      </c>
      <c r="J2381" t="str">
        <f>"OP-ML00225"</f>
        <v>OP-ML00225</v>
      </c>
      <c r="K2381" s="1" t="str">
        <f>"ISO TRAFO 25KVA D/Yn11 400/400/230V OUTDOOR"</f>
        <v>ISO TRAFO 25KVA D/Yn11 400/400/230V OUTDOOR</v>
      </c>
      <c r="L2381">
        <v>2</v>
      </c>
      <c r="M2381" t="str">
        <f>"PR23000201"</f>
        <v>PR23000201</v>
      </c>
      <c r="N2381" t="str">
        <f>"SO 3-PH 25KVA 400V/50HZ-400/230V"</f>
        <v>SO 3-PH 25KVA 400V/50HZ-400/230V</v>
      </c>
      <c r="O2381" s="2">
        <v>11800</v>
      </c>
      <c r="P2381" t="str">
        <f>"$"</f>
        <v>$</v>
      </c>
      <c r="Q2381" t="str">
        <f>"118"</f>
        <v>118</v>
      </c>
      <c r="R2381" t="str">
        <f>"מערכות"</f>
        <v>מערכות</v>
      </c>
      <c r="S2381" t="str">
        <f>"007"</f>
        <v>007</v>
      </c>
      <c r="T2381" t="str">
        <f>"עמר ליגל"</f>
        <v>עמר ליגל</v>
      </c>
      <c r="U2381">
        <v>0</v>
      </c>
      <c r="V2381">
        <v>0</v>
      </c>
      <c r="W2381" s="2">
        <v>11800</v>
      </c>
      <c r="X2381" s="2">
        <v>23600</v>
      </c>
      <c r="Z2381" t="str">
        <f>"Y"</f>
        <v>Y</v>
      </c>
      <c r="AA2381">
        <v>0</v>
      </c>
      <c r="AC2381">
        <v>0</v>
      </c>
      <c r="AE2381">
        <v>0</v>
      </c>
      <c r="AF2381">
        <v>0</v>
      </c>
      <c r="AG2381" s="2">
        <v>43235.199999999997</v>
      </c>
      <c r="AH2381">
        <v>0</v>
      </c>
      <c r="AI2381" s="2">
        <v>86470.399999999994</v>
      </c>
      <c r="AJ2381" s="2">
        <v>23600</v>
      </c>
      <c r="AK2381" s="2">
        <v>23600</v>
      </c>
      <c r="AL2381" t="str">
        <f>"$"</f>
        <v>$</v>
      </c>
    </row>
    <row r="2382" spans="1:38" x14ac:dyDescent="0.3">
      <c r="A2382" t="str">
        <f>"SO23000135"</f>
        <v>SO23000135</v>
      </c>
      <c r="B2382" t="str">
        <f>"E000388607"</f>
        <v>E000388607</v>
      </c>
      <c r="C2382" t="str">
        <f>"מאושרת לבצוע"</f>
        <v>מאושרת לבצוע</v>
      </c>
      <c r="E2382" s="3">
        <v>44991</v>
      </c>
      <c r="F2382" s="3">
        <v>45184</v>
      </c>
      <c r="G2382" t="str">
        <f>"700065"</f>
        <v>700065</v>
      </c>
      <c r="H2382" t="str">
        <f>"אלתא מערכות בע""מ"</f>
        <v>אלתא מערכות בע"מ</v>
      </c>
      <c r="I2382" t="str">
        <f>"רוני דידי"</f>
        <v>רוני דידי</v>
      </c>
      <c r="J2382" t="str">
        <f>"OP-AR03579"</f>
        <v>OP-AR03579</v>
      </c>
      <c r="K2382" s="1" t="str">
        <f>"PDB1 1043C860-001"</f>
        <v>PDB1 1043C860-001</v>
      </c>
      <c r="L2382">
        <v>2</v>
      </c>
      <c r="O2382" s="2">
        <v>46550</v>
      </c>
      <c r="P2382" t="str">
        <f>"$"</f>
        <v>$</v>
      </c>
      <c r="Q2382" t="str">
        <f>"118"</f>
        <v>118</v>
      </c>
      <c r="R2382" t="str">
        <f>"מערכות"</f>
        <v>מערכות</v>
      </c>
      <c r="S2382" t="str">
        <f>"007"</f>
        <v>007</v>
      </c>
      <c r="T2382" t="str">
        <f>"עמר ליגל"</f>
        <v>עמר ליגל</v>
      </c>
      <c r="U2382">
        <v>0</v>
      </c>
      <c r="V2382">
        <v>0</v>
      </c>
      <c r="W2382" s="2">
        <v>46550</v>
      </c>
      <c r="X2382" s="2">
        <v>93100</v>
      </c>
      <c r="AA2382">
        <v>2</v>
      </c>
      <c r="AC2382">
        <v>0</v>
      </c>
      <c r="AE2382">
        <v>0</v>
      </c>
      <c r="AF2382">
        <v>0</v>
      </c>
      <c r="AG2382" s="2">
        <v>167067.95000000001</v>
      </c>
      <c r="AH2382">
        <v>0</v>
      </c>
      <c r="AI2382" s="2">
        <v>334135.90000000002</v>
      </c>
      <c r="AJ2382" s="2">
        <v>93100</v>
      </c>
      <c r="AK2382" s="2">
        <v>93100</v>
      </c>
      <c r="AL2382" t="str">
        <f>"$"</f>
        <v>$</v>
      </c>
    </row>
    <row r="2383" spans="1:38" x14ac:dyDescent="0.3">
      <c r="A2383" t="str">
        <f>"SO23000135"</f>
        <v>SO23000135</v>
      </c>
      <c r="B2383" t="str">
        <f>"E000388607"</f>
        <v>E000388607</v>
      </c>
      <c r="C2383" t="str">
        <f>"מאושרת לבצוע"</f>
        <v>מאושרת לבצוע</v>
      </c>
      <c r="E2383" s="3">
        <v>44991</v>
      </c>
      <c r="F2383" s="3">
        <v>45184</v>
      </c>
      <c r="G2383" t="str">
        <f>"700065"</f>
        <v>700065</v>
      </c>
      <c r="H2383" t="str">
        <f>"אלתא מערכות בע""מ"</f>
        <v>אלתא מערכות בע"מ</v>
      </c>
      <c r="I2383" t="str">
        <f>"רוני דידי"</f>
        <v>רוני דידי</v>
      </c>
      <c r="J2383" t="str">
        <f>"OP-AR02041-1S"</f>
        <v>OP-AR02041-1S</v>
      </c>
      <c r="K2383" s="1" t="str">
        <f>"SL PDB  1 1042A860-001"</f>
        <v>SL PDB  1 1042A860-001</v>
      </c>
      <c r="L2383">
        <v>1</v>
      </c>
      <c r="M2383" t="str">
        <f>"PR21000068"</f>
        <v>PR21000068</v>
      </c>
      <c r="N2383" t="str">
        <f>"RPU pdb1+2 פנימי"</f>
        <v>RPU pdb1+2 פנימי</v>
      </c>
      <c r="O2383" s="2">
        <v>46550</v>
      </c>
      <c r="P2383" t="str">
        <f>"$"</f>
        <v>$</v>
      </c>
      <c r="Q2383" t="str">
        <f>"118"</f>
        <v>118</v>
      </c>
      <c r="R2383" t="str">
        <f>"מערכות"</f>
        <v>מערכות</v>
      </c>
      <c r="S2383" t="str">
        <f>"007"</f>
        <v>007</v>
      </c>
      <c r="T2383" t="str">
        <f>"עמר ליגל"</f>
        <v>עמר ליגל</v>
      </c>
      <c r="U2383">
        <v>0</v>
      </c>
      <c r="V2383">
        <v>0</v>
      </c>
      <c r="W2383" s="2">
        <v>46550</v>
      </c>
      <c r="X2383" s="2">
        <v>46550</v>
      </c>
      <c r="Z2383" t="str">
        <f>"Y"</f>
        <v>Y</v>
      </c>
      <c r="AA2383">
        <v>0</v>
      </c>
      <c r="AC2383">
        <v>0</v>
      </c>
      <c r="AE2383">
        <v>0</v>
      </c>
      <c r="AF2383">
        <v>0</v>
      </c>
      <c r="AG2383" s="2">
        <v>167067.95000000001</v>
      </c>
      <c r="AH2383">
        <v>0</v>
      </c>
      <c r="AI2383" s="2">
        <v>167067.95000000001</v>
      </c>
      <c r="AJ2383" s="2">
        <v>46550</v>
      </c>
      <c r="AK2383" s="2">
        <v>46550</v>
      </c>
      <c r="AL2383" t="str">
        <f>"$"</f>
        <v>$</v>
      </c>
    </row>
    <row r="2384" spans="1:38" x14ac:dyDescent="0.3">
      <c r="A2384" t="str">
        <f>"SO23000135"</f>
        <v>SO23000135</v>
      </c>
      <c r="B2384" t="str">
        <f>"E000388607"</f>
        <v>E000388607</v>
      </c>
      <c r="C2384" t="str">
        <f>"מאושרת לבצוע"</f>
        <v>מאושרת לבצוע</v>
      </c>
      <c r="E2384" s="3">
        <v>44991</v>
      </c>
      <c r="F2384" s="3">
        <v>45184</v>
      </c>
      <c r="G2384" t="str">
        <f>"700065"</f>
        <v>700065</v>
      </c>
      <c r="H2384" t="str">
        <f>"אלתא מערכות בע""מ"</f>
        <v>אלתא מערכות בע"מ</v>
      </c>
      <c r="I2384" t="str">
        <f>"רוני דידי"</f>
        <v>רוני דידי</v>
      </c>
      <c r="J2384" t="str">
        <f>"OP-AR02042"</f>
        <v>OP-AR02042</v>
      </c>
      <c r="K2384" s="1" t="str">
        <f>"PDB2  1038C870-001"</f>
        <v>PDB2  1038C870-001</v>
      </c>
      <c r="L2384">
        <v>1</v>
      </c>
      <c r="O2384" s="2">
        <v>31050</v>
      </c>
      <c r="P2384" t="str">
        <f>"$"</f>
        <v>$</v>
      </c>
      <c r="Q2384" t="str">
        <f>"118"</f>
        <v>118</v>
      </c>
      <c r="R2384" t="str">
        <f>"מערכות"</f>
        <v>מערכות</v>
      </c>
      <c r="S2384" t="str">
        <f>"007"</f>
        <v>007</v>
      </c>
      <c r="T2384" t="str">
        <f>"עמר ליגל"</f>
        <v>עמר ליגל</v>
      </c>
      <c r="U2384">
        <v>0</v>
      </c>
      <c r="V2384">
        <v>0</v>
      </c>
      <c r="W2384" s="2">
        <v>31050</v>
      </c>
      <c r="X2384" s="2">
        <v>31050</v>
      </c>
      <c r="AA2384">
        <v>1</v>
      </c>
      <c r="AC2384">
        <v>0</v>
      </c>
      <c r="AE2384">
        <v>0</v>
      </c>
      <c r="AF2384">
        <v>0</v>
      </c>
      <c r="AG2384" s="2">
        <v>111438.45</v>
      </c>
      <c r="AH2384">
        <v>0</v>
      </c>
      <c r="AI2384" s="2">
        <v>111438.45</v>
      </c>
      <c r="AJ2384" s="2">
        <v>31050</v>
      </c>
      <c r="AK2384" s="2">
        <v>31050</v>
      </c>
      <c r="AL2384" t="str">
        <f>"$"</f>
        <v>$</v>
      </c>
    </row>
    <row r="2385" spans="1:38" x14ac:dyDescent="0.3">
      <c r="A2385" t="str">
        <f>"SO23000138"</f>
        <v>SO23000138</v>
      </c>
      <c r="B2385" t="str">
        <f>"E000386580"</f>
        <v>E000386580</v>
      </c>
      <c r="C2385" t="str">
        <f>"הרכבה חלקית"</f>
        <v>הרכבה חלקית</v>
      </c>
      <c r="E2385" s="3">
        <v>44991</v>
      </c>
      <c r="F2385" s="3">
        <v>45026</v>
      </c>
      <c r="G2385" t="str">
        <f>"700065"</f>
        <v>700065</v>
      </c>
      <c r="H2385" t="str">
        <f>"אלתא מערכות בע""מ"</f>
        <v>אלתא מערכות בע"מ</v>
      </c>
      <c r="I2385" t="str">
        <f>"רחמים זרוק"</f>
        <v>רחמים זרוק</v>
      </c>
      <c r="J2385" t="str">
        <f>"OP-AR03556"</f>
        <v>OP-AR03556</v>
      </c>
      <c r="K2385" s="1" t="str">
        <f>"1032G901-001     CABLE 2W40"</f>
        <v>1032G901-001     CABLE 2W40</v>
      </c>
      <c r="L2385">
        <v>2</v>
      </c>
      <c r="M2385" t="str">
        <f>"PR23000204"</f>
        <v>PR23000204</v>
      </c>
      <c r="N2385" t="str">
        <f>"E000386580"</f>
        <v>E000386580</v>
      </c>
      <c r="O2385">
        <v>634.04999999999995</v>
      </c>
      <c r="P2385" t="str">
        <f>"$"</f>
        <v>$</v>
      </c>
      <c r="Q2385" t="str">
        <f>"117"</f>
        <v>117</v>
      </c>
      <c r="R2385" t="str">
        <f>"רתמות"</f>
        <v>רתמות</v>
      </c>
      <c r="S2385" t="str">
        <f>"040"</f>
        <v>040</v>
      </c>
      <c r="T2385" t="str">
        <f>"עמר ליגל"</f>
        <v>עמר ליגל</v>
      </c>
      <c r="U2385">
        <v>0</v>
      </c>
      <c r="V2385">
        <v>0</v>
      </c>
      <c r="W2385">
        <v>634.04999999999995</v>
      </c>
      <c r="X2385" s="2">
        <v>1268.0999999999999</v>
      </c>
      <c r="Z2385" t="str">
        <f>"Y"</f>
        <v>Y</v>
      </c>
      <c r="AA2385">
        <v>0</v>
      </c>
      <c r="AC2385">
        <v>0</v>
      </c>
      <c r="AE2385">
        <v>0</v>
      </c>
      <c r="AF2385">
        <v>0</v>
      </c>
      <c r="AG2385" s="2">
        <v>2275.61</v>
      </c>
      <c r="AH2385">
        <v>0</v>
      </c>
      <c r="AI2385" s="2">
        <v>4551.21</v>
      </c>
      <c r="AJ2385" s="2">
        <v>1268.0999999999999</v>
      </c>
      <c r="AK2385" s="2">
        <v>1268.0999999999999</v>
      </c>
      <c r="AL2385" t="str">
        <f>"$"</f>
        <v>$</v>
      </c>
    </row>
    <row r="2386" spans="1:38" x14ac:dyDescent="0.3">
      <c r="A2386" t="str">
        <f>"SO23000138"</f>
        <v>SO23000138</v>
      </c>
      <c r="B2386" t="str">
        <f>"E000386580"</f>
        <v>E000386580</v>
      </c>
      <c r="C2386" t="str">
        <f>"הרכבה חלקית"</f>
        <v>הרכבה חלקית</v>
      </c>
      <c r="E2386" s="3">
        <v>44991</v>
      </c>
      <c r="F2386" s="3">
        <v>45026</v>
      </c>
      <c r="G2386" t="str">
        <f>"700065"</f>
        <v>700065</v>
      </c>
      <c r="H2386" t="str">
        <f>"אלתא מערכות בע""מ"</f>
        <v>אלתא מערכות בע"מ</v>
      </c>
      <c r="I2386" t="str">
        <f>"רחמים זרוק"</f>
        <v>רחמים זרוק</v>
      </c>
      <c r="J2386" t="str">
        <f>"OP-AR03557"</f>
        <v>OP-AR03557</v>
      </c>
      <c r="K2386" s="1" t="str">
        <f>"1032G902-001     CABLE 2W41"</f>
        <v>1032G902-001     CABLE 2W41</v>
      </c>
      <c r="L2386">
        <v>2</v>
      </c>
      <c r="M2386" t="str">
        <f>"PR23000204"</f>
        <v>PR23000204</v>
      </c>
      <c r="N2386" t="str">
        <f>"E000386580"</f>
        <v>E000386580</v>
      </c>
      <c r="O2386">
        <v>396.63</v>
      </c>
      <c r="P2386" t="str">
        <f>"$"</f>
        <v>$</v>
      </c>
      <c r="Q2386" t="str">
        <f>"117"</f>
        <v>117</v>
      </c>
      <c r="R2386" t="str">
        <f>"רתמות"</f>
        <v>רתמות</v>
      </c>
      <c r="S2386" t="str">
        <f>"040"</f>
        <v>040</v>
      </c>
      <c r="T2386" t="str">
        <f>"עמר ליגל"</f>
        <v>עמר ליגל</v>
      </c>
      <c r="U2386">
        <v>0</v>
      </c>
      <c r="V2386">
        <v>0</v>
      </c>
      <c r="W2386">
        <v>396.63</v>
      </c>
      <c r="X2386">
        <v>793.26</v>
      </c>
      <c r="Z2386" t="str">
        <f>"Y"</f>
        <v>Y</v>
      </c>
      <c r="AA2386">
        <v>0</v>
      </c>
      <c r="AC2386">
        <v>0</v>
      </c>
      <c r="AE2386">
        <v>0</v>
      </c>
      <c r="AF2386">
        <v>0</v>
      </c>
      <c r="AG2386" s="2">
        <v>1423.51</v>
      </c>
      <c r="AH2386">
        <v>0</v>
      </c>
      <c r="AI2386" s="2">
        <v>2847.01</v>
      </c>
      <c r="AJ2386">
        <v>793.26</v>
      </c>
      <c r="AK2386">
        <v>793.26</v>
      </c>
      <c r="AL2386" t="str">
        <f>"$"</f>
        <v>$</v>
      </c>
    </row>
    <row r="2387" spans="1:38" x14ac:dyDescent="0.3">
      <c r="A2387" t="str">
        <f>"SO23000138"</f>
        <v>SO23000138</v>
      </c>
      <c r="B2387" t="str">
        <f>"E000386580"</f>
        <v>E000386580</v>
      </c>
      <c r="C2387" t="str">
        <f>"הרכבה חלקית"</f>
        <v>הרכבה חלקית</v>
      </c>
      <c r="E2387" s="3">
        <v>44991</v>
      </c>
      <c r="F2387" s="3">
        <v>45026</v>
      </c>
      <c r="G2387" t="str">
        <f>"700065"</f>
        <v>700065</v>
      </c>
      <c r="H2387" t="str">
        <f>"אלתא מערכות בע""מ"</f>
        <v>אלתא מערכות בע"מ</v>
      </c>
      <c r="I2387" t="str">
        <f>"רחמים זרוק"</f>
        <v>רחמים זרוק</v>
      </c>
      <c r="J2387" t="str">
        <f>"OP-AR03558"</f>
        <v>OP-AR03558</v>
      </c>
      <c r="K2387" s="1" t="str">
        <f>"1032G903-001     CABLE 2W42"</f>
        <v>1032G903-001     CABLE 2W42</v>
      </c>
      <c r="L2387">
        <v>2</v>
      </c>
      <c r="M2387" t="str">
        <f>"PR23000204"</f>
        <v>PR23000204</v>
      </c>
      <c r="N2387" t="str">
        <f>"E000386580"</f>
        <v>E000386580</v>
      </c>
      <c r="O2387">
        <v>396.63</v>
      </c>
      <c r="P2387" t="str">
        <f>"$"</f>
        <v>$</v>
      </c>
      <c r="Q2387" t="str">
        <f>"117"</f>
        <v>117</v>
      </c>
      <c r="R2387" t="str">
        <f>"רתמות"</f>
        <v>רתמות</v>
      </c>
      <c r="S2387" t="str">
        <f>"040"</f>
        <v>040</v>
      </c>
      <c r="T2387" t="str">
        <f>"עמר ליגל"</f>
        <v>עמר ליגל</v>
      </c>
      <c r="U2387">
        <v>0</v>
      </c>
      <c r="V2387">
        <v>0</v>
      </c>
      <c r="W2387">
        <v>396.63</v>
      </c>
      <c r="X2387">
        <v>793.26</v>
      </c>
      <c r="Z2387" t="str">
        <f>"Y"</f>
        <v>Y</v>
      </c>
      <c r="AA2387">
        <v>0</v>
      </c>
      <c r="AC2387">
        <v>0</v>
      </c>
      <c r="AE2387">
        <v>0</v>
      </c>
      <c r="AF2387">
        <v>0</v>
      </c>
      <c r="AG2387" s="2">
        <v>1423.51</v>
      </c>
      <c r="AH2387">
        <v>0</v>
      </c>
      <c r="AI2387" s="2">
        <v>2847.01</v>
      </c>
      <c r="AJ2387">
        <v>793.26</v>
      </c>
      <c r="AK2387">
        <v>793.26</v>
      </c>
      <c r="AL2387" t="str">
        <f>"$"</f>
        <v>$</v>
      </c>
    </row>
    <row r="2388" spans="1:38" x14ac:dyDescent="0.3">
      <c r="A2388" t="str">
        <f>"SO23000138"</f>
        <v>SO23000138</v>
      </c>
      <c r="B2388" t="str">
        <f>"E000386580"</f>
        <v>E000386580</v>
      </c>
      <c r="C2388" t="str">
        <f>"הרכבה חלקית"</f>
        <v>הרכבה חלקית</v>
      </c>
      <c r="E2388" s="3">
        <v>44991</v>
      </c>
      <c r="F2388" s="3">
        <v>45026</v>
      </c>
      <c r="G2388" t="str">
        <f>"700065"</f>
        <v>700065</v>
      </c>
      <c r="H2388" t="str">
        <f>"אלתא מערכות בע""מ"</f>
        <v>אלתא מערכות בע"מ</v>
      </c>
      <c r="I2388" t="str">
        <f>"רחמים זרוק"</f>
        <v>רחמים זרוק</v>
      </c>
      <c r="J2388" t="str">
        <f>"OP-AR03559"</f>
        <v>OP-AR03559</v>
      </c>
      <c r="K2388" s="1" t="str">
        <f>"1032G904-001     CABLE 2W43"</f>
        <v>1032G904-001     CABLE 2W43</v>
      </c>
      <c r="L2388">
        <v>2</v>
      </c>
      <c r="M2388" t="str">
        <f>"PR23000204"</f>
        <v>PR23000204</v>
      </c>
      <c r="N2388" t="str">
        <f>"E000386580"</f>
        <v>E000386580</v>
      </c>
      <c r="O2388">
        <v>396.63</v>
      </c>
      <c r="P2388" t="str">
        <f>"$"</f>
        <v>$</v>
      </c>
      <c r="Q2388" t="str">
        <f>"117"</f>
        <v>117</v>
      </c>
      <c r="R2388" t="str">
        <f>"רתמות"</f>
        <v>רתמות</v>
      </c>
      <c r="S2388" t="str">
        <f>"040"</f>
        <v>040</v>
      </c>
      <c r="T2388" t="str">
        <f>"עמר ליגל"</f>
        <v>עמר ליגל</v>
      </c>
      <c r="U2388">
        <v>0</v>
      </c>
      <c r="V2388">
        <v>0</v>
      </c>
      <c r="W2388">
        <v>396.63</v>
      </c>
      <c r="X2388">
        <v>793.26</v>
      </c>
      <c r="Z2388" t="str">
        <f>"Y"</f>
        <v>Y</v>
      </c>
      <c r="AA2388">
        <v>0</v>
      </c>
      <c r="AC2388">
        <v>0</v>
      </c>
      <c r="AE2388">
        <v>0</v>
      </c>
      <c r="AF2388">
        <v>0</v>
      </c>
      <c r="AG2388" s="2">
        <v>1423.51</v>
      </c>
      <c r="AH2388">
        <v>0</v>
      </c>
      <c r="AI2388" s="2">
        <v>2847.01</v>
      </c>
      <c r="AJ2388">
        <v>793.26</v>
      </c>
      <c r="AK2388">
        <v>793.26</v>
      </c>
      <c r="AL2388" t="str">
        <f>"$"</f>
        <v>$</v>
      </c>
    </row>
    <row r="2389" spans="1:38" x14ac:dyDescent="0.3">
      <c r="A2389" t="str">
        <f>"SO23000138"</f>
        <v>SO23000138</v>
      </c>
      <c r="B2389" t="str">
        <f>"E000386580"</f>
        <v>E000386580</v>
      </c>
      <c r="C2389" t="str">
        <f>"הרכבה חלקית"</f>
        <v>הרכבה חלקית</v>
      </c>
      <c r="E2389" s="3">
        <v>44991</v>
      </c>
      <c r="F2389" s="3">
        <v>45026</v>
      </c>
      <c r="G2389" t="str">
        <f>"700065"</f>
        <v>700065</v>
      </c>
      <c r="H2389" t="str">
        <f>"אלתא מערכות בע""מ"</f>
        <v>אלתא מערכות בע"מ</v>
      </c>
      <c r="I2389" t="str">
        <f>"רחמים זרוק"</f>
        <v>רחמים זרוק</v>
      </c>
      <c r="J2389" t="str">
        <f>"OP-AR03560"</f>
        <v>OP-AR03560</v>
      </c>
      <c r="K2389" s="1" t="str">
        <f>"1032G905-001     CABLE 2W44"</f>
        <v>1032G905-001     CABLE 2W44</v>
      </c>
      <c r="L2389">
        <v>2</v>
      </c>
      <c r="M2389" t="str">
        <f>"PR23000204"</f>
        <v>PR23000204</v>
      </c>
      <c r="N2389" t="str">
        <f>"E000386580"</f>
        <v>E000386580</v>
      </c>
      <c r="O2389">
        <v>396.63</v>
      </c>
      <c r="P2389" t="str">
        <f>"$"</f>
        <v>$</v>
      </c>
      <c r="Q2389" t="str">
        <f>"117"</f>
        <v>117</v>
      </c>
      <c r="R2389" t="str">
        <f>"רתמות"</f>
        <v>רתמות</v>
      </c>
      <c r="S2389" t="str">
        <f>"040"</f>
        <v>040</v>
      </c>
      <c r="T2389" t="str">
        <f>"עמר ליגל"</f>
        <v>עמר ליגל</v>
      </c>
      <c r="U2389">
        <v>0</v>
      </c>
      <c r="V2389">
        <v>0</v>
      </c>
      <c r="W2389">
        <v>396.63</v>
      </c>
      <c r="X2389">
        <v>793.26</v>
      </c>
      <c r="Z2389" t="str">
        <f>"Y"</f>
        <v>Y</v>
      </c>
      <c r="AA2389">
        <v>0</v>
      </c>
      <c r="AC2389">
        <v>0</v>
      </c>
      <c r="AE2389">
        <v>0</v>
      </c>
      <c r="AF2389">
        <v>0</v>
      </c>
      <c r="AG2389" s="2">
        <v>1423.51</v>
      </c>
      <c r="AH2389">
        <v>0</v>
      </c>
      <c r="AI2389" s="2">
        <v>2847.01</v>
      </c>
      <c r="AJ2389">
        <v>793.26</v>
      </c>
      <c r="AK2389">
        <v>793.26</v>
      </c>
      <c r="AL2389" t="str">
        <f>"$"</f>
        <v>$</v>
      </c>
    </row>
    <row r="2390" spans="1:38" x14ac:dyDescent="0.3">
      <c r="A2390" t="str">
        <f>"SO23000138"</f>
        <v>SO23000138</v>
      </c>
      <c r="B2390" t="str">
        <f>"E000386580"</f>
        <v>E000386580</v>
      </c>
      <c r="C2390" t="str">
        <f>"הרכבה חלקית"</f>
        <v>הרכבה חלקית</v>
      </c>
      <c r="E2390" s="3">
        <v>44991</v>
      </c>
      <c r="F2390" s="3">
        <v>45026</v>
      </c>
      <c r="G2390" t="str">
        <f>"700065"</f>
        <v>700065</v>
      </c>
      <c r="H2390" t="str">
        <f>"אלתא מערכות בע""מ"</f>
        <v>אלתא מערכות בע"מ</v>
      </c>
      <c r="I2390" t="str">
        <f>"רחמים זרוק"</f>
        <v>רחמים זרוק</v>
      </c>
      <c r="J2390" t="str">
        <f>"OP-AR03561"</f>
        <v>OP-AR03561</v>
      </c>
      <c r="K2390" s="1" t="str">
        <f>"1032G906-001     CABLE 2W45"</f>
        <v>1032G906-001     CABLE 2W45</v>
      </c>
      <c r="L2390">
        <v>2</v>
      </c>
      <c r="M2390" t="str">
        <f>"PR23000204"</f>
        <v>PR23000204</v>
      </c>
      <c r="N2390" t="str">
        <f>"E000386580"</f>
        <v>E000386580</v>
      </c>
      <c r="O2390">
        <v>578.35</v>
      </c>
      <c r="P2390" t="str">
        <f>"$"</f>
        <v>$</v>
      </c>
      <c r="Q2390" t="str">
        <f>"117"</f>
        <v>117</v>
      </c>
      <c r="R2390" t="str">
        <f>"רתמות"</f>
        <v>רתמות</v>
      </c>
      <c r="S2390" t="str">
        <f>"040"</f>
        <v>040</v>
      </c>
      <c r="T2390" t="str">
        <f>"עמר ליגל"</f>
        <v>עמר ליגל</v>
      </c>
      <c r="U2390">
        <v>0</v>
      </c>
      <c r="V2390">
        <v>0</v>
      </c>
      <c r="W2390">
        <v>578.35</v>
      </c>
      <c r="X2390" s="2">
        <v>1156.7</v>
      </c>
      <c r="Z2390" t="str">
        <f>"Y"</f>
        <v>Y</v>
      </c>
      <c r="AA2390">
        <v>0</v>
      </c>
      <c r="AC2390">
        <v>0</v>
      </c>
      <c r="AE2390">
        <v>0</v>
      </c>
      <c r="AF2390">
        <v>0</v>
      </c>
      <c r="AG2390" s="2">
        <v>2075.6999999999998</v>
      </c>
      <c r="AH2390">
        <v>0</v>
      </c>
      <c r="AI2390" s="2">
        <v>4151.3999999999996</v>
      </c>
      <c r="AJ2390" s="2">
        <v>1156.7</v>
      </c>
      <c r="AK2390" s="2">
        <v>1156.7</v>
      </c>
      <c r="AL2390" t="str">
        <f>"$"</f>
        <v>$</v>
      </c>
    </row>
    <row r="2391" spans="1:38" x14ac:dyDescent="0.3">
      <c r="A2391" t="str">
        <f>"SO23000138"</f>
        <v>SO23000138</v>
      </c>
      <c r="B2391" t="str">
        <f>"E000386580"</f>
        <v>E000386580</v>
      </c>
      <c r="C2391" t="str">
        <f>"הרכבה חלקית"</f>
        <v>הרכבה חלקית</v>
      </c>
      <c r="E2391" s="3">
        <v>44991</v>
      </c>
      <c r="F2391" s="3">
        <v>45026</v>
      </c>
      <c r="G2391" t="str">
        <f>"700065"</f>
        <v>700065</v>
      </c>
      <c r="H2391" t="str">
        <f>"אלתא מערכות בע""מ"</f>
        <v>אלתא מערכות בע"מ</v>
      </c>
      <c r="I2391" t="str">
        <f>"רחמים זרוק"</f>
        <v>רחמים זרוק</v>
      </c>
      <c r="J2391" t="str">
        <f>"OP-AR03562"</f>
        <v>OP-AR03562</v>
      </c>
      <c r="K2391" s="1" t="str">
        <f>"1032G907-001     CABLE 2W46"</f>
        <v>1032G907-001     CABLE 2W46</v>
      </c>
      <c r="L2391">
        <v>2</v>
      </c>
      <c r="M2391" t="str">
        <f>"PR23000204"</f>
        <v>PR23000204</v>
      </c>
      <c r="N2391" t="str">
        <f>"E000386580"</f>
        <v>E000386580</v>
      </c>
      <c r="O2391">
        <v>396.63</v>
      </c>
      <c r="P2391" t="str">
        <f>"$"</f>
        <v>$</v>
      </c>
      <c r="Q2391" t="str">
        <f>"117"</f>
        <v>117</v>
      </c>
      <c r="R2391" t="str">
        <f>"רתמות"</f>
        <v>רתמות</v>
      </c>
      <c r="S2391" t="str">
        <f>"040"</f>
        <v>040</v>
      </c>
      <c r="T2391" t="str">
        <f>"עמר ליגל"</f>
        <v>עמר ליגל</v>
      </c>
      <c r="U2391">
        <v>0</v>
      </c>
      <c r="V2391">
        <v>0</v>
      </c>
      <c r="W2391">
        <v>396.63</v>
      </c>
      <c r="X2391">
        <v>793.26</v>
      </c>
      <c r="Z2391" t="str">
        <f>"Y"</f>
        <v>Y</v>
      </c>
      <c r="AA2391">
        <v>0</v>
      </c>
      <c r="AC2391">
        <v>0</v>
      </c>
      <c r="AE2391">
        <v>0</v>
      </c>
      <c r="AF2391">
        <v>0</v>
      </c>
      <c r="AG2391" s="2">
        <v>1423.51</v>
      </c>
      <c r="AH2391">
        <v>0</v>
      </c>
      <c r="AI2391" s="2">
        <v>2847.01</v>
      </c>
      <c r="AJ2391">
        <v>793.26</v>
      </c>
      <c r="AK2391">
        <v>793.26</v>
      </c>
      <c r="AL2391" t="str">
        <f>"$"</f>
        <v>$</v>
      </c>
    </row>
    <row r="2392" spans="1:38" x14ac:dyDescent="0.3">
      <c r="A2392" t="str">
        <f>"SO23000138"</f>
        <v>SO23000138</v>
      </c>
      <c r="B2392" t="str">
        <f>"E000386580"</f>
        <v>E000386580</v>
      </c>
      <c r="C2392" t="str">
        <f>"הרכבה חלקית"</f>
        <v>הרכבה חלקית</v>
      </c>
      <c r="E2392" s="3">
        <v>44991</v>
      </c>
      <c r="F2392" s="3">
        <v>45026</v>
      </c>
      <c r="G2392" t="str">
        <f>"700065"</f>
        <v>700065</v>
      </c>
      <c r="H2392" t="str">
        <f>"אלתא מערכות בע""מ"</f>
        <v>אלתא מערכות בע"מ</v>
      </c>
      <c r="I2392" t="str">
        <f>"רחמים זרוק"</f>
        <v>רחמים זרוק</v>
      </c>
      <c r="J2392" t="str">
        <f>"OP-AR03563"</f>
        <v>OP-AR03563</v>
      </c>
      <c r="K2392" s="1" t="str">
        <f>"1032G908-001     CABLE 2W47"</f>
        <v>1032G908-001     CABLE 2W47</v>
      </c>
      <c r="L2392">
        <v>2</v>
      </c>
      <c r="M2392" t="str">
        <f>"PR23000204"</f>
        <v>PR23000204</v>
      </c>
      <c r="N2392" t="str">
        <f>"E000386580"</f>
        <v>E000386580</v>
      </c>
      <c r="O2392">
        <v>396.63</v>
      </c>
      <c r="P2392" t="str">
        <f>"$"</f>
        <v>$</v>
      </c>
      <c r="Q2392" t="str">
        <f>"117"</f>
        <v>117</v>
      </c>
      <c r="R2392" t="str">
        <f>"רתמות"</f>
        <v>רתמות</v>
      </c>
      <c r="S2392" t="str">
        <f>"040"</f>
        <v>040</v>
      </c>
      <c r="T2392" t="str">
        <f>"עמר ליגל"</f>
        <v>עמר ליגל</v>
      </c>
      <c r="U2392">
        <v>0</v>
      </c>
      <c r="V2392">
        <v>0</v>
      </c>
      <c r="W2392">
        <v>396.63</v>
      </c>
      <c r="X2392">
        <v>793.26</v>
      </c>
      <c r="Z2392" t="str">
        <f>"Y"</f>
        <v>Y</v>
      </c>
      <c r="AA2392">
        <v>0</v>
      </c>
      <c r="AC2392">
        <v>0</v>
      </c>
      <c r="AE2392">
        <v>0</v>
      </c>
      <c r="AF2392">
        <v>0</v>
      </c>
      <c r="AG2392" s="2">
        <v>1423.51</v>
      </c>
      <c r="AH2392">
        <v>0</v>
      </c>
      <c r="AI2392" s="2">
        <v>2847.01</v>
      </c>
      <c r="AJ2392">
        <v>793.26</v>
      </c>
      <c r="AK2392">
        <v>793.26</v>
      </c>
      <c r="AL2392" t="str">
        <f>"$"</f>
        <v>$</v>
      </c>
    </row>
    <row r="2393" spans="1:38" x14ac:dyDescent="0.3">
      <c r="A2393" t="str">
        <f>"SO23000138"</f>
        <v>SO23000138</v>
      </c>
      <c r="B2393" t="str">
        <f>"E000386580"</f>
        <v>E000386580</v>
      </c>
      <c r="C2393" t="str">
        <f>"הרכבה חלקית"</f>
        <v>הרכבה חלקית</v>
      </c>
      <c r="E2393" s="3">
        <v>44991</v>
      </c>
      <c r="F2393" s="3">
        <v>45026</v>
      </c>
      <c r="G2393" t="str">
        <f>"700065"</f>
        <v>700065</v>
      </c>
      <c r="H2393" t="str">
        <f>"אלתא מערכות בע""מ"</f>
        <v>אלתא מערכות בע"מ</v>
      </c>
      <c r="I2393" t="str">
        <f>"רחמים זרוק"</f>
        <v>רחמים זרוק</v>
      </c>
      <c r="J2393" t="str">
        <f>"OP-AR03564"</f>
        <v>OP-AR03564</v>
      </c>
      <c r="K2393" s="1" t="str">
        <f>"1032G909-001     CABLE 2W49"</f>
        <v>1032G909-001     CABLE 2W49</v>
      </c>
      <c r="L2393">
        <v>2</v>
      </c>
      <c r="M2393" t="str">
        <f>"PR23000204"</f>
        <v>PR23000204</v>
      </c>
      <c r="N2393" t="str">
        <f>"E000386580"</f>
        <v>E000386580</v>
      </c>
      <c r="O2393">
        <v>396.63</v>
      </c>
      <c r="P2393" t="str">
        <f>"$"</f>
        <v>$</v>
      </c>
      <c r="Q2393" t="str">
        <f>"117"</f>
        <v>117</v>
      </c>
      <c r="R2393" t="str">
        <f>"רתמות"</f>
        <v>רתמות</v>
      </c>
      <c r="S2393" t="str">
        <f>"040"</f>
        <v>040</v>
      </c>
      <c r="T2393" t="str">
        <f>"עמר ליגל"</f>
        <v>עמר ליגל</v>
      </c>
      <c r="U2393">
        <v>0</v>
      </c>
      <c r="V2393">
        <v>0</v>
      </c>
      <c r="W2393">
        <v>396.63</v>
      </c>
      <c r="X2393">
        <v>793.26</v>
      </c>
      <c r="Z2393" t="str">
        <f>"Y"</f>
        <v>Y</v>
      </c>
      <c r="AA2393">
        <v>0</v>
      </c>
      <c r="AC2393">
        <v>0</v>
      </c>
      <c r="AE2393">
        <v>0</v>
      </c>
      <c r="AF2393">
        <v>0</v>
      </c>
      <c r="AG2393" s="2">
        <v>1423.51</v>
      </c>
      <c r="AH2393">
        <v>0</v>
      </c>
      <c r="AI2393" s="2">
        <v>2847.01</v>
      </c>
      <c r="AJ2393">
        <v>793.26</v>
      </c>
      <c r="AK2393">
        <v>793.26</v>
      </c>
      <c r="AL2393" t="str">
        <f>"$"</f>
        <v>$</v>
      </c>
    </row>
    <row r="2394" spans="1:38" x14ac:dyDescent="0.3">
      <c r="A2394" t="str">
        <f>"SO23000138"</f>
        <v>SO23000138</v>
      </c>
      <c r="B2394" t="str">
        <f>"E000386580"</f>
        <v>E000386580</v>
      </c>
      <c r="C2394" t="str">
        <f>"הרכבה חלקית"</f>
        <v>הרכבה חלקית</v>
      </c>
      <c r="E2394" s="3">
        <v>44991</v>
      </c>
      <c r="F2394" s="3">
        <v>45026</v>
      </c>
      <c r="G2394" t="str">
        <f>"700065"</f>
        <v>700065</v>
      </c>
      <c r="H2394" t="str">
        <f>"אלתא מערכות בע""מ"</f>
        <v>אלתא מערכות בע"מ</v>
      </c>
      <c r="I2394" t="str">
        <f>"רחמים זרוק"</f>
        <v>רחמים זרוק</v>
      </c>
      <c r="J2394" t="str">
        <f>"OP-AR03565"</f>
        <v>OP-AR03565</v>
      </c>
      <c r="K2394" s="1" t="str">
        <f>"1032G910-001     CABLE 2W50"</f>
        <v>1032G910-001     CABLE 2W50</v>
      </c>
      <c r="L2394">
        <v>2</v>
      </c>
      <c r="M2394" t="str">
        <f>"PR23000204"</f>
        <v>PR23000204</v>
      </c>
      <c r="N2394" t="str">
        <f>"E000386580"</f>
        <v>E000386580</v>
      </c>
      <c r="O2394">
        <v>986.63</v>
      </c>
      <c r="P2394" t="str">
        <f>"$"</f>
        <v>$</v>
      </c>
      <c r="Q2394" t="str">
        <f>"117"</f>
        <v>117</v>
      </c>
      <c r="R2394" t="str">
        <f>"רתמות"</f>
        <v>רתמות</v>
      </c>
      <c r="S2394" t="str">
        <f>"040"</f>
        <v>040</v>
      </c>
      <c r="T2394" t="str">
        <f>"עמר ליגל"</f>
        <v>עמר ליגל</v>
      </c>
      <c r="U2394">
        <v>0</v>
      </c>
      <c r="V2394">
        <v>0</v>
      </c>
      <c r="W2394">
        <v>986.63</v>
      </c>
      <c r="X2394" s="2">
        <v>1973.26</v>
      </c>
      <c r="Z2394" t="str">
        <f>"Y"</f>
        <v>Y</v>
      </c>
      <c r="AA2394">
        <v>0</v>
      </c>
      <c r="AC2394">
        <v>0</v>
      </c>
      <c r="AE2394">
        <v>0</v>
      </c>
      <c r="AF2394">
        <v>0</v>
      </c>
      <c r="AG2394" s="2">
        <v>3541.02</v>
      </c>
      <c r="AH2394">
        <v>0</v>
      </c>
      <c r="AI2394" s="2">
        <v>7082.03</v>
      </c>
      <c r="AJ2394" s="2">
        <v>1973.26</v>
      </c>
      <c r="AK2394" s="2">
        <v>1973.26</v>
      </c>
      <c r="AL2394" t="str">
        <f>"$"</f>
        <v>$</v>
      </c>
    </row>
    <row r="2395" spans="1:38" x14ac:dyDescent="0.3">
      <c r="A2395" t="str">
        <f>"SO23000138"</f>
        <v>SO23000138</v>
      </c>
      <c r="B2395" t="str">
        <f>"E000386580"</f>
        <v>E000386580</v>
      </c>
      <c r="C2395" t="str">
        <f>"הרכבה חלקית"</f>
        <v>הרכבה חלקית</v>
      </c>
      <c r="E2395" s="3">
        <v>44991</v>
      </c>
      <c r="F2395" s="3">
        <v>45026</v>
      </c>
      <c r="G2395" t="str">
        <f>"700065"</f>
        <v>700065</v>
      </c>
      <c r="H2395" t="str">
        <f>"אלתא מערכות בע""מ"</f>
        <v>אלתא מערכות בע"מ</v>
      </c>
      <c r="I2395" t="str">
        <f>"רחמים זרוק"</f>
        <v>רחמים זרוק</v>
      </c>
      <c r="J2395" t="str">
        <f>"OP-AR03566"</f>
        <v>OP-AR03566</v>
      </c>
      <c r="K2395" s="1" t="str">
        <f>"1032G911-001     CABLE 2W51"</f>
        <v>1032G911-001     CABLE 2W51</v>
      </c>
      <c r="L2395">
        <v>2</v>
      </c>
      <c r="M2395" t="str">
        <f>"PR23000204"</f>
        <v>PR23000204</v>
      </c>
      <c r="N2395" t="str">
        <f>"E000386580"</f>
        <v>E000386580</v>
      </c>
      <c r="O2395">
        <v>986.63</v>
      </c>
      <c r="P2395" t="str">
        <f>"$"</f>
        <v>$</v>
      </c>
      <c r="Q2395" t="str">
        <f>"117"</f>
        <v>117</v>
      </c>
      <c r="R2395" t="str">
        <f>"רתמות"</f>
        <v>רתמות</v>
      </c>
      <c r="S2395" t="str">
        <f>"040"</f>
        <v>040</v>
      </c>
      <c r="T2395" t="str">
        <f>"עמר ליגל"</f>
        <v>עמר ליגל</v>
      </c>
      <c r="U2395">
        <v>0</v>
      </c>
      <c r="V2395">
        <v>0</v>
      </c>
      <c r="W2395">
        <v>986.63</v>
      </c>
      <c r="X2395" s="2">
        <v>1973.26</v>
      </c>
      <c r="Z2395" t="str">
        <f>"Y"</f>
        <v>Y</v>
      </c>
      <c r="AA2395">
        <v>0</v>
      </c>
      <c r="AC2395">
        <v>0</v>
      </c>
      <c r="AE2395">
        <v>0</v>
      </c>
      <c r="AF2395">
        <v>0</v>
      </c>
      <c r="AG2395" s="2">
        <v>3541.02</v>
      </c>
      <c r="AH2395">
        <v>0</v>
      </c>
      <c r="AI2395" s="2">
        <v>7082.03</v>
      </c>
      <c r="AJ2395" s="2">
        <v>1973.26</v>
      </c>
      <c r="AK2395" s="2">
        <v>1973.26</v>
      </c>
      <c r="AL2395" t="str">
        <f>"$"</f>
        <v>$</v>
      </c>
    </row>
    <row r="2396" spans="1:38" x14ac:dyDescent="0.3">
      <c r="A2396" t="str">
        <f>"SO23000138"</f>
        <v>SO23000138</v>
      </c>
      <c r="B2396" t="str">
        <f>"E000386580"</f>
        <v>E000386580</v>
      </c>
      <c r="C2396" t="str">
        <f>"הרכבה חלקית"</f>
        <v>הרכבה חלקית</v>
      </c>
      <c r="E2396" s="3">
        <v>44991</v>
      </c>
      <c r="F2396" s="3">
        <v>45026</v>
      </c>
      <c r="G2396" t="str">
        <f>"700065"</f>
        <v>700065</v>
      </c>
      <c r="H2396" t="str">
        <f>"אלתא מערכות בע""מ"</f>
        <v>אלתא מערכות בע"מ</v>
      </c>
      <c r="I2396" t="str">
        <f>"רחמים זרוק"</f>
        <v>רחמים זרוק</v>
      </c>
      <c r="J2396" t="str">
        <f>"OP-AR03567"</f>
        <v>OP-AR03567</v>
      </c>
      <c r="K2396" s="1" t="str">
        <f>"1032G912-001     CABLE 2W105"</f>
        <v>1032G912-001     CABLE 2W105</v>
      </c>
      <c r="L2396">
        <v>2</v>
      </c>
      <c r="M2396" t="str">
        <f>"PR23000204"</f>
        <v>PR23000204</v>
      </c>
      <c r="N2396" t="str">
        <f>"E000386580"</f>
        <v>E000386580</v>
      </c>
      <c r="O2396" s="2">
        <v>1051.26</v>
      </c>
      <c r="P2396" t="str">
        <f>"$"</f>
        <v>$</v>
      </c>
      <c r="Q2396" t="str">
        <f>"117"</f>
        <v>117</v>
      </c>
      <c r="R2396" t="str">
        <f>"רתמות"</f>
        <v>רתמות</v>
      </c>
      <c r="S2396" t="str">
        <f>"040"</f>
        <v>040</v>
      </c>
      <c r="T2396" t="str">
        <f>"עמר ליגל"</f>
        <v>עמר ליגל</v>
      </c>
      <c r="U2396">
        <v>0</v>
      </c>
      <c r="V2396">
        <v>0</v>
      </c>
      <c r="W2396" s="2">
        <v>1051.26</v>
      </c>
      <c r="X2396" s="2">
        <v>2102.52</v>
      </c>
      <c r="Z2396" t="str">
        <f>"Y"</f>
        <v>Y</v>
      </c>
      <c r="AA2396">
        <v>0</v>
      </c>
      <c r="AC2396">
        <v>0</v>
      </c>
      <c r="AE2396">
        <v>0</v>
      </c>
      <c r="AF2396">
        <v>0</v>
      </c>
      <c r="AG2396" s="2">
        <v>3772.97</v>
      </c>
      <c r="AH2396">
        <v>0</v>
      </c>
      <c r="AI2396" s="2">
        <v>7545.94</v>
      </c>
      <c r="AJ2396" s="2">
        <v>2102.52</v>
      </c>
      <c r="AK2396" s="2">
        <v>2102.52</v>
      </c>
      <c r="AL2396" t="str">
        <f>"$"</f>
        <v>$</v>
      </c>
    </row>
    <row r="2397" spans="1:38" x14ac:dyDescent="0.3">
      <c r="A2397" t="str">
        <f>"SO23000138"</f>
        <v>SO23000138</v>
      </c>
      <c r="B2397" t="str">
        <f>"E000386580"</f>
        <v>E000386580</v>
      </c>
      <c r="C2397" t="str">
        <f>"הרכבה חלקית"</f>
        <v>הרכבה חלקית</v>
      </c>
      <c r="E2397" s="3">
        <v>44991</v>
      </c>
      <c r="F2397" s="3">
        <v>45026</v>
      </c>
      <c r="G2397" t="str">
        <f>"700065"</f>
        <v>700065</v>
      </c>
      <c r="H2397" t="str">
        <f>"אלתא מערכות בע""מ"</f>
        <v>אלתא מערכות בע"מ</v>
      </c>
      <c r="I2397" t="str">
        <f>"רחמים זרוק"</f>
        <v>רחמים זרוק</v>
      </c>
      <c r="J2397" t="str">
        <f>"OP-AR03568"</f>
        <v>OP-AR03568</v>
      </c>
      <c r="K2397" s="1" t="str">
        <f>"1032G913-001     CABLE 2W106"</f>
        <v>1032G913-001     CABLE 2W106</v>
      </c>
      <c r="L2397">
        <v>2</v>
      </c>
      <c r="M2397" t="str">
        <f>"PR23000204"</f>
        <v>PR23000204</v>
      </c>
      <c r="N2397" t="str">
        <f>"E000386580"</f>
        <v>E000386580</v>
      </c>
      <c r="O2397" s="2">
        <v>1051.26</v>
      </c>
      <c r="P2397" t="str">
        <f>"$"</f>
        <v>$</v>
      </c>
      <c r="Q2397" t="str">
        <f>"117"</f>
        <v>117</v>
      </c>
      <c r="R2397" t="str">
        <f>"רתמות"</f>
        <v>רתמות</v>
      </c>
      <c r="S2397" t="str">
        <f>"040"</f>
        <v>040</v>
      </c>
      <c r="T2397" t="str">
        <f>"עמר ליגל"</f>
        <v>עמר ליגל</v>
      </c>
      <c r="U2397">
        <v>0</v>
      </c>
      <c r="V2397">
        <v>0</v>
      </c>
      <c r="W2397" s="2">
        <v>1051.26</v>
      </c>
      <c r="X2397" s="2">
        <v>2102.52</v>
      </c>
      <c r="Z2397" t="str">
        <f>"Y"</f>
        <v>Y</v>
      </c>
      <c r="AA2397">
        <v>0</v>
      </c>
      <c r="AC2397">
        <v>0</v>
      </c>
      <c r="AE2397">
        <v>0</v>
      </c>
      <c r="AF2397">
        <v>0</v>
      </c>
      <c r="AG2397" s="2">
        <v>3772.97</v>
      </c>
      <c r="AH2397">
        <v>0</v>
      </c>
      <c r="AI2397" s="2">
        <v>7545.94</v>
      </c>
      <c r="AJ2397" s="2">
        <v>2102.52</v>
      </c>
      <c r="AK2397" s="2">
        <v>2102.52</v>
      </c>
      <c r="AL2397" t="str">
        <f>"$"</f>
        <v>$</v>
      </c>
    </row>
    <row r="2398" spans="1:38" x14ac:dyDescent="0.3">
      <c r="A2398" t="str">
        <f>"SO23000138"</f>
        <v>SO23000138</v>
      </c>
      <c r="B2398" t="str">
        <f>"E000386580"</f>
        <v>E000386580</v>
      </c>
      <c r="C2398" t="str">
        <f>"הרכבה חלקית"</f>
        <v>הרכבה חלקית</v>
      </c>
      <c r="E2398" s="3">
        <v>44991</v>
      </c>
      <c r="F2398" s="3">
        <v>45026</v>
      </c>
      <c r="G2398" t="str">
        <f>"700065"</f>
        <v>700065</v>
      </c>
      <c r="H2398" t="str">
        <f>"אלתא מערכות בע""מ"</f>
        <v>אלתא מערכות בע"מ</v>
      </c>
      <c r="I2398" t="str">
        <f>"רחמים זרוק"</f>
        <v>רחמים זרוק</v>
      </c>
      <c r="J2398" t="str">
        <f>"OP-AR03569"</f>
        <v>OP-AR03569</v>
      </c>
      <c r="K2398" s="1" t="str">
        <f>"1032G914-001     CABLE 2W107"</f>
        <v>1032G914-001     CABLE 2W107</v>
      </c>
      <c r="L2398">
        <v>2</v>
      </c>
      <c r="M2398" t="str">
        <f>"PR23000204"</f>
        <v>PR23000204</v>
      </c>
      <c r="N2398" t="str">
        <f>"E000386580"</f>
        <v>E000386580</v>
      </c>
      <c r="O2398">
        <v>225.3</v>
      </c>
      <c r="P2398" t="str">
        <f>"$"</f>
        <v>$</v>
      </c>
      <c r="Q2398" t="str">
        <f>"117"</f>
        <v>117</v>
      </c>
      <c r="R2398" t="str">
        <f>"רתמות"</f>
        <v>רתמות</v>
      </c>
      <c r="S2398" t="str">
        <f>"040"</f>
        <v>040</v>
      </c>
      <c r="T2398" t="str">
        <f>"עמר ליגל"</f>
        <v>עמר ליגל</v>
      </c>
      <c r="U2398">
        <v>0</v>
      </c>
      <c r="V2398">
        <v>0</v>
      </c>
      <c r="W2398">
        <v>225.3</v>
      </c>
      <c r="X2398">
        <v>450.6</v>
      </c>
      <c r="Z2398" t="str">
        <f>"Y"</f>
        <v>Y</v>
      </c>
      <c r="AA2398">
        <v>0</v>
      </c>
      <c r="AC2398">
        <v>0</v>
      </c>
      <c r="AE2398">
        <v>0</v>
      </c>
      <c r="AF2398">
        <v>0</v>
      </c>
      <c r="AG2398">
        <v>808.6</v>
      </c>
      <c r="AH2398">
        <v>0</v>
      </c>
      <c r="AI2398" s="2">
        <v>1617.2</v>
      </c>
      <c r="AJ2398">
        <v>450.6</v>
      </c>
      <c r="AK2398">
        <v>450.6</v>
      </c>
      <c r="AL2398" t="str">
        <f>"$"</f>
        <v>$</v>
      </c>
    </row>
    <row r="2399" spans="1:38" x14ac:dyDescent="0.3">
      <c r="A2399" t="str">
        <f>"SO23000138"</f>
        <v>SO23000138</v>
      </c>
      <c r="B2399" t="str">
        <f>"E000386580"</f>
        <v>E000386580</v>
      </c>
      <c r="C2399" t="str">
        <f>"הרכבה חלקית"</f>
        <v>הרכבה חלקית</v>
      </c>
      <c r="E2399" s="3">
        <v>44991</v>
      </c>
      <c r="F2399" s="3">
        <v>45026</v>
      </c>
      <c r="G2399" t="str">
        <f>"700065"</f>
        <v>700065</v>
      </c>
      <c r="H2399" t="str">
        <f>"אלתא מערכות בע""מ"</f>
        <v>אלתא מערכות בע"מ</v>
      </c>
      <c r="I2399" t="str">
        <f>"רחמים זרוק"</f>
        <v>רחמים זרוק</v>
      </c>
      <c r="J2399" t="str">
        <f>"OP-AR03570"</f>
        <v>OP-AR03570</v>
      </c>
      <c r="K2399" s="1" t="str">
        <f>"1032G915-001     CABLE 2W108"</f>
        <v>1032G915-001     CABLE 2W108</v>
      </c>
      <c r="L2399">
        <v>2</v>
      </c>
      <c r="M2399" t="str">
        <f>"PR23000204"</f>
        <v>PR23000204</v>
      </c>
      <c r="N2399" t="str">
        <f>"E000386580"</f>
        <v>E000386580</v>
      </c>
      <c r="O2399" s="2">
        <v>1436.36</v>
      </c>
      <c r="P2399" t="str">
        <f>"$"</f>
        <v>$</v>
      </c>
      <c r="Q2399" t="str">
        <f>"117"</f>
        <v>117</v>
      </c>
      <c r="R2399" t="str">
        <f>"רתמות"</f>
        <v>רתמות</v>
      </c>
      <c r="S2399" t="str">
        <f>"040"</f>
        <v>040</v>
      </c>
      <c r="T2399" t="str">
        <f>"עמר ליגל"</f>
        <v>עמר ליגל</v>
      </c>
      <c r="U2399">
        <v>0</v>
      </c>
      <c r="V2399">
        <v>0</v>
      </c>
      <c r="W2399" s="2">
        <v>1436.36</v>
      </c>
      <c r="X2399" s="2">
        <v>2872.72</v>
      </c>
      <c r="Z2399" t="str">
        <f>"Y"</f>
        <v>Y</v>
      </c>
      <c r="AA2399">
        <v>0</v>
      </c>
      <c r="AC2399">
        <v>0</v>
      </c>
      <c r="AE2399">
        <v>0</v>
      </c>
      <c r="AF2399">
        <v>0</v>
      </c>
      <c r="AG2399" s="2">
        <v>5155.1000000000004</v>
      </c>
      <c r="AH2399">
        <v>0</v>
      </c>
      <c r="AI2399" s="2">
        <v>10310.19</v>
      </c>
      <c r="AJ2399" s="2">
        <v>2872.72</v>
      </c>
      <c r="AK2399" s="2">
        <v>2872.72</v>
      </c>
      <c r="AL2399" t="str">
        <f>"$"</f>
        <v>$</v>
      </c>
    </row>
    <row r="2400" spans="1:38" x14ac:dyDescent="0.3">
      <c r="A2400" t="str">
        <f>"SO23000138"</f>
        <v>SO23000138</v>
      </c>
      <c r="B2400" t="str">
        <f>"E000386580"</f>
        <v>E000386580</v>
      </c>
      <c r="C2400" t="str">
        <f>"הרכבה חלקית"</f>
        <v>הרכבה חלקית</v>
      </c>
      <c r="E2400" s="3">
        <v>44991</v>
      </c>
      <c r="F2400" s="3">
        <v>45026</v>
      </c>
      <c r="G2400" t="str">
        <f>"700065"</f>
        <v>700065</v>
      </c>
      <c r="H2400" t="str">
        <f>"אלתא מערכות בע""מ"</f>
        <v>אלתא מערכות בע"מ</v>
      </c>
      <c r="I2400" t="str">
        <f>"רחמים זרוק"</f>
        <v>רחמים זרוק</v>
      </c>
      <c r="J2400" t="str">
        <f>"OP-AR03571"</f>
        <v>OP-AR03571</v>
      </c>
      <c r="K2400" s="1" t="str">
        <f>"1032G916-001     CABLE 2W002"</f>
        <v>1032G916-001     CABLE 2W002</v>
      </c>
      <c r="L2400">
        <v>2</v>
      </c>
      <c r="M2400" t="str">
        <f>"PR23000204"</f>
        <v>PR23000204</v>
      </c>
      <c r="N2400" t="str">
        <f>"E000386580"</f>
        <v>E000386580</v>
      </c>
      <c r="O2400">
        <v>521.34</v>
      </c>
      <c r="P2400" t="str">
        <f>"$"</f>
        <v>$</v>
      </c>
      <c r="Q2400" t="str">
        <f>"117"</f>
        <v>117</v>
      </c>
      <c r="R2400" t="str">
        <f>"רתמות"</f>
        <v>רתמות</v>
      </c>
      <c r="S2400" t="str">
        <f>"040"</f>
        <v>040</v>
      </c>
      <c r="T2400" t="str">
        <f>"עמר ליגל"</f>
        <v>עמר ליגל</v>
      </c>
      <c r="U2400">
        <v>0</v>
      </c>
      <c r="V2400">
        <v>0</v>
      </c>
      <c r="W2400">
        <v>521.34</v>
      </c>
      <c r="X2400" s="2">
        <v>1042.68</v>
      </c>
      <c r="Z2400" t="str">
        <f>"Y"</f>
        <v>Y</v>
      </c>
      <c r="AA2400">
        <v>0</v>
      </c>
      <c r="AC2400">
        <v>0</v>
      </c>
      <c r="AE2400">
        <v>0</v>
      </c>
      <c r="AF2400">
        <v>0</v>
      </c>
      <c r="AG2400" s="2">
        <v>1871.09</v>
      </c>
      <c r="AH2400">
        <v>0</v>
      </c>
      <c r="AI2400" s="2">
        <v>3742.18</v>
      </c>
      <c r="AJ2400" s="2">
        <v>1042.68</v>
      </c>
      <c r="AK2400" s="2">
        <v>1042.68</v>
      </c>
      <c r="AL2400" t="str">
        <f>"$"</f>
        <v>$</v>
      </c>
    </row>
    <row r="2401" spans="1:38" x14ac:dyDescent="0.3">
      <c r="A2401" t="str">
        <f>"SO23000138"</f>
        <v>SO23000138</v>
      </c>
      <c r="B2401" t="str">
        <f>"E000386580"</f>
        <v>E000386580</v>
      </c>
      <c r="C2401" t="str">
        <f>"הרכבה חלקית"</f>
        <v>הרכבה חלקית</v>
      </c>
      <c r="E2401" s="3">
        <v>44991</v>
      </c>
      <c r="F2401" s="3">
        <v>45026</v>
      </c>
      <c r="G2401" t="str">
        <f>"700065"</f>
        <v>700065</v>
      </c>
      <c r="H2401" t="str">
        <f>"אלתא מערכות בע""מ"</f>
        <v>אלתא מערכות בע"מ</v>
      </c>
      <c r="I2401" t="str">
        <f>"רחמים זרוק"</f>
        <v>רחמים זרוק</v>
      </c>
      <c r="J2401" t="str">
        <f>"OP-AR03572"</f>
        <v>OP-AR03572</v>
      </c>
      <c r="K2401" s="1" t="str">
        <f>"1032G917-001     CABLE 2W21"</f>
        <v>1032G917-001     CABLE 2W21</v>
      </c>
      <c r="L2401">
        <v>2</v>
      </c>
      <c r="M2401" t="str">
        <f>"PR23000204"</f>
        <v>PR23000204</v>
      </c>
      <c r="N2401" t="str">
        <f>"E000386580"</f>
        <v>E000386580</v>
      </c>
      <c r="O2401" s="2">
        <v>2569.38</v>
      </c>
      <c r="P2401" t="str">
        <f>"$"</f>
        <v>$</v>
      </c>
      <c r="Q2401" t="str">
        <f>"117"</f>
        <v>117</v>
      </c>
      <c r="R2401" t="str">
        <f>"רתמות"</f>
        <v>רתמות</v>
      </c>
      <c r="S2401" t="str">
        <f>"040"</f>
        <v>040</v>
      </c>
      <c r="T2401" t="str">
        <f>"עמר ליגל"</f>
        <v>עמר ליגל</v>
      </c>
      <c r="U2401">
        <v>0</v>
      </c>
      <c r="V2401">
        <v>0</v>
      </c>
      <c r="W2401" s="2">
        <v>2569.38</v>
      </c>
      <c r="X2401" s="2">
        <v>5138.76</v>
      </c>
      <c r="Z2401" t="str">
        <f>"Y"</f>
        <v>Y</v>
      </c>
      <c r="AA2401">
        <v>0</v>
      </c>
      <c r="AC2401">
        <v>0</v>
      </c>
      <c r="AE2401">
        <v>0</v>
      </c>
      <c r="AF2401">
        <v>0</v>
      </c>
      <c r="AG2401" s="2">
        <v>9221.5</v>
      </c>
      <c r="AH2401">
        <v>0</v>
      </c>
      <c r="AI2401" s="2">
        <v>18443.009999999998</v>
      </c>
      <c r="AJ2401" s="2">
        <v>5138.76</v>
      </c>
      <c r="AK2401" s="2">
        <v>5138.76</v>
      </c>
      <c r="AL2401" t="str">
        <f>"$"</f>
        <v>$</v>
      </c>
    </row>
    <row r="2402" spans="1:38" x14ac:dyDescent="0.3">
      <c r="A2402" t="str">
        <f>"SO23000138"</f>
        <v>SO23000138</v>
      </c>
      <c r="B2402" t="str">
        <f>"E000386580"</f>
        <v>E000386580</v>
      </c>
      <c r="C2402" t="str">
        <f>"הרכבה חלקית"</f>
        <v>הרכבה חלקית</v>
      </c>
      <c r="E2402" s="3">
        <v>44991</v>
      </c>
      <c r="F2402" s="3">
        <v>45026</v>
      </c>
      <c r="G2402" t="str">
        <f>"700065"</f>
        <v>700065</v>
      </c>
      <c r="H2402" t="str">
        <f>"אלתא מערכות בע""מ"</f>
        <v>אלתא מערכות בע"מ</v>
      </c>
      <c r="I2402" t="str">
        <f>"רחמים זרוק"</f>
        <v>רחמים זרוק</v>
      </c>
      <c r="J2402" t="str">
        <f>"OP-AR03573"</f>
        <v>OP-AR03573</v>
      </c>
      <c r="K2402" s="1" t="str">
        <f>"1032G918-001     CABLE 2W23"</f>
        <v>1032G918-001     CABLE 2W23</v>
      </c>
      <c r="L2402">
        <v>2</v>
      </c>
      <c r="M2402" t="str">
        <f>"PR23000204"</f>
        <v>PR23000204</v>
      </c>
      <c r="N2402" t="str">
        <f>"E000386580"</f>
        <v>E000386580</v>
      </c>
      <c r="O2402">
        <v>670.32</v>
      </c>
      <c r="P2402" t="str">
        <f>"$"</f>
        <v>$</v>
      </c>
      <c r="Q2402" t="str">
        <f>"117"</f>
        <v>117</v>
      </c>
      <c r="R2402" t="str">
        <f>"רתמות"</f>
        <v>רתמות</v>
      </c>
      <c r="S2402" t="str">
        <f>"040"</f>
        <v>040</v>
      </c>
      <c r="T2402" t="str">
        <f>"עמר ליגל"</f>
        <v>עמר ליגל</v>
      </c>
      <c r="U2402">
        <v>0</v>
      </c>
      <c r="V2402">
        <v>0</v>
      </c>
      <c r="W2402">
        <v>670.32</v>
      </c>
      <c r="X2402" s="2">
        <v>1340.64</v>
      </c>
      <c r="Z2402" t="str">
        <f>"Y"</f>
        <v>Y</v>
      </c>
      <c r="AA2402">
        <v>0</v>
      </c>
      <c r="AC2402">
        <v>0</v>
      </c>
      <c r="AE2402">
        <v>0</v>
      </c>
      <c r="AF2402">
        <v>0</v>
      </c>
      <c r="AG2402" s="2">
        <v>2405.7800000000002</v>
      </c>
      <c r="AH2402">
        <v>0</v>
      </c>
      <c r="AI2402" s="2">
        <v>4811.5600000000004</v>
      </c>
      <c r="AJ2402" s="2">
        <v>1340.64</v>
      </c>
      <c r="AK2402" s="2">
        <v>1340.64</v>
      </c>
      <c r="AL2402" t="str">
        <f>"$"</f>
        <v>$</v>
      </c>
    </row>
    <row r="2403" spans="1:38" x14ac:dyDescent="0.3">
      <c r="A2403" t="str">
        <f>"SO23000138"</f>
        <v>SO23000138</v>
      </c>
      <c r="B2403" t="str">
        <f>"E000386580"</f>
        <v>E000386580</v>
      </c>
      <c r="C2403" t="str">
        <f>"הרכבה חלקית"</f>
        <v>הרכבה חלקית</v>
      </c>
      <c r="E2403" s="3">
        <v>44991</v>
      </c>
      <c r="F2403" s="3">
        <v>45026</v>
      </c>
      <c r="G2403" t="str">
        <f>"700065"</f>
        <v>700065</v>
      </c>
      <c r="H2403" t="str">
        <f>"אלתא מערכות בע""מ"</f>
        <v>אלתא מערכות בע"מ</v>
      </c>
      <c r="I2403" t="str">
        <f>"רחמים זרוק"</f>
        <v>רחמים זרוק</v>
      </c>
      <c r="J2403" t="str">
        <f>"OP-AR03574"</f>
        <v>OP-AR03574</v>
      </c>
      <c r="K2403" s="1" t="str">
        <f>"1032G919-001     CABLE 2W24"</f>
        <v>1032G919-001     CABLE 2W24</v>
      </c>
      <c r="L2403">
        <v>2</v>
      </c>
      <c r="M2403" t="str">
        <f>"PR23000204"</f>
        <v>PR23000204</v>
      </c>
      <c r="N2403" t="str">
        <f>"E000386580"</f>
        <v>E000386580</v>
      </c>
      <c r="O2403">
        <v>670.32</v>
      </c>
      <c r="P2403" t="str">
        <f>"$"</f>
        <v>$</v>
      </c>
      <c r="Q2403" t="str">
        <f>"117"</f>
        <v>117</v>
      </c>
      <c r="R2403" t="str">
        <f>"רתמות"</f>
        <v>רתמות</v>
      </c>
      <c r="S2403" t="str">
        <f>"040"</f>
        <v>040</v>
      </c>
      <c r="T2403" t="str">
        <f>"עמר ליגל"</f>
        <v>עמר ליגל</v>
      </c>
      <c r="U2403">
        <v>0</v>
      </c>
      <c r="V2403">
        <v>0</v>
      </c>
      <c r="W2403">
        <v>670.32</v>
      </c>
      <c r="X2403" s="2">
        <v>1340.64</v>
      </c>
      <c r="Z2403" t="str">
        <f>"Y"</f>
        <v>Y</v>
      </c>
      <c r="AA2403">
        <v>0</v>
      </c>
      <c r="AC2403">
        <v>0</v>
      </c>
      <c r="AE2403">
        <v>0</v>
      </c>
      <c r="AF2403">
        <v>0</v>
      </c>
      <c r="AG2403" s="2">
        <v>2405.7800000000002</v>
      </c>
      <c r="AH2403">
        <v>0</v>
      </c>
      <c r="AI2403" s="2">
        <v>4811.5600000000004</v>
      </c>
      <c r="AJ2403" s="2">
        <v>1340.64</v>
      </c>
      <c r="AK2403" s="2">
        <v>1340.64</v>
      </c>
      <c r="AL2403" t="str">
        <f>"$"</f>
        <v>$</v>
      </c>
    </row>
    <row r="2404" spans="1:38" x14ac:dyDescent="0.3">
      <c r="A2404" t="str">
        <f>"SO23000138"</f>
        <v>SO23000138</v>
      </c>
      <c r="B2404" t="str">
        <f>"E000386580"</f>
        <v>E000386580</v>
      </c>
      <c r="C2404" t="str">
        <f>"הרכבה חלקית"</f>
        <v>הרכבה חלקית</v>
      </c>
      <c r="E2404" s="3">
        <v>44991</v>
      </c>
      <c r="F2404" s="3">
        <v>45026</v>
      </c>
      <c r="G2404" t="str">
        <f>"700065"</f>
        <v>700065</v>
      </c>
      <c r="H2404" t="str">
        <f>"אלתא מערכות בע""מ"</f>
        <v>אלתא מערכות בע"מ</v>
      </c>
      <c r="I2404" t="str">
        <f>"רחמים זרוק"</f>
        <v>רחמים זרוק</v>
      </c>
      <c r="J2404" t="str">
        <f>"OP-AR03575"</f>
        <v>OP-AR03575</v>
      </c>
      <c r="K2404" s="1" t="str">
        <f>"1032G920-001     CABLE 2W109"</f>
        <v>1032G920-001     CABLE 2W109</v>
      </c>
      <c r="L2404">
        <v>2</v>
      </c>
      <c r="M2404" t="str">
        <f>"PR23000204"</f>
        <v>PR23000204</v>
      </c>
      <c r="N2404" t="str">
        <f>"E000386580"</f>
        <v>E000386580</v>
      </c>
      <c r="O2404">
        <v>204.23</v>
      </c>
      <c r="P2404" t="str">
        <f>"$"</f>
        <v>$</v>
      </c>
      <c r="Q2404" t="str">
        <f>"117"</f>
        <v>117</v>
      </c>
      <c r="R2404" t="str">
        <f>"רתמות"</f>
        <v>רתמות</v>
      </c>
      <c r="S2404" t="str">
        <f>"040"</f>
        <v>040</v>
      </c>
      <c r="T2404" t="str">
        <f>"עמר ליגל"</f>
        <v>עמר ליגל</v>
      </c>
      <c r="U2404">
        <v>0</v>
      </c>
      <c r="V2404">
        <v>0</v>
      </c>
      <c r="W2404">
        <v>204.23</v>
      </c>
      <c r="X2404">
        <v>408.46</v>
      </c>
      <c r="Z2404" t="str">
        <f>"Y"</f>
        <v>Y</v>
      </c>
      <c r="AA2404">
        <v>0</v>
      </c>
      <c r="AC2404">
        <v>0</v>
      </c>
      <c r="AE2404">
        <v>0</v>
      </c>
      <c r="AF2404">
        <v>0</v>
      </c>
      <c r="AG2404">
        <v>732.98</v>
      </c>
      <c r="AH2404">
        <v>0</v>
      </c>
      <c r="AI2404" s="2">
        <v>1465.96</v>
      </c>
      <c r="AJ2404">
        <v>408.46</v>
      </c>
      <c r="AK2404">
        <v>408.46</v>
      </c>
      <c r="AL2404" t="str">
        <f>"$"</f>
        <v>$</v>
      </c>
    </row>
    <row r="2405" spans="1:38" x14ac:dyDescent="0.3">
      <c r="A2405" t="str">
        <f>"SO23000138"</f>
        <v>SO23000138</v>
      </c>
      <c r="B2405" t="str">
        <f>"E000386580"</f>
        <v>E000386580</v>
      </c>
      <c r="C2405" t="str">
        <f>"הרכבה חלקית"</f>
        <v>הרכבה חלקית</v>
      </c>
      <c r="E2405" s="3">
        <v>44991</v>
      </c>
      <c r="F2405" s="3">
        <v>45026</v>
      </c>
      <c r="G2405" t="str">
        <f>"700065"</f>
        <v>700065</v>
      </c>
      <c r="H2405" t="str">
        <f>"אלתא מערכות בע""מ"</f>
        <v>אלתא מערכות בע"מ</v>
      </c>
      <c r="I2405" t="str">
        <f>"רחמים זרוק"</f>
        <v>רחמים זרוק</v>
      </c>
      <c r="J2405" t="str">
        <f>"OP-AR03576"</f>
        <v>OP-AR03576</v>
      </c>
      <c r="K2405" s="1" t="str">
        <f>"1032G921-001     CABLE 2W48"</f>
        <v>1032G921-001     CABLE 2W48</v>
      </c>
      <c r="L2405">
        <v>2</v>
      </c>
      <c r="M2405" t="str">
        <f>"PR23000204"</f>
        <v>PR23000204</v>
      </c>
      <c r="N2405" t="str">
        <f>"E000386580"</f>
        <v>E000386580</v>
      </c>
      <c r="O2405">
        <v>396.63</v>
      </c>
      <c r="P2405" t="str">
        <f>"$"</f>
        <v>$</v>
      </c>
      <c r="Q2405" t="str">
        <f>"117"</f>
        <v>117</v>
      </c>
      <c r="R2405" t="str">
        <f>"רתמות"</f>
        <v>רתמות</v>
      </c>
      <c r="S2405" t="str">
        <f>"040"</f>
        <v>040</v>
      </c>
      <c r="T2405" t="str">
        <f>"עמר ליגל"</f>
        <v>עמר ליגל</v>
      </c>
      <c r="U2405">
        <v>0</v>
      </c>
      <c r="V2405">
        <v>0</v>
      </c>
      <c r="W2405">
        <v>396.63</v>
      </c>
      <c r="X2405">
        <v>793.26</v>
      </c>
      <c r="Z2405" t="str">
        <f>"Y"</f>
        <v>Y</v>
      </c>
      <c r="AA2405">
        <v>0</v>
      </c>
      <c r="AC2405">
        <v>0</v>
      </c>
      <c r="AE2405">
        <v>0</v>
      </c>
      <c r="AF2405">
        <v>0</v>
      </c>
      <c r="AG2405" s="2">
        <v>1423.51</v>
      </c>
      <c r="AH2405">
        <v>0</v>
      </c>
      <c r="AI2405" s="2">
        <v>2847.01</v>
      </c>
      <c r="AJ2405">
        <v>793.26</v>
      </c>
      <c r="AK2405">
        <v>793.26</v>
      </c>
      <c r="AL2405" t="str">
        <f>"$"</f>
        <v>$</v>
      </c>
    </row>
    <row r="2406" spans="1:38" x14ac:dyDescent="0.3">
      <c r="A2406" t="str">
        <f>"SO23000138"</f>
        <v>SO23000138</v>
      </c>
      <c r="B2406" t="str">
        <f>"E000386580"</f>
        <v>E000386580</v>
      </c>
      <c r="C2406" t="str">
        <f>"הרכבה חלקית"</f>
        <v>הרכבה חלקית</v>
      </c>
      <c r="E2406" s="3">
        <v>44991</v>
      </c>
      <c r="F2406" s="3">
        <v>45175</v>
      </c>
      <c r="G2406" t="str">
        <f>"700065"</f>
        <v>700065</v>
      </c>
      <c r="H2406" t="str">
        <f>"אלתא מערכות בע""מ"</f>
        <v>אלתא מערכות בע"מ</v>
      </c>
      <c r="I2406" t="str">
        <f>"רחמים זרוק"</f>
        <v>רחמים זרוק</v>
      </c>
      <c r="J2406" t="str">
        <f>"OP-AR03659"</f>
        <v>OP-AR03659</v>
      </c>
      <c r="K2406" s="1" t="str">
        <f>"1032G924-001     CABLE 2W25"</f>
        <v>1032G924-001     CABLE 2W25</v>
      </c>
      <c r="L2406">
        <v>2</v>
      </c>
      <c r="O2406" s="2">
        <v>7590</v>
      </c>
      <c r="P2406" t="str">
        <f>"$"</f>
        <v>$</v>
      </c>
      <c r="Q2406" t="str">
        <f>"117"</f>
        <v>117</v>
      </c>
      <c r="R2406" t="str">
        <f>"רתמות"</f>
        <v>רתמות</v>
      </c>
      <c r="S2406" t="str">
        <f>"040"</f>
        <v>040</v>
      </c>
      <c r="T2406" t="str">
        <f>"עמר ליגל"</f>
        <v>עמר ליגל</v>
      </c>
      <c r="U2406">
        <v>0</v>
      </c>
      <c r="V2406">
        <v>0</v>
      </c>
      <c r="W2406" s="2">
        <v>7590</v>
      </c>
      <c r="X2406" s="2">
        <v>15180</v>
      </c>
      <c r="Z2406" t="str">
        <f>"Y"</f>
        <v>Y</v>
      </c>
      <c r="AA2406">
        <v>0</v>
      </c>
      <c r="AC2406">
        <v>0</v>
      </c>
      <c r="AE2406">
        <v>0</v>
      </c>
      <c r="AF2406">
        <v>0</v>
      </c>
      <c r="AG2406" s="2">
        <v>27240.51</v>
      </c>
      <c r="AH2406">
        <v>0</v>
      </c>
      <c r="AI2406" s="2">
        <v>54481.02</v>
      </c>
      <c r="AJ2406" s="2">
        <v>15180</v>
      </c>
      <c r="AK2406" s="2">
        <v>15180</v>
      </c>
      <c r="AL2406" t="str">
        <f>"$"</f>
        <v>$</v>
      </c>
    </row>
    <row r="2407" spans="1:38" x14ac:dyDescent="0.3">
      <c r="A2407" t="str">
        <f>"SO23000138"</f>
        <v>SO23000138</v>
      </c>
      <c r="B2407" t="str">
        <f>"E000386580"</f>
        <v>E000386580</v>
      </c>
      <c r="C2407" t="str">
        <f>"הרכבה חלקית"</f>
        <v>הרכבה חלקית</v>
      </c>
      <c r="E2407" s="3">
        <v>44991</v>
      </c>
      <c r="F2407" s="3">
        <v>45175</v>
      </c>
      <c r="G2407" t="str">
        <f>"700065"</f>
        <v>700065</v>
      </c>
      <c r="H2407" t="str">
        <f>"אלתא מערכות בע""מ"</f>
        <v>אלתא מערכות בע"מ</v>
      </c>
      <c r="I2407" t="str">
        <f>"רחמים זרוק"</f>
        <v>רחמים זרוק</v>
      </c>
      <c r="J2407" t="str">
        <f>"OP-AR03660"</f>
        <v>OP-AR03660</v>
      </c>
      <c r="K2407" s="1" t="str">
        <f>"1032G925-001     CABLE 2W26"</f>
        <v>1032G925-001     CABLE 2W26</v>
      </c>
      <c r="L2407">
        <v>2</v>
      </c>
      <c r="O2407" s="2">
        <v>1842.64</v>
      </c>
      <c r="P2407" t="str">
        <f>"$"</f>
        <v>$</v>
      </c>
      <c r="Q2407" t="str">
        <f>"117"</f>
        <v>117</v>
      </c>
      <c r="R2407" t="str">
        <f>"רתמות"</f>
        <v>רתמות</v>
      </c>
      <c r="S2407" t="str">
        <f>"040"</f>
        <v>040</v>
      </c>
      <c r="T2407" t="str">
        <f>"עמר ליגל"</f>
        <v>עמר ליגל</v>
      </c>
      <c r="U2407">
        <v>0</v>
      </c>
      <c r="V2407">
        <v>0</v>
      </c>
      <c r="W2407" s="2">
        <v>1842.64</v>
      </c>
      <c r="X2407" s="2">
        <v>3685.28</v>
      </c>
      <c r="Z2407" t="str">
        <f>"Y"</f>
        <v>Y</v>
      </c>
      <c r="AA2407">
        <v>0</v>
      </c>
      <c r="AC2407">
        <v>0</v>
      </c>
      <c r="AE2407">
        <v>0</v>
      </c>
      <c r="AF2407">
        <v>0</v>
      </c>
      <c r="AG2407" s="2">
        <v>6613.23</v>
      </c>
      <c r="AH2407">
        <v>0</v>
      </c>
      <c r="AI2407" s="2">
        <v>13226.47</v>
      </c>
      <c r="AJ2407" s="2">
        <v>3685.28</v>
      </c>
      <c r="AK2407" s="2">
        <v>3685.28</v>
      </c>
      <c r="AL2407" t="str">
        <f>"$"</f>
        <v>$</v>
      </c>
    </row>
    <row r="2408" spans="1:38" x14ac:dyDescent="0.3">
      <c r="A2408" t="str">
        <f>"SO23000138"</f>
        <v>SO23000138</v>
      </c>
      <c r="B2408" t="str">
        <f>"E000386580"</f>
        <v>E000386580</v>
      </c>
      <c r="C2408" t="str">
        <f>"הרכבה חלקית"</f>
        <v>הרכבה חלקית</v>
      </c>
      <c r="E2408" s="3">
        <v>44991</v>
      </c>
      <c r="F2408" s="3">
        <v>44980</v>
      </c>
      <c r="G2408" t="str">
        <f>"700065"</f>
        <v>700065</v>
      </c>
      <c r="H2408" t="str">
        <f>"אלתא מערכות בע""מ"</f>
        <v>אלתא מערכות בע"מ</v>
      </c>
      <c r="I2408" t="str">
        <f>"רחמים זרוק"</f>
        <v>רחמים זרוק</v>
      </c>
      <c r="J2408" t="str">
        <f>"000"</f>
        <v>000</v>
      </c>
      <c r="K2408" s="1" t="str">
        <f>"תכן עבור 21 רתמות"</f>
        <v>תכן עבור 21 רתמות</v>
      </c>
      <c r="L2408">
        <v>1</v>
      </c>
      <c r="M2408" t="str">
        <f>"PR23000204"</f>
        <v>PR23000204</v>
      </c>
      <c r="N2408" t="str">
        <f>"E000386580"</f>
        <v>E000386580</v>
      </c>
      <c r="O2408" s="2">
        <v>7590</v>
      </c>
      <c r="P2408" t="str">
        <f>"$"</f>
        <v>$</v>
      </c>
      <c r="Q2408" t="str">
        <f>"117"</f>
        <v>117</v>
      </c>
      <c r="R2408" t="str">
        <f>"רתמות"</f>
        <v>רתמות</v>
      </c>
      <c r="S2408" t="str">
        <f>"040"</f>
        <v>040</v>
      </c>
      <c r="T2408" t="str">
        <f>"עמר ליגל"</f>
        <v>עמר ליגל</v>
      </c>
      <c r="U2408">
        <v>0</v>
      </c>
      <c r="V2408">
        <v>0</v>
      </c>
      <c r="W2408" s="2">
        <v>7590</v>
      </c>
      <c r="X2408" s="2">
        <v>7590</v>
      </c>
      <c r="AA2408">
        <v>1</v>
      </c>
      <c r="AC2408">
        <v>0</v>
      </c>
      <c r="AE2408">
        <v>0</v>
      </c>
      <c r="AF2408">
        <v>0</v>
      </c>
      <c r="AG2408" s="2">
        <v>27240.51</v>
      </c>
      <c r="AH2408">
        <v>0</v>
      </c>
      <c r="AI2408" s="2">
        <v>27240.51</v>
      </c>
      <c r="AJ2408" s="2">
        <v>7590</v>
      </c>
      <c r="AK2408" s="2">
        <v>7590</v>
      </c>
      <c r="AL2408" t="str">
        <f>"$"</f>
        <v>$</v>
      </c>
    </row>
    <row r="2409" spans="1:38" x14ac:dyDescent="0.3">
      <c r="A2409" t="str">
        <f>"SO23000138"</f>
        <v>SO23000138</v>
      </c>
      <c r="B2409" t="str">
        <f>"E000386580"</f>
        <v>E000386580</v>
      </c>
      <c r="C2409" t="str">
        <f>"הרכבה חלקית"</f>
        <v>הרכבה חלקית</v>
      </c>
      <c r="E2409" s="3">
        <v>44991</v>
      </c>
      <c r="F2409" s="3">
        <v>45175</v>
      </c>
      <c r="G2409" t="str">
        <f>"700065"</f>
        <v>700065</v>
      </c>
      <c r="H2409" t="str">
        <f>"אלתא מערכות בע""מ"</f>
        <v>אלתא מערכות בע"מ</v>
      </c>
      <c r="I2409" t="str">
        <f>"רחמים זרוק"</f>
        <v>רחמים זרוק</v>
      </c>
      <c r="J2409" t="str">
        <f>"000"</f>
        <v>000</v>
      </c>
      <c r="K2409" s="1" t="str">
        <f>"עלות תוספת לתכן עבור G924+G92"</f>
        <v>עלות תוספת לתכן עבור G924+G92</v>
      </c>
      <c r="L2409">
        <v>0</v>
      </c>
      <c r="O2409">
        <v>285</v>
      </c>
      <c r="P2409" t="str">
        <f>"$"</f>
        <v>$</v>
      </c>
      <c r="Q2409" t="str">
        <f>"117"</f>
        <v>117</v>
      </c>
      <c r="R2409" t="str">
        <f>"רתמות"</f>
        <v>רתמות</v>
      </c>
      <c r="S2409" t="str">
        <f>"040"</f>
        <v>040</v>
      </c>
      <c r="T2409" t="str">
        <f>"עמר ליגל"</f>
        <v>עמר ליגל</v>
      </c>
      <c r="U2409">
        <v>0</v>
      </c>
      <c r="V2409">
        <v>0</v>
      </c>
      <c r="W2409">
        <v>285</v>
      </c>
      <c r="X2409">
        <v>0</v>
      </c>
      <c r="AA2409">
        <v>0</v>
      </c>
      <c r="AC2409">
        <v>0</v>
      </c>
      <c r="AE2409">
        <v>0</v>
      </c>
      <c r="AF2409">
        <v>0</v>
      </c>
      <c r="AG2409" s="2">
        <v>1022.87</v>
      </c>
      <c r="AH2409">
        <v>0</v>
      </c>
      <c r="AI2409">
        <v>0</v>
      </c>
      <c r="AJ2409">
        <v>0</v>
      </c>
      <c r="AK2409">
        <v>0</v>
      </c>
      <c r="AL2409" t="str">
        <f>"$"</f>
        <v>$</v>
      </c>
    </row>
    <row r="2410" spans="1:38" x14ac:dyDescent="0.3">
      <c r="A2410" t="str">
        <f>"SO23000139"</f>
        <v>SO23000139</v>
      </c>
      <c r="B2410" t="str">
        <f>"E000388934"</f>
        <v>E000388934</v>
      </c>
      <c r="C2410" t="str">
        <f>"מאושרת לבצוע"</f>
        <v>מאושרת לבצוע</v>
      </c>
      <c r="E2410" s="3">
        <v>44993</v>
      </c>
      <c r="F2410" s="3">
        <v>45021</v>
      </c>
      <c r="G2410" t="str">
        <f>"700065"</f>
        <v>700065</v>
      </c>
      <c r="H2410" t="str">
        <f>"אלתא מערכות בע""מ"</f>
        <v>אלתא מערכות בע"מ</v>
      </c>
      <c r="I2410" t="str">
        <f>"רוני דידי"</f>
        <v>רוני דידי</v>
      </c>
      <c r="J2410" t="str">
        <f>"PD0201550"</f>
        <v>PD0201550</v>
      </c>
      <c r="K2410" s="1" t="str">
        <f>"כיסוי מגעים ארוך 3P ל-NSX100-250 מק""ט:LV429517"</f>
        <v>כיסוי מגעים ארוך 3P ל-NSX100-250 מק"ט:LV429517</v>
      </c>
      <c r="L2410">
        <v>15</v>
      </c>
      <c r="M2410" t="str">
        <f>"PR23000203"</f>
        <v>PR23000203</v>
      </c>
      <c r="N2410" t="str">
        <f>"אספקת חח ללקוח LV429517"</f>
        <v>אספקת חח ללקוח LV429517</v>
      </c>
      <c r="O2410">
        <v>26.4</v>
      </c>
      <c r="P2410" t="str">
        <f>"$"</f>
        <v>$</v>
      </c>
      <c r="Q2410" t="str">
        <f>"112"</f>
        <v>112</v>
      </c>
      <c r="R2410" t="str">
        <f>"תיקון תקלות"</f>
        <v>תיקון תקלות</v>
      </c>
      <c r="S2410" t="str">
        <f>"007"</f>
        <v>007</v>
      </c>
      <c r="T2410" t="str">
        <f>"עמר ליגל"</f>
        <v>עמר ליגל</v>
      </c>
      <c r="U2410">
        <v>0</v>
      </c>
      <c r="V2410">
        <v>0</v>
      </c>
      <c r="W2410">
        <v>26.4</v>
      </c>
      <c r="X2410">
        <v>396</v>
      </c>
      <c r="AA2410">
        <v>15</v>
      </c>
      <c r="AC2410">
        <v>0</v>
      </c>
      <c r="AE2410">
        <v>0</v>
      </c>
      <c r="AF2410">
        <v>0</v>
      </c>
      <c r="AG2410">
        <v>94.75</v>
      </c>
      <c r="AH2410">
        <v>0</v>
      </c>
      <c r="AI2410" s="2">
        <v>1421.24</v>
      </c>
      <c r="AJ2410">
        <v>396</v>
      </c>
      <c r="AK2410">
        <v>396</v>
      </c>
      <c r="AL2410" t="str">
        <f>"$"</f>
        <v>$</v>
      </c>
    </row>
    <row r="2411" spans="1:38" x14ac:dyDescent="0.3">
      <c r="A2411" t="str">
        <f>"SO23000139"</f>
        <v>SO23000139</v>
      </c>
      <c r="B2411" t="str">
        <f>"E000388934"</f>
        <v>E000388934</v>
      </c>
      <c r="C2411" t="str">
        <f>"מאושרת לבצוע"</f>
        <v>מאושרת לבצוע</v>
      </c>
      <c r="E2411" s="3">
        <v>44993</v>
      </c>
      <c r="F2411" s="3">
        <v>45021</v>
      </c>
      <c r="G2411" t="str">
        <f>"700065"</f>
        <v>700065</v>
      </c>
      <c r="H2411" t="str">
        <f>"אלתא מערכות בע""מ"</f>
        <v>אלתא מערכות בע"מ</v>
      </c>
      <c r="I2411" t="str">
        <f>"רוני דידי"</f>
        <v>רוני דידי</v>
      </c>
      <c r="J2411" t="str">
        <f>"PD0201550"</f>
        <v>PD0201550</v>
      </c>
      <c r="K2411" s="1" t="str">
        <f>"כיסוי מגעים ארוך 3P ל-NSX100-250 מק""ט:LV429517"</f>
        <v>כיסוי מגעים ארוך 3P ל-NSX100-250 מק"ט:LV429517</v>
      </c>
      <c r="L2411">
        <v>23</v>
      </c>
      <c r="M2411" t="str">
        <f>"PR23000203"</f>
        <v>PR23000203</v>
      </c>
      <c r="N2411" t="str">
        <f>"אספקת חח ללקוח LV429517"</f>
        <v>אספקת חח ללקוח LV429517</v>
      </c>
      <c r="O2411">
        <v>26.4</v>
      </c>
      <c r="P2411" t="str">
        <f>"$"</f>
        <v>$</v>
      </c>
      <c r="Q2411" t="str">
        <f>"112"</f>
        <v>112</v>
      </c>
      <c r="R2411" t="str">
        <f>"תיקון תקלות"</f>
        <v>תיקון תקלות</v>
      </c>
      <c r="S2411" t="str">
        <f>"007"</f>
        <v>007</v>
      </c>
      <c r="T2411" t="str">
        <f>"עמר ליגל"</f>
        <v>עמר ליגל</v>
      </c>
      <c r="U2411">
        <v>0</v>
      </c>
      <c r="V2411">
        <v>0</v>
      </c>
      <c r="W2411">
        <v>26.4</v>
      </c>
      <c r="X2411">
        <v>607.20000000000005</v>
      </c>
      <c r="AA2411">
        <v>23</v>
      </c>
      <c r="AC2411">
        <v>0</v>
      </c>
      <c r="AE2411">
        <v>0</v>
      </c>
      <c r="AF2411">
        <v>0</v>
      </c>
      <c r="AG2411">
        <v>94.75</v>
      </c>
      <c r="AH2411">
        <v>0</v>
      </c>
      <c r="AI2411" s="2">
        <v>2179.2399999999998</v>
      </c>
      <c r="AJ2411">
        <v>607.20000000000005</v>
      </c>
      <c r="AK2411">
        <v>607.20000000000005</v>
      </c>
      <c r="AL2411" t="str">
        <f>"$"</f>
        <v>$</v>
      </c>
    </row>
    <row r="2412" spans="1:38" x14ac:dyDescent="0.3">
      <c r="A2412" t="str">
        <f>"SO23000142"</f>
        <v>SO23000142</v>
      </c>
      <c r="B2412" t="str">
        <f>"E000389230"</f>
        <v>E000389230</v>
      </c>
      <c r="C2412" t="str">
        <f>"בוצעה"</f>
        <v>בוצעה</v>
      </c>
      <c r="E2412" s="3">
        <v>44993</v>
      </c>
      <c r="F2412" s="3">
        <v>45012</v>
      </c>
      <c r="G2412" t="str">
        <f>"700065"</f>
        <v>700065</v>
      </c>
      <c r="H2412" t="str">
        <f>"אלתא מערכות בע""מ"</f>
        <v>אלתא מערכות בע"מ</v>
      </c>
      <c r="I2412" t="str">
        <f>"רוני דידי"</f>
        <v>רוני דידי</v>
      </c>
      <c r="J2412" t="str">
        <f>"OP-AR03588"</f>
        <v>OP-AR03588</v>
      </c>
      <c r="K2412" s="1" t="str">
        <f>"תיקון 1026L310"</f>
        <v>תיקון 1026L310</v>
      </c>
      <c r="L2412">
        <v>1</v>
      </c>
      <c r="M2412" t="str">
        <f>"PR23000205"</f>
        <v>PR23000205</v>
      </c>
      <c r="N2412" t="str">
        <f>"לוח 1026L310-002 LB-PDB"</f>
        <v>לוח 1026L310-002 LB-PDB</v>
      </c>
      <c r="O2412" s="2">
        <v>2450</v>
      </c>
      <c r="P2412" t="str">
        <f>"$"</f>
        <v>$</v>
      </c>
      <c r="Q2412" t="str">
        <f>"118"</f>
        <v>118</v>
      </c>
      <c r="R2412" t="str">
        <f>"מערכות"</f>
        <v>מערכות</v>
      </c>
      <c r="S2412" t="str">
        <f>"007"</f>
        <v>007</v>
      </c>
      <c r="T2412" t="str">
        <f>"עמר ליגל"</f>
        <v>עמר ליגל</v>
      </c>
      <c r="U2412">
        <v>0</v>
      </c>
      <c r="V2412">
        <v>0</v>
      </c>
      <c r="W2412" s="2">
        <v>2450</v>
      </c>
      <c r="X2412" s="2">
        <v>2450</v>
      </c>
      <c r="Z2412" t="str">
        <f>"Y"</f>
        <v>Y</v>
      </c>
      <c r="AA2412">
        <v>0</v>
      </c>
      <c r="AC2412">
        <v>0</v>
      </c>
      <c r="AE2412">
        <v>0</v>
      </c>
      <c r="AF2412">
        <v>0</v>
      </c>
      <c r="AG2412" s="2">
        <v>8793.0499999999993</v>
      </c>
      <c r="AH2412">
        <v>0</v>
      </c>
      <c r="AI2412" s="2">
        <v>8793.0499999999993</v>
      </c>
      <c r="AJ2412" s="2">
        <v>2450</v>
      </c>
      <c r="AK2412" s="2">
        <v>2450</v>
      </c>
      <c r="AL2412" t="str">
        <f>"$"</f>
        <v>$</v>
      </c>
    </row>
    <row r="2413" spans="1:38" x14ac:dyDescent="0.3">
      <c r="A2413" t="str">
        <f>"SO23000143"</f>
        <v>SO23000143</v>
      </c>
      <c r="B2413" t="str">
        <f>"E000380511"</f>
        <v>E000380511</v>
      </c>
      <c r="C2413" t="str">
        <f>"מאושרת לבצוע"</f>
        <v>מאושרת לבצוע</v>
      </c>
      <c r="E2413" s="3">
        <v>44994</v>
      </c>
      <c r="F2413" s="3">
        <v>45533</v>
      </c>
      <c r="G2413" t="str">
        <f>"700065"</f>
        <v>700065</v>
      </c>
      <c r="H2413" t="str">
        <f>"אלתא מערכות בע""מ"</f>
        <v>אלתא מערכות בע"מ</v>
      </c>
      <c r="I2413" t="str">
        <f>"רוני דידי"</f>
        <v>רוני דידי</v>
      </c>
      <c r="J2413" t="str">
        <f>"OP-ML00217"</f>
        <v>OP-ML00217</v>
      </c>
      <c r="K2413" s="1" t="str">
        <f>"1042A920-001 COMPUTER RACK"</f>
        <v>1042A920-001 COMPUTER RACK</v>
      </c>
      <c r="L2413">
        <v>1</v>
      </c>
      <c r="M2413" t="str">
        <f>"PR23000041"</f>
        <v>PR23000041</v>
      </c>
      <c r="N2413" t="str">
        <f>"1042A921-001 COMPUTER RACK שורד"</f>
        <v>1042A921-001 COMPUTER RACK שורד</v>
      </c>
      <c r="O2413" s="2">
        <v>38550</v>
      </c>
      <c r="P2413" t="str">
        <f>"$"</f>
        <v>$</v>
      </c>
      <c r="Q2413" t="str">
        <f>"118"</f>
        <v>118</v>
      </c>
      <c r="R2413" t="str">
        <f>"מערכות"</f>
        <v>מערכות</v>
      </c>
      <c r="S2413" t="str">
        <f>"007"</f>
        <v>007</v>
      </c>
      <c r="T2413" t="str">
        <f>"עמר ליגל"</f>
        <v>עמר ליגל</v>
      </c>
      <c r="U2413">
        <v>0</v>
      </c>
      <c r="V2413">
        <v>0</v>
      </c>
      <c r="W2413" s="2">
        <v>38550</v>
      </c>
      <c r="X2413" s="2">
        <v>38550</v>
      </c>
      <c r="AA2413">
        <v>1</v>
      </c>
      <c r="AC2413">
        <v>0</v>
      </c>
      <c r="AE2413">
        <v>0</v>
      </c>
      <c r="AF2413">
        <v>0</v>
      </c>
      <c r="AG2413" s="2">
        <v>138702.9</v>
      </c>
      <c r="AH2413">
        <v>0</v>
      </c>
      <c r="AI2413" s="2">
        <v>138702.9</v>
      </c>
      <c r="AJ2413" s="2">
        <v>38550</v>
      </c>
      <c r="AK2413" s="2">
        <v>38550</v>
      </c>
      <c r="AL2413" t="str">
        <f>"$"</f>
        <v>$</v>
      </c>
    </row>
    <row r="2414" spans="1:38" x14ac:dyDescent="0.3">
      <c r="A2414" t="str">
        <f>"SO23000143"</f>
        <v>SO23000143</v>
      </c>
      <c r="B2414" t="str">
        <f>"E000380511"</f>
        <v>E000380511</v>
      </c>
      <c r="C2414" t="str">
        <f>"מאושרת לבצוע"</f>
        <v>מאושרת לבצוע</v>
      </c>
      <c r="E2414" s="3">
        <v>44994</v>
      </c>
      <c r="F2414" s="3">
        <v>45565</v>
      </c>
      <c r="G2414" t="str">
        <f>"700065"</f>
        <v>700065</v>
      </c>
      <c r="H2414" t="str">
        <f>"אלתא מערכות בע""מ"</f>
        <v>אלתא מערכות בע"מ</v>
      </c>
      <c r="I2414" t="str">
        <f>"רוני דידי"</f>
        <v>רוני דידי</v>
      </c>
      <c r="J2414" t="str">
        <f>"OP-ML00217"</f>
        <v>OP-ML00217</v>
      </c>
      <c r="K2414" s="1" t="str">
        <f>"1042A920-001 COMPUTER RACK"</f>
        <v>1042A920-001 COMPUTER RACK</v>
      </c>
      <c r="L2414">
        <v>1</v>
      </c>
      <c r="M2414" t="str">
        <f>"PR23000041"</f>
        <v>PR23000041</v>
      </c>
      <c r="N2414" t="str">
        <f>"1042A921-001 COMPUTER RACK שורד"</f>
        <v>1042A921-001 COMPUTER RACK שורד</v>
      </c>
      <c r="O2414" s="2">
        <v>38550</v>
      </c>
      <c r="P2414" t="str">
        <f>"$"</f>
        <v>$</v>
      </c>
      <c r="Q2414" t="str">
        <f>"118"</f>
        <v>118</v>
      </c>
      <c r="R2414" t="str">
        <f>"מערכות"</f>
        <v>מערכות</v>
      </c>
      <c r="S2414" t="str">
        <f>"007"</f>
        <v>007</v>
      </c>
      <c r="T2414" t="str">
        <f>"עמר ליגל"</f>
        <v>עמר ליגל</v>
      </c>
      <c r="U2414">
        <v>0</v>
      </c>
      <c r="V2414">
        <v>0</v>
      </c>
      <c r="W2414" s="2">
        <v>38550</v>
      </c>
      <c r="X2414" s="2">
        <v>38550</v>
      </c>
      <c r="AA2414">
        <v>1</v>
      </c>
      <c r="AC2414">
        <v>0</v>
      </c>
      <c r="AE2414">
        <v>0</v>
      </c>
      <c r="AF2414">
        <v>0</v>
      </c>
      <c r="AG2414" s="2">
        <v>138702.9</v>
      </c>
      <c r="AH2414">
        <v>0</v>
      </c>
      <c r="AI2414" s="2">
        <v>138702.9</v>
      </c>
      <c r="AJ2414" s="2">
        <v>38550</v>
      </c>
      <c r="AK2414" s="2">
        <v>38550</v>
      </c>
      <c r="AL2414" t="str">
        <f>"$"</f>
        <v>$</v>
      </c>
    </row>
    <row r="2415" spans="1:38" x14ac:dyDescent="0.3">
      <c r="A2415" t="str">
        <f>"SO23000143"</f>
        <v>SO23000143</v>
      </c>
      <c r="B2415" t="str">
        <f>"E000380511"</f>
        <v>E000380511</v>
      </c>
      <c r="C2415" t="str">
        <f>"מאושרת לבצוע"</f>
        <v>מאושרת לבצוע</v>
      </c>
      <c r="E2415" s="3">
        <v>44994</v>
      </c>
      <c r="F2415" s="3">
        <v>45321</v>
      </c>
      <c r="G2415" t="str">
        <f>"700065"</f>
        <v>700065</v>
      </c>
      <c r="H2415" t="str">
        <f>"אלתא מערכות בע""מ"</f>
        <v>אלתא מערכות בע"מ</v>
      </c>
      <c r="I2415" t="str">
        <f>"רוני דידי"</f>
        <v>רוני דידי</v>
      </c>
      <c r="J2415" t="str">
        <f>"OP-ML00217"</f>
        <v>OP-ML00217</v>
      </c>
      <c r="K2415" s="1" t="str">
        <f>"1042A920-001 COMPUTER RACK"</f>
        <v>1042A920-001 COMPUTER RACK</v>
      </c>
      <c r="L2415">
        <v>1</v>
      </c>
      <c r="M2415" t="str">
        <f>"PR23000041"</f>
        <v>PR23000041</v>
      </c>
      <c r="N2415" t="str">
        <f>"1042A921-001 COMPUTER RACK שורד"</f>
        <v>1042A921-001 COMPUTER RACK שורד</v>
      </c>
      <c r="O2415" s="2">
        <v>38550</v>
      </c>
      <c r="P2415" t="str">
        <f>"$"</f>
        <v>$</v>
      </c>
      <c r="Q2415" t="str">
        <f>"118"</f>
        <v>118</v>
      </c>
      <c r="R2415" t="str">
        <f>"מערכות"</f>
        <v>מערכות</v>
      </c>
      <c r="S2415" t="str">
        <f>"007"</f>
        <v>007</v>
      </c>
      <c r="T2415" t="str">
        <f>"עמר ליגל"</f>
        <v>עמר ליגל</v>
      </c>
      <c r="U2415">
        <v>0</v>
      </c>
      <c r="V2415">
        <v>0</v>
      </c>
      <c r="W2415" s="2">
        <v>38550</v>
      </c>
      <c r="X2415" s="2">
        <v>38550</v>
      </c>
      <c r="AA2415">
        <v>1</v>
      </c>
      <c r="AC2415">
        <v>0</v>
      </c>
      <c r="AE2415">
        <v>0</v>
      </c>
      <c r="AF2415">
        <v>0</v>
      </c>
      <c r="AG2415" s="2">
        <v>138702.9</v>
      </c>
      <c r="AH2415">
        <v>0</v>
      </c>
      <c r="AI2415" s="2">
        <v>138702.9</v>
      </c>
      <c r="AJ2415" s="2">
        <v>38550</v>
      </c>
      <c r="AK2415" s="2">
        <v>38550</v>
      </c>
      <c r="AL2415" t="str">
        <f>"$"</f>
        <v>$</v>
      </c>
    </row>
    <row r="2416" spans="1:38" x14ac:dyDescent="0.3">
      <c r="A2416" t="str">
        <f>"SO23000143"</f>
        <v>SO23000143</v>
      </c>
      <c r="B2416" t="str">
        <f>"E000380511"</f>
        <v>E000380511</v>
      </c>
      <c r="C2416" t="str">
        <f>"מאושרת לבצוע"</f>
        <v>מאושרת לבצוע</v>
      </c>
      <c r="E2416" s="3">
        <v>44994</v>
      </c>
      <c r="F2416" s="3">
        <v>45046</v>
      </c>
      <c r="G2416" t="str">
        <f>"700065"</f>
        <v>700065</v>
      </c>
      <c r="H2416" t="str">
        <f>"אלתא מערכות בע""מ"</f>
        <v>אלתא מערכות בע"מ</v>
      </c>
      <c r="I2416" t="str">
        <f>"רוני דידי"</f>
        <v>רוני דידי</v>
      </c>
      <c r="J2416" t="str">
        <f>"OP-ML00217"</f>
        <v>OP-ML00217</v>
      </c>
      <c r="K2416" s="1" t="str">
        <f>"1042A920-001 COMPUTER RACK"</f>
        <v>1042A920-001 COMPUTER RACK</v>
      </c>
      <c r="L2416">
        <v>1</v>
      </c>
      <c r="M2416" t="str">
        <f>"PR23000041"</f>
        <v>PR23000041</v>
      </c>
      <c r="N2416" t="str">
        <f>"1042A921-001 COMPUTER RACK שורד"</f>
        <v>1042A921-001 COMPUTER RACK שורד</v>
      </c>
      <c r="O2416" s="2">
        <v>38550</v>
      </c>
      <c r="P2416" t="str">
        <f>"$"</f>
        <v>$</v>
      </c>
      <c r="Q2416" t="str">
        <f>"118"</f>
        <v>118</v>
      </c>
      <c r="R2416" t="str">
        <f>"מערכות"</f>
        <v>מערכות</v>
      </c>
      <c r="S2416" t="str">
        <f>"007"</f>
        <v>007</v>
      </c>
      <c r="T2416" t="str">
        <f>"עמר ליגל"</f>
        <v>עמר ליגל</v>
      </c>
      <c r="U2416">
        <v>0</v>
      </c>
      <c r="V2416">
        <v>0</v>
      </c>
      <c r="W2416" s="2">
        <v>38550</v>
      </c>
      <c r="X2416" s="2">
        <v>38550</v>
      </c>
      <c r="AA2416">
        <v>1</v>
      </c>
      <c r="AC2416">
        <v>0</v>
      </c>
      <c r="AE2416">
        <v>0</v>
      </c>
      <c r="AF2416">
        <v>0</v>
      </c>
      <c r="AG2416" s="2">
        <v>138702.9</v>
      </c>
      <c r="AH2416">
        <v>0</v>
      </c>
      <c r="AI2416" s="2">
        <v>138702.9</v>
      </c>
      <c r="AJ2416" s="2">
        <v>38550</v>
      </c>
      <c r="AK2416" s="2">
        <v>38550</v>
      </c>
      <c r="AL2416" t="str">
        <f>"$"</f>
        <v>$</v>
      </c>
    </row>
    <row r="2417" spans="1:38" x14ac:dyDescent="0.3">
      <c r="A2417" t="str">
        <f>"SO23000143"</f>
        <v>SO23000143</v>
      </c>
      <c r="B2417" t="str">
        <f>"E000380511"</f>
        <v>E000380511</v>
      </c>
      <c r="C2417" t="str">
        <f>"מאושרת לבצוע"</f>
        <v>מאושרת לבצוע</v>
      </c>
      <c r="E2417" s="3">
        <v>44994</v>
      </c>
      <c r="F2417" s="3">
        <v>45321</v>
      </c>
      <c r="G2417" t="str">
        <f>"700065"</f>
        <v>700065</v>
      </c>
      <c r="H2417" t="str">
        <f>"אלתא מערכות בע""מ"</f>
        <v>אלתא מערכות בע"מ</v>
      </c>
      <c r="I2417" t="str">
        <f>"רוני דידי"</f>
        <v>רוני דידי</v>
      </c>
      <c r="J2417" t="str">
        <f>"OP-ML00190"</f>
        <v>OP-ML00190</v>
      </c>
      <c r="K2417" s="1" t="str">
        <f>"RPU RECTIFIER RACK"</f>
        <v>RPU RECTIFIER RACK</v>
      </c>
      <c r="L2417">
        <v>1</v>
      </c>
      <c r="M2417" t="str">
        <f>"PR22000405"</f>
        <v>PR22000405</v>
      </c>
      <c r="N2417" t="str">
        <f>"RECTIFIER RACK שורד"</f>
        <v>RECTIFIER RACK שורד</v>
      </c>
      <c r="O2417" s="2">
        <v>44620</v>
      </c>
      <c r="P2417" t="str">
        <f>"$"</f>
        <v>$</v>
      </c>
      <c r="Q2417" t="str">
        <f>"118"</f>
        <v>118</v>
      </c>
      <c r="R2417" t="str">
        <f>"מערכות"</f>
        <v>מערכות</v>
      </c>
      <c r="S2417" t="str">
        <f>"007"</f>
        <v>007</v>
      </c>
      <c r="T2417" t="str">
        <f>"עמר ליגל"</f>
        <v>עמר ליגל</v>
      </c>
      <c r="U2417">
        <v>0</v>
      </c>
      <c r="V2417">
        <v>0</v>
      </c>
      <c r="W2417" s="2">
        <v>44620</v>
      </c>
      <c r="X2417" s="2">
        <v>44620</v>
      </c>
      <c r="AA2417">
        <v>1</v>
      </c>
      <c r="AC2417">
        <v>0</v>
      </c>
      <c r="AE2417">
        <v>0</v>
      </c>
      <c r="AF2417">
        <v>0</v>
      </c>
      <c r="AG2417" s="2">
        <v>160542.76</v>
      </c>
      <c r="AH2417">
        <v>0</v>
      </c>
      <c r="AI2417" s="2">
        <v>160542.76</v>
      </c>
      <c r="AJ2417" s="2">
        <v>44620</v>
      </c>
      <c r="AK2417" s="2">
        <v>44620</v>
      </c>
      <c r="AL2417" t="str">
        <f>"$"</f>
        <v>$</v>
      </c>
    </row>
    <row r="2418" spans="1:38" x14ac:dyDescent="0.3">
      <c r="A2418" t="str">
        <f>"SO23000143"</f>
        <v>SO23000143</v>
      </c>
      <c r="B2418" t="str">
        <f>"E000380511"</f>
        <v>E000380511</v>
      </c>
      <c r="C2418" t="str">
        <f>"מאושרת לבצוע"</f>
        <v>מאושרת לבצוע</v>
      </c>
      <c r="E2418" s="3">
        <v>44994</v>
      </c>
      <c r="F2418" s="3">
        <v>45533</v>
      </c>
      <c r="G2418" t="str">
        <f>"700065"</f>
        <v>700065</v>
      </c>
      <c r="H2418" t="str">
        <f>"אלתא מערכות בע""מ"</f>
        <v>אלתא מערכות בע"מ</v>
      </c>
      <c r="I2418" t="str">
        <f>"רוני דידי"</f>
        <v>רוני דידי</v>
      </c>
      <c r="J2418" t="str">
        <f>"OP-ML00190"</f>
        <v>OP-ML00190</v>
      </c>
      <c r="K2418" s="1" t="str">
        <f>"RPU RECTIFIER RACK"</f>
        <v>RPU RECTIFIER RACK</v>
      </c>
      <c r="L2418">
        <v>1</v>
      </c>
      <c r="M2418" t="str">
        <f>"PR22000405"</f>
        <v>PR22000405</v>
      </c>
      <c r="N2418" t="str">
        <f>"RECTIFIER RACK שורד"</f>
        <v>RECTIFIER RACK שורד</v>
      </c>
      <c r="O2418" s="2">
        <v>44620</v>
      </c>
      <c r="P2418" t="str">
        <f>"$"</f>
        <v>$</v>
      </c>
      <c r="Q2418" t="str">
        <f>"118"</f>
        <v>118</v>
      </c>
      <c r="R2418" t="str">
        <f>"מערכות"</f>
        <v>מערכות</v>
      </c>
      <c r="S2418" t="str">
        <f>"007"</f>
        <v>007</v>
      </c>
      <c r="T2418" t="str">
        <f>"עמר ליגל"</f>
        <v>עמר ליגל</v>
      </c>
      <c r="U2418">
        <v>0</v>
      </c>
      <c r="V2418">
        <v>0</v>
      </c>
      <c r="W2418" s="2">
        <v>44620</v>
      </c>
      <c r="X2418" s="2">
        <v>44620</v>
      </c>
      <c r="AA2418">
        <v>1</v>
      </c>
      <c r="AC2418">
        <v>0</v>
      </c>
      <c r="AE2418">
        <v>0</v>
      </c>
      <c r="AF2418">
        <v>0</v>
      </c>
      <c r="AG2418" s="2">
        <v>160542.76</v>
      </c>
      <c r="AH2418">
        <v>0</v>
      </c>
      <c r="AI2418" s="2">
        <v>160542.76</v>
      </c>
      <c r="AJ2418" s="2">
        <v>44620</v>
      </c>
      <c r="AK2418" s="2">
        <v>44620</v>
      </c>
      <c r="AL2418" t="str">
        <f>"$"</f>
        <v>$</v>
      </c>
    </row>
    <row r="2419" spans="1:38" x14ac:dyDescent="0.3">
      <c r="A2419" t="str">
        <f>"SO23000143"</f>
        <v>SO23000143</v>
      </c>
      <c r="B2419" t="str">
        <f>"E000380511"</f>
        <v>E000380511</v>
      </c>
      <c r="C2419" t="str">
        <f>"מאושרת לבצוע"</f>
        <v>מאושרת לבצוע</v>
      </c>
      <c r="E2419" s="3">
        <v>44994</v>
      </c>
      <c r="F2419" s="3">
        <v>45565</v>
      </c>
      <c r="G2419" t="str">
        <f>"700065"</f>
        <v>700065</v>
      </c>
      <c r="H2419" t="str">
        <f>"אלתא מערכות בע""מ"</f>
        <v>אלתא מערכות בע"מ</v>
      </c>
      <c r="I2419" t="str">
        <f>"רוני דידי"</f>
        <v>רוני דידי</v>
      </c>
      <c r="J2419" t="str">
        <f>"OP-ML00190"</f>
        <v>OP-ML00190</v>
      </c>
      <c r="K2419" s="1" t="str">
        <f>"RPU RECTIFIER RACK"</f>
        <v>RPU RECTIFIER RACK</v>
      </c>
      <c r="L2419">
        <v>1</v>
      </c>
      <c r="M2419" t="str">
        <f>"PR22000405"</f>
        <v>PR22000405</v>
      </c>
      <c r="N2419" t="str">
        <f>"RECTIFIER RACK שורד"</f>
        <v>RECTIFIER RACK שורד</v>
      </c>
      <c r="O2419" s="2">
        <v>44620</v>
      </c>
      <c r="P2419" t="str">
        <f>"$"</f>
        <v>$</v>
      </c>
      <c r="Q2419" t="str">
        <f>"118"</f>
        <v>118</v>
      </c>
      <c r="R2419" t="str">
        <f>"מערכות"</f>
        <v>מערכות</v>
      </c>
      <c r="S2419" t="str">
        <f>"007"</f>
        <v>007</v>
      </c>
      <c r="T2419" t="str">
        <f>"עמר ליגל"</f>
        <v>עמר ליגל</v>
      </c>
      <c r="U2419">
        <v>0</v>
      </c>
      <c r="V2419">
        <v>0</v>
      </c>
      <c r="W2419" s="2">
        <v>44620</v>
      </c>
      <c r="X2419" s="2">
        <v>44620</v>
      </c>
      <c r="AA2419">
        <v>1</v>
      </c>
      <c r="AC2419">
        <v>0</v>
      </c>
      <c r="AE2419">
        <v>0</v>
      </c>
      <c r="AF2419">
        <v>0</v>
      </c>
      <c r="AG2419" s="2">
        <v>160542.76</v>
      </c>
      <c r="AH2419">
        <v>0</v>
      </c>
      <c r="AI2419" s="2">
        <v>160542.76</v>
      </c>
      <c r="AJ2419" s="2">
        <v>44620</v>
      </c>
      <c r="AK2419" s="2">
        <v>44620</v>
      </c>
      <c r="AL2419" t="str">
        <f>"$"</f>
        <v>$</v>
      </c>
    </row>
    <row r="2420" spans="1:38" x14ac:dyDescent="0.3">
      <c r="A2420" t="str">
        <f>"SO23000143"</f>
        <v>SO23000143</v>
      </c>
      <c r="B2420" t="str">
        <f>"E000380511"</f>
        <v>E000380511</v>
      </c>
      <c r="C2420" t="str">
        <f>"מאושרת לבצוע"</f>
        <v>מאושרת לבצוע</v>
      </c>
      <c r="E2420" s="3">
        <v>44994</v>
      </c>
      <c r="F2420" s="3">
        <v>45046</v>
      </c>
      <c r="G2420" t="str">
        <f>"700065"</f>
        <v>700065</v>
      </c>
      <c r="H2420" t="str">
        <f>"אלתא מערכות בע""מ"</f>
        <v>אלתא מערכות בע"מ</v>
      </c>
      <c r="I2420" t="str">
        <f>"רוני דידי"</f>
        <v>רוני דידי</v>
      </c>
      <c r="J2420" t="str">
        <f>"OP-ML00190"</f>
        <v>OP-ML00190</v>
      </c>
      <c r="K2420" s="1" t="str">
        <f>"RPU RECTIFIER RACK"</f>
        <v>RPU RECTIFIER RACK</v>
      </c>
      <c r="L2420">
        <v>1</v>
      </c>
      <c r="M2420" t="str">
        <f>"PR22000405"</f>
        <v>PR22000405</v>
      </c>
      <c r="N2420" t="str">
        <f>"RECTIFIER RACK שורד"</f>
        <v>RECTIFIER RACK שורד</v>
      </c>
      <c r="O2420" s="2">
        <v>44620</v>
      </c>
      <c r="P2420" t="str">
        <f>"$"</f>
        <v>$</v>
      </c>
      <c r="Q2420" t="str">
        <f>"118"</f>
        <v>118</v>
      </c>
      <c r="R2420" t="str">
        <f>"מערכות"</f>
        <v>מערכות</v>
      </c>
      <c r="S2420" t="str">
        <f>"007"</f>
        <v>007</v>
      </c>
      <c r="T2420" t="str">
        <f>"עמר ליגל"</f>
        <v>עמר ליגל</v>
      </c>
      <c r="U2420">
        <v>0</v>
      </c>
      <c r="V2420">
        <v>0</v>
      </c>
      <c r="W2420" s="2">
        <v>44620</v>
      </c>
      <c r="X2420" s="2">
        <v>44620</v>
      </c>
      <c r="AA2420">
        <v>1</v>
      </c>
      <c r="AC2420">
        <v>0</v>
      </c>
      <c r="AE2420">
        <v>0</v>
      </c>
      <c r="AF2420">
        <v>0</v>
      </c>
      <c r="AG2420" s="2">
        <v>160542.76</v>
      </c>
      <c r="AH2420">
        <v>0</v>
      </c>
      <c r="AI2420" s="2">
        <v>160542.76</v>
      </c>
      <c r="AJ2420" s="2">
        <v>44620</v>
      </c>
      <c r="AK2420" s="2">
        <v>44620</v>
      </c>
      <c r="AL2420" t="str">
        <f>"$"</f>
        <v>$</v>
      </c>
    </row>
    <row r="2421" spans="1:38" x14ac:dyDescent="0.3">
      <c r="A2421" t="str">
        <f>"SO23000149"</f>
        <v>SO23000149</v>
      </c>
      <c r="B2421" t="str">
        <f>"E000389164"</f>
        <v>E000389164</v>
      </c>
      <c r="C2421" t="str">
        <f>"מאושרת לבצוע"</f>
        <v>מאושרת לבצוע</v>
      </c>
      <c r="E2421" s="3">
        <v>44998</v>
      </c>
      <c r="F2421" s="3">
        <v>44999</v>
      </c>
      <c r="G2421" t="str">
        <f>"700065"</f>
        <v>700065</v>
      </c>
      <c r="H2421" t="str">
        <f>"אלתא מערכות בע""מ"</f>
        <v>אלתא מערכות בע"מ</v>
      </c>
      <c r="I2421" t="str">
        <f>"רוני דידי"</f>
        <v>רוני דידי</v>
      </c>
      <c r="J2421" t="str">
        <f>"000"</f>
        <v>000</v>
      </c>
      <c r="K2421" s="1" t="str">
        <f>"וספת עבור מארז מיישרים    11X4,500 +  9,900"</f>
        <v>וספת עבור מארז מיישרים    11X4,500 +  9,900</v>
      </c>
      <c r="L2421">
        <v>1</v>
      </c>
      <c r="O2421" s="2">
        <v>59400</v>
      </c>
      <c r="P2421" t="str">
        <f>"$"</f>
        <v>$</v>
      </c>
      <c r="Q2421" t="str">
        <f>"112"</f>
        <v>112</v>
      </c>
      <c r="R2421" t="str">
        <f>"תיקון תקלות"</f>
        <v>תיקון תקלות</v>
      </c>
      <c r="S2421" t="str">
        <f>"007"</f>
        <v>007</v>
      </c>
      <c r="T2421" t="str">
        <f>"גנם הודיה"</f>
        <v>גנם הודיה</v>
      </c>
      <c r="U2421">
        <v>0</v>
      </c>
      <c r="V2421">
        <v>0</v>
      </c>
      <c r="W2421" s="2">
        <v>59400</v>
      </c>
      <c r="X2421" s="2">
        <v>59400</v>
      </c>
      <c r="AA2421">
        <v>1</v>
      </c>
      <c r="AC2421">
        <v>0</v>
      </c>
      <c r="AE2421">
        <v>0</v>
      </c>
      <c r="AF2421">
        <v>0</v>
      </c>
      <c r="AG2421" s="2">
        <v>215384.4</v>
      </c>
      <c r="AH2421">
        <v>0</v>
      </c>
      <c r="AI2421" s="2">
        <v>215384.4</v>
      </c>
      <c r="AJ2421" s="2">
        <v>59400</v>
      </c>
      <c r="AK2421" s="2">
        <v>59400</v>
      </c>
      <c r="AL2421" t="str">
        <f>"$"</f>
        <v>$</v>
      </c>
    </row>
    <row r="2422" spans="1:38" x14ac:dyDescent="0.3">
      <c r="A2422" t="str">
        <f>"SO23000150"</f>
        <v>SO23000150</v>
      </c>
      <c r="B2422" t="str">
        <f>"E000389305"</f>
        <v>E000389305</v>
      </c>
      <c r="C2422" t="str">
        <f>"מאושרת לבצוע"</f>
        <v>מאושרת לבצוע</v>
      </c>
      <c r="E2422" s="3">
        <v>44998</v>
      </c>
      <c r="F2422" s="3">
        <v>45018</v>
      </c>
      <c r="G2422" t="str">
        <f>"700065"</f>
        <v>700065</v>
      </c>
      <c r="H2422" t="str">
        <f>"אלתא מערכות בע""מ"</f>
        <v>אלתא מערכות בע"מ</v>
      </c>
      <c r="I2422" t="str">
        <f>"רוני דידי"</f>
        <v>רוני דידי</v>
      </c>
      <c r="J2422" t="str">
        <f>"OP-AR03589"</f>
        <v>OP-AR03589</v>
      </c>
      <c r="K2422" s="1" t="str">
        <f>"PDB-2 (SH) SOCD 1023R332-002"</f>
        <v>PDB-2 (SH) SOCD 1023R332-002</v>
      </c>
      <c r="L2422">
        <v>1</v>
      </c>
      <c r="M2422" t="str">
        <f>"PR23000258"</f>
        <v>PR23000258</v>
      </c>
      <c r="N2422" t="str">
        <f>"PDB-2 (SH) SOCD 1023R332-002"</f>
        <v>PDB-2 (SH) SOCD 1023R332-002</v>
      </c>
      <c r="O2422" s="2">
        <v>32400</v>
      </c>
      <c r="P2422" t="str">
        <f>"$"</f>
        <v>$</v>
      </c>
      <c r="Q2422" t="str">
        <f>"118"</f>
        <v>118</v>
      </c>
      <c r="R2422" t="str">
        <f>"מערכות"</f>
        <v>מערכות</v>
      </c>
      <c r="S2422" t="str">
        <f>"007"</f>
        <v>007</v>
      </c>
      <c r="T2422" t="str">
        <f>"גנם הודיה"</f>
        <v>גנם הודיה</v>
      </c>
      <c r="U2422">
        <v>0</v>
      </c>
      <c r="V2422">
        <v>0</v>
      </c>
      <c r="W2422" s="2">
        <v>32400</v>
      </c>
      <c r="X2422" s="2">
        <v>32400</v>
      </c>
      <c r="AA2422">
        <v>1</v>
      </c>
      <c r="AC2422">
        <v>0</v>
      </c>
      <c r="AE2422">
        <v>0</v>
      </c>
      <c r="AF2422">
        <v>0</v>
      </c>
      <c r="AG2422" s="2">
        <v>117482.4</v>
      </c>
      <c r="AH2422">
        <v>0</v>
      </c>
      <c r="AI2422" s="2">
        <v>117482.4</v>
      </c>
      <c r="AJ2422" s="2">
        <v>32400</v>
      </c>
      <c r="AK2422" s="2">
        <v>32400</v>
      </c>
      <c r="AL2422" t="str">
        <f>"$"</f>
        <v>$</v>
      </c>
    </row>
    <row r="2423" spans="1:38" x14ac:dyDescent="0.3">
      <c r="A2423" t="str">
        <f>"SO23000156"</f>
        <v>SO23000156</v>
      </c>
      <c r="B2423" t="str">
        <f>"פנמית"</f>
        <v>פנמית</v>
      </c>
      <c r="C2423" t="str">
        <f>"בוצעה"</f>
        <v>בוצעה</v>
      </c>
      <c r="E2423" s="3">
        <v>45001</v>
      </c>
      <c r="F2423" s="3">
        <v>45001</v>
      </c>
      <c r="G2423" t="str">
        <f>"700065"</f>
        <v>700065</v>
      </c>
      <c r="H2423" t="str">
        <f>"אלתא מערכות בע""מ"</f>
        <v>אלתא מערכות בע"מ</v>
      </c>
      <c r="I2423" t="str">
        <f>"ערן שלו"</f>
        <v>ערן שלו</v>
      </c>
      <c r="J2423" t="str">
        <f>"PD0341833"</f>
        <v>PD0341833</v>
      </c>
      <c r="K2423" s="1" t="str">
        <f>"נורה 220V ירוק Q22PP1BPXXSG220E"</f>
        <v>נורה 220V ירוק Q22PP1BPXXSG220E</v>
      </c>
      <c r="L2423">
        <v>1</v>
      </c>
      <c r="M2423" t="str">
        <f>"PR23000222"</f>
        <v>PR23000222</v>
      </c>
      <c r="N2423" t="str">
        <f>"אספקת ציוד ללקוח"</f>
        <v>אספקת ציוד ללקוח</v>
      </c>
      <c r="O2423">
        <v>0</v>
      </c>
      <c r="P2423" t="str">
        <f>"$"</f>
        <v>$</v>
      </c>
      <c r="Q2423" t="str">
        <f>"070"</f>
        <v>070</v>
      </c>
      <c r="R2423" t="str">
        <f>"הזמנה פנימית"</f>
        <v>הזמנה פנימית</v>
      </c>
      <c r="S2423" t="str">
        <f>"034"</f>
        <v>034</v>
      </c>
      <c r="T2423" t="str">
        <f>"גנם הודיה"</f>
        <v>גנם הודיה</v>
      </c>
      <c r="U2423">
        <v>0</v>
      </c>
      <c r="V2423">
        <v>0</v>
      </c>
      <c r="W2423">
        <v>0</v>
      </c>
      <c r="X2423">
        <v>0</v>
      </c>
      <c r="Z2423" t="str">
        <f>"Y"</f>
        <v>Y</v>
      </c>
      <c r="AA2423">
        <v>0</v>
      </c>
      <c r="AC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 t="str">
        <f>"$"</f>
        <v>$</v>
      </c>
    </row>
    <row r="2424" spans="1:38" x14ac:dyDescent="0.3">
      <c r="A2424" t="str">
        <f>"SO23000156"</f>
        <v>SO23000156</v>
      </c>
      <c r="B2424" t="str">
        <f>"פנמית"</f>
        <v>פנמית</v>
      </c>
      <c r="C2424" t="str">
        <f>"בוצעה"</f>
        <v>בוצעה</v>
      </c>
      <c r="E2424" s="3">
        <v>45001</v>
      </c>
      <c r="F2424" s="3">
        <v>45001</v>
      </c>
      <c r="G2424" t="str">
        <f>"700065"</f>
        <v>700065</v>
      </c>
      <c r="H2424" t="str">
        <f>"אלתא מערכות בע""מ"</f>
        <v>אלתא מערכות בע"מ</v>
      </c>
      <c r="I2424" t="str">
        <f>"ערן שלו"</f>
        <v>ערן שלו</v>
      </c>
      <c r="J2424" t="str">
        <f>"PD0341835"</f>
        <v>PD0341835</v>
      </c>
      <c r="K2424" s="1" t="str">
        <f>"נורה Q22PP1BPXXG28E 28VDC ירוק"</f>
        <v>נורה Q22PP1BPXXG28E 28VDC ירוק</v>
      </c>
      <c r="L2424">
        <v>1</v>
      </c>
      <c r="M2424" t="str">
        <f>"PR23000222"</f>
        <v>PR23000222</v>
      </c>
      <c r="N2424" t="str">
        <f>"אספקת ציוד ללקוח"</f>
        <v>אספקת ציוד ללקוח</v>
      </c>
      <c r="O2424">
        <v>0</v>
      </c>
      <c r="P2424" t="str">
        <f>"$"</f>
        <v>$</v>
      </c>
      <c r="Q2424" t="str">
        <f>"070"</f>
        <v>070</v>
      </c>
      <c r="R2424" t="str">
        <f>"הזמנה פנימית"</f>
        <v>הזמנה פנימית</v>
      </c>
      <c r="S2424" t="str">
        <f>"034"</f>
        <v>034</v>
      </c>
      <c r="T2424" t="str">
        <f>"גנם הודיה"</f>
        <v>גנם הודיה</v>
      </c>
      <c r="U2424">
        <v>0</v>
      </c>
      <c r="V2424">
        <v>0</v>
      </c>
      <c r="W2424">
        <v>0</v>
      </c>
      <c r="X2424">
        <v>0</v>
      </c>
      <c r="Z2424" t="str">
        <f>"Y"</f>
        <v>Y</v>
      </c>
      <c r="AA2424">
        <v>0</v>
      </c>
      <c r="AC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 t="str">
        <f>"$"</f>
        <v>$</v>
      </c>
    </row>
    <row r="2425" spans="1:38" x14ac:dyDescent="0.3">
      <c r="A2425" t="str">
        <f>"SO23000162"</f>
        <v>SO23000162</v>
      </c>
      <c r="B2425" t="str">
        <f>"פנימת"</f>
        <v>פנימת</v>
      </c>
      <c r="C2425" t="str">
        <f>"בוצעה"</f>
        <v>בוצעה</v>
      </c>
      <c r="E2425" s="3">
        <v>45005</v>
      </c>
      <c r="F2425" s="3">
        <v>45005</v>
      </c>
      <c r="G2425" t="str">
        <f>"700065"</f>
        <v>700065</v>
      </c>
      <c r="H2425" t="str">
        <f>"אלתא מערכות בע""מ"</f>
        <v>אלתא מערכות בע"מ</v>
      </c>
      <c r="I2425" t="str">
        <f>"ערן שלו"</f>
        <v>ערן שלו</v>
      </c>
      <c r="J2425" t="str">
        <f>"PA1000943"</f>
        <v>PA1000943</v>
      </c>
      <c r="K2425" s="1" t="str">
        <f>"קוטב למצבר + 3534"</f>
        <v>קוטב למצבר + 3534</v>
      </c>
      <c r="L2425">
        <v>2</v>
      </c>
      <c r="M2425" t="str">
        <f>"PR23000231"</f>
        <v>PR23000231</v>
      </c>
      <c r="N2425" t="str">
        <f>"אספקת חלקים ARMY"</f>
        <v>אספקת חלקים ARMY</v>
      </c>
      <c r="O2425">
        <v>0</v>
      </c>
      <c r="P2425" t="str">
        <f>"$"</f>
        <v>$</v>
      </c>
      <c r="Q2425" t="str">
        <f>"070"</f>
        <v>070</v>
      </c>
      <c r="R2425" t="str">
        <f>"הזמנה פנימית"</f>
        <v>הזמנה פנימית</v>
      </c>
      <c r="S2425" t="str">
        <f>"034"</f>
        <v>034</v>
      </c>
      <c r="T2425" t="str">
        <f>"גנם הודיה"</f>
        <v>גנם הודיה</v>
      </c>
      <c r="U2425">
        <v>0</v>
      </c>
      <c r="V2425">
        <v>0</v>
      </c>
      <c r="W2425">
        <v>0</v>
      </c>
      <c r="X2425">
        <v>0</v>
      </c>
      <c r="Z2425" t="str">
        <f>"Y"</f>
        <v>Y</v>
      </c>
      <c r="AA2425">
        <v>0</v>
      </c>
      <c r="AC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 t="str">
        <f>"$"</f>
        <v>$</v>
      </c>
    </row>
    <row r="2426" spans="1:38" x14ac:dyDescent="0.3">
      <c r="A2426" t="str">
        <f>"SO23000162"</f>
        <v>SO23000162</v>
      </c>
      <c r="B2426" t="str">
        <f>"פנימת"</f>
        <v>פנימת</v>
      </c>
      <c r="C2426" t="str">
        <f>"בוצעה"</f>
        <v>בוצעה</v>
      </c>
      <c r="E2426" s="3">
        <v>45005</v>
      </c>
      <c r="F2426" s="3">
        <v>45005</v>
      </c>
      <c r="G2426" t="str">
        <f>"700065"</f>
        <v>700065</v>
      </c>
      <c r="H2426" t="str">
        <f>"אלתא מערכות בע""מ"</f>
        <v>אלתא מערכות בע"מ</v>
      </c>
      <c r="I2426" t="str">
        <f>"ערן שלו"</f>
        <v>ערן שלו</v>
      </c>
      <c r="J2426" t="str">
        <f>"PA1000944"</f>
        <v>PA1000944</v>
      </c>
      <c r="K2426" s="1" t="str">
        <f>"קוטב למצבר (-) 3535"</f>
        <v>קוטב למצבר (-) 3535</v>
      </c>
      <c r="L2426">
        <v>2</v>
      </c>
      <c r="M2426" t="str">
        <f>"PR23000231"</f>
        <v>PR23000231</v>
      </c>
      <c r="N2426" t="str">
        <f>"אספקת חלקים ARMY"</f>
        <v>אספקת חלקים ARMY</v>
      </c>
      <c r="O2426">
        <v>0</v>
      </c>
      <c r="P2426" t="str">
        <f>"$"</f>
        <v>$</v>
      </c>
      <c r="Q2426" t="str">
        <f>"070"</f>
        <v>070</v>
      </c>
      <c r="R2426" t="str">
        <f>"הזמנה פנימית"</f>
        <v>הזמנה פנימית</v>
      </c>
      <c r="S2426" t="str">
        <f>"034"</f>
        <v>034</v>
      </c>
      <c r="T2426" t="str">
        <f>"גנם הודיה"</f>
        <v>גנם הודיה</v>
      </c>
      <c r="U2426">
        <v>0</v>
      </c>
      <c r="V2426">
        <v>0</v>
      </c>
      <c r="W2426">
        <v>0</v>
      </c>
      <c r="X2426">
        <v>0</v>
      </c>
      <c r="Z2426" t="str">
        <f>"Y"</f>
        <v>Y</v>
      </c>
      <c r="AA2426">
        <v>0</v>
      </c>
      <c r="AC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 t="str">
        <f>"$"</f>
        <v>$</v>
      </c>
    </row>
    <row r="2427" spans="1:38" x14ac:dyDescent="0.3">
      <c r="A2427" t="str">
        <f>"SO23000168"</f>
        <v>SO23000168</v>
      </c>
      <c r="B2427" t="str">
        <f>"E000390426"</f>
        <v>E000390426</v>
      </c>
      <c r="C2427" t="str">
        <f>"מאושרת לבצוע"</f>
        <v>מאושרת לבצוע</v>
      </c>
      <c r="E2427" s="3">
        <v>45013</v>
      </c>
      <c r="F2427" s="3">
        <v>45013</v>
      </c>
      <c r="G2427" t="str">
        <f>"700065"</f>
        <v>700065</v>
      </c>
      <c r="H2427" t="str">
        <f>"אלתא מערכות בע""מ"</f>
        <v>אלתא מערכות בע"מ</v>
      </c>
      <c r="I2427" t="str">
        <f>"רוני דידי"</f>
        <v>רוני דידי</v>
      </c>
      <c r="J2427" t="str">
        <f>"PD0300259"</f>
        <v>PD0300259</v>
      </c>
      <c r="K2427" s="1" t="str">
        <f>"משגוח בידוד -איזומטר דגם ISORW425-D4W-4"</f>
        <v>משגוח בידוד -איזומטר דגם ISORW425-D4W-4</v>
      </c>
      <c r="L2427">
        <v>15</v>
      </c>
      <c r="M2427" t="str">
        <f>"PR23000239"</f>
        <v>PR23000239</v>
      </c>
      <c r="N2427" t="str">
        <f>"רכש משגוחים לטובת שדרוג פרויקט ג"</f>
        <v>רכש משגוחים לטובת שדרוג פרויקט ג</v>
      </c>
      <c r="O2427" s="2">
        <v>1390</v>
      </c>
      <c r="P2427" t="str">
        <f>"$"</f>
        <v>$</v>
      </c>
      <c r="Q2427" t="str">
        <f>"112"</f>
        <v>112</v>
      </c>
      <c r="R2427" t="str">
        <f>"תיקון תקלות"</f>
        <v>תיקון תקלות</v>
      </c>
      <c r="S2427" t="str">
        <f>"007"</f>
        <v>007</v>
      </c>
      <c r="T2427" t="str">
        <f>"גנם הודיה"</f>
        <v>גנם הודיה</v>
      </c>
      <c r="U2427">
        <v>0</v>
      </c>
      <c r="V2427">
        <v>0</v>
      </c>
      <c r="W2427" s="2">
        <v>1390</v>
      </c>
      <c r="X2427" s="2">
        <v>20850</v>
      </c>
      <c r="AA2427">
        <v>15</v>
      </c>
      <c r="AC2427">
        <v>0</v>
      </c>
      <c r="AE2427">
        <v>0</v>
      </c>
      <c r="AF2427">
        <v>0</v>
      </c>
      <c r="AG2427" s="2">
        <v>4912.26</v>
      </c>
      <c r="AH2427">
        <v>0</v>
      </c>
      <c r="AI2427" s="2">
        <v>73683.899999999994</v>
      </c>
      <c r="AJ2427" s="2">
        <v>20850</v>
      </c>
      <c r="AK2427" s="2">
        <v>20850</v>
      </c>
      <c r="AL2427" t="str">
        <f>"$"</f>
        <v>$</v>
      </c>
    </row>
    <row r="2428" spans="1:38" x14ac:dyDescent="0.3">
      <c r="A2428" t="str">
        <f>"SO23000168"</f>
        <v>SO23000168</v>
      </c>
      <c r="B2428" t="str">
        <f>"E000390426"</f>
        <v>E000390426</v>
      </c>
      <c r="C2428" t="str">
        <f>"מאושרת לבצוע"</f>
        <v>מאושרת לבצוע</v>
      </c>
      <c r="E2428" s="3">
        <v>45013</v>
      </c>
      <c r="F2428" s="3">
        <v>45013</v>
      </c>
      <c r="G2428" t="str">
        <f>"700065"</f>
        <v>700065</v>
      </c>
      <c r="H2428" t="str">
        <f>"אלתא מערכות בע""מ"</f>
        <v>אלתא מערכות בע"מ</v>
      </c>
      <c r="I2428" t="str">
        <f>"רוני דידי"</f>
        <v>רוני דידי</v>
      </c>
      <c r="J2428" t="str">
        <f>"000"</f>
        <v>000</v>
      </c>
      <c r="K2428" s="1" t="str">
        <f>"ימי עבודה של טכנאי"</f>
        <v>ימי עבודה של טכנאי</v>
      </c>
      <c r="L2428">
        <v>1</v>
      </c>
      <c r="M2428" t="str">
        <f>"PR23000239"</f>
        <v>PR23000239</v>
      </c>
      <c r="N2428" t="str">
        <f>"רכש משגוחים לטובת שדרוג פרויקט ג"</f>
        <v>רכש משגוחים לטובת שדרוג פרויקט ג</v>
      </c>
      <c r="O2428" s="2">
        <v>6000</v>
      </c>
      <c r="P2428" t="str">
        <f>"$"</f>
        <v>$</v>
      </c>
      <c r="Q2428" t="str">
        <f>"112"</f>
        <v>112</v>
      </c>
      <c r="R2428" t="str">
        <f>"תיקון תקלות"</f>
        <v>תיקון תקלות</v>
      </c>
      <c r="S2428" t="str">
        <f>"007"</f>
        <v>007</v>
      </c>
      <c r="T2428" t="str">
        <f>"גנם הודיה"</f>
        <v>גנם הודיה</v>
      </c>
      <c r="U2428">
        <v>0</v>
      </c>
      <c r="V2428">
        <v>0</v>
      </c>
      <c r="W2428" s="2">
        <v>6000</v>
      </c>
      <c r="X2428" s="2">
        <v>6000</v>
      </c>
      <c r="AA2428">
        <v>1</v>
      </c>
      <c r="AC2428">
        <v>0</v>
      </c>
      <c r="AE2428">
        <v>0</v>
      </c>
      <c r="AF2428">
        <v>0</v>
      </c>
      <c r="AG2428" s="2">
        <v>21204</v>
      </c>
      <c r="AH2428">
        <v>0</v>
      </c>
      <c r="AI2428" s="2">
        <v>21204</v>
      </c>
      <c r="AJ2428" s="2">
        <v>6000</v>
      </c>
      <c r="AK2428" s="2">
        <v>6000</v>
      </c>
      <c r="AL2428" t="str">
        <f>"$"</f>
        <v>$</v>
      </c>
    </row>
    <row r="2429" spans="1:38" x14ac:dyDescent="0.3">
      <c r="A2429" t="str">
        <f>"SO23000173"</f>
        <v>SO23000173</v>
      </c>
      <c r="B2429" t="str">
        <f>"E000390977"</f>
        <v>E000390977</v>
      </c>
      <c r="C2429" t="str">
        <f>"מאושרת לחיוב"</f>
        <v>מאושרת לחיוב</v>
      </c>
      <c r="E2429" s="3">
        <v>45019</v>
      </c>
      <c r="F2429" s="3">
        <v>45019</v>
      </c>
      <c r="G2429" t="str">
        <f>"700065"</f>
        <v>700065</v>
      </c>
      <c r="H2429" t="str">
        <f>"אלתא מערכות בע""מ"</f>
        <v>אלתא מערכות בע"מ</v>
      </c>
      <c r="I2429" t="str">
        <f>"רחמים זרוק"</f>
        <v>רחמים זרוק</v>
      </c>
      <c r="J2429" t="str">
        <f>"OP-AR03590"</f>
        <v>OP-AR03590</v>
      </c>
      <c r="K2429" s="1" t="str">
        <f>"4005L935-001    FOT I/O ADAPTER CABLE"</f>
        <v>4005L935-001    FOT I/O ADAPTER CABLE</v>
      </c>
      <c r="L2429">
        <v>8</v>
      </c>
      <c r="M2429" t="str">
        <f>"PR23000262"</f>
        <v>PR23000262</v>
      </c>
      <c r="N2429" t="str">
        <f>"E000390977"</f>
        <v>E000390977</v>
      </c>
      <c r="O2429">
        <v>258.64</v>
      </c>
      <c r="P2429" t="str">
        <f>"$"</f>
        <v>$</v>
      </c>
      <c r="Q2429" t="str">
        <f>"117"</f>
        <v>117</v>
      </c>
      <c r="R2429" t="str">
        <f>"רתמות"</f>
        <v>רתמות</v>
      </c>
      <c r="S2429" t="str">
        <f>"040"</f>
        <v>040</v>
      </c>
      <c r="T2429" t="str">
        <f>"גנם הודיה"</f>
        <v>גנם הודיה</v>
      </c>
      <c r="U2429">
        <v>0</v>
      </c>
      <c r="V2429">
        <v>0</v>
      </c>
      <c r="W2429">
        <v>258.64</v>
      </c>
      <c r="X2429" s="2">
        <v>2069.12</v>
      </c>
      <c r="AA2429">
        <v>7</v>
      </c>
      <c r="AC2429">
        <v>0</v>
      </c>
      <c r="AE2429">
        <v>0</v>
      </c>
      <c r="AF2429">
        <v>0</v>
      </c>
      <c r="AG2429">
        <v>929.29</v>
      </c>
      <c r="AH2429">
        <v>0</v>
      </c>
      <c r="AI2429" s="2">
        <v>7434.35</v>
      </c>
      <c r="AJ2429" s="2">
        <v>2069.12</v>
      </c>
      <c r="AK2429" s="2">
        <v>2069.12</v>
      </c>
      <c r="AL2429" t="str">
        <f>"$"</f>
        <v>$</v>
      </c>
    </row>
    <row r="2430" spans="1:38" x14ac:dyDescent="0.3">
      <c r="A2430" t="str">
        <f>"SO23000173"</f>
        <v>SO23000173</v>
      </c>
      <c r="B2430" t="str">
        <f>"E000390977"</f>
        <v>E000390977</v>
      </c>
      <c r="C2430" t="str">
        <f>"מאושרת לחיוב"</f>
        <v>מאושרת לחיוב</v>
      </c>
      <c r="E2430" s="3">
        <v>45019</v>
      </c>
      <c r="F2430" s="3">
        <v>45019</v>
      </c>
      <c r="G2430" t="str">
        <f>"700065"</f>
        <v>700065</v>
      </c>
      <c r="H2430" t="str">
        <f>"אלתא מערכות בע""מ"</f>
        <v>אלתא מערכות בע"מ</v>
      </c>
      <c r="I2430" t="str">
        <f>"רחמים זרוק"</f>
        <v>רחמים זרוק</v>
      </c>
      <c r="J2430" t="str">
        <f>"OP-AR03591"</f>
        <v>OP-AR03591</v>
      </c>
      <c r="K2430" s="1" t="str">
        <f>"4005L938-001    New Modem Adapter Cable"</f>
        <v>4005L938-001    New Modem Adapter Cable</v>
      </c>
      <c r="L2430">
        <v>5</v>
      </c>
      <c r="M2430" t="str">
        <f>"PR23000262"</f>
        <v>PR23000262</v>
      </c>
      <c r="N2430" t="str">
        <f>"E000390977"</f>
        <v>E000390977</v>
      </c>
      <c r="O2430">
        <v>270.02</v>
      </c>
      <c r="P2430" t="str">
        <f>"$"</f>
        <v>$</v>
      </c>
      <c r="Q2430" t="str">
        <f>"117"</f>
        <v>117</v>
      </c>
      <c r="R2430" t="str">
        <f>"רתמות"</f>
        <v>רתמות</v>
      </c>
      <c r="S2430" t="str">
        <f>"040"</f>
        <v>040</v>
      </c>
      <c r="T2430" t="str">
        <f>"גנם הודיה"</f>
        <v>גנם הודיה</v>
      </c>
      <c r="U2430">
        <v>0</v>
      </c>
      <c r="V2430">
        <v>0</v>
      </c>
      <c r="W2430">
        <v>270.02</v>
      </c>
      <c r="X2430" s="2">
        <v>1350.1</v>
      </c>
      <c r="AA2430">
        <v>5</v>
      </c>
      <c r="AC2430">
        <v>0</v>
      </c>
      <c r="AE2430">
        <v>0</v>
      </c>
      <c r="AF2430">
        <v>0</v>
      </c>
      <c r="AG2430">
        <v>970.18</v>
      </c>
      <c r="AH2430">
        <v>0</v>
      </c>
      <c r="AI2430" s="2">
        <v>4850.91</v>
      </c>
      <c r="AJ2430" s="2">
        <v>1350.1</v>
      </c>
      <c r="AK2430" s="2">
        <v>1350.1</v>
      </c>
      <c r="AL2430" t="str">
        <f>"$"</f>
        <v>$</v>
      </c>
    </row>
    <row r="2431" spans="1:38" x14ac:dyDescent="0.3">
      <c r="A2431" t="str">
        <f>"SO23000174"</f>
        <v>SO23000174</v>
      </c>
      <c r="B2431" t="str">
        <f>"E000390904"</f>
        <v>E000390904</v>
      </c>
      <c r="C2431" t="str">
        <f>"הרכבה חלקית"</f>
        <v>הרכבה חלקית</v>
      </c>
      <c r="E2431" s="3">
        <v>45019</v>
      </c>
      <c r="F2431" s="3">
        <v>45019</v>
      </c>
      <c r="G2431" t="str">
        <f>"700065"</f>
        <v>700065</v>
      </c>
      <c r="H2431" t="str">
        <f>"אלתא מערכות בע""מ"</f>
        <v>אלתא מערכות בע"מ</v>
      </c>
      <c r="I2431" t="str">
        <f>"רחמים זרוק"</f>
        <v>רחמים זרוק</v>
      </c>
      <c r="J2431" t="str">
        <f>"OP-AR03593"</f>
        <v>OP-AR03593</v>
      </c>
      <c r="K2431" s="1" t="str">
        <f>"1035C102-001    HARNESS 1W002 - POWER IN 320VDC TO FILTE"</f>
        <v>1035C102-001    HARNESS 1W002 - POWER IN 320VDC TO FILTE</v>
      </c>
      <c r="L2431">
        <v>2</v>
      </c>
      <c r="M2431" t="str">
        <f>"PR23000263"</f>
        <v>PR23000263</v>
      </c>
      <c r="N2431" t="str">
        <f>"E000390904"</f>
        <v>E000390904</v>
      </c>
      <c r="O2431">
        <v>320.72000000000003</v>
      </c>
      <c r="P2431" t="str">
        <f>"$"</f>
        <v>$</v>
      </c>
      <c r="Q2431" t="str">
        <f>"117"</f>
        <v>117</v>
      </c>
      <c r="R2431" t="str">
        <f>"רתמות"</f>
        <v>רתמות</v>
      </c>
      <c r="S2431" t="str">
        <f>"040"</f>
        <v>040</v>
      </c>
      <c r="T2431" t="str">
        <f>"גנם הודיה"</f>
        <v>גנם הודיה</v>
      </c>
      <c r="U2431">
        <v>0</v>
      </c>
      <c r="V2431">
        <v>0</v>
      </c>
      <c r="W2431">
        <v>320.72000000000003</v>
      </c>
      <c r="X2431">
        <v>641.44000000000005</v>
      </c>
      <c r="Z2431" t="str">
        <f>"Y"</f>
        <v>Y</v>
      </c>
      <c r="AA2431">
        <v>0</v>
      </c>
      <c r="AC2431">
        <v>0</v>
      </c>
      <c r="AE2431">
        <v>0</v>
      </c>
      <c r="AF2431">
        <v>0</v>
      </c>
      <c r="AG2431" s="2">
        <v>1152.3499999999999</v>
      </c>
      <c r="AH2431">
        <v>0</v>
      </c>
      <c r="AI2431" s="2">
        <v>2304.69</v>
      </c>
      <c r="AJ2431">
        <v>641.44000000000005</v>
      </c>
      <c r="AK2431">
        <v>641.44000000000005</v>
      </c>
      <c r="AL2431" t="str">
        <f>"$"</f>
        <v>$</v>
      </c>
    </row>
    <row r="2432" spans="1:38" x14ac:dyDescent="0.3">
      <c r="A2432" t="str">
        <f>"SO23000174"</f>
        <v>SO23000174</v>
      </c>
      <c r="B2432" t="str">
        <f>"E000390904"</f>
        <v>E000390904</v>
      </c>
      <c r="C2432" t="str">
        <f>"הרכבה חלקית"</f>
        <v>הרכבה חלקית</v>
      </c>
      <c r="E2432" s="3">
        <v>45019</v>
      </c>
      <c r="F2432" s="3">
        <v>45019</v>
      </c>
      <c r="G2432" t="str">
        <f>"700065"</f>
        <v>700065</v>
      </c>
      <c r="H2432" t="str">
        <f>"אלתא מערכות בע""מ"</f>
        <v>אלתא מערכות בע"מ</v>
      </c>
      <c r="I2432" t="str">
        <f>"רחמים זרוק"</f>
        <v>רחמים זרוק</v>
      </c>
      <c r="J2432" t="str">
        <f>"OP-AR03594"</f>
        <v>OP-AR03594</v>
      </c>
      <c r="K2432" s="1" t="str">
        <f>"1035C133-001    HARNESS 1W033 - COMM. and ETHERNET FROM"</f>
        <v>1035C133-001    HARNESS 1W033 - COMM. and ETHERNET FROM</v>
      </c>
      <c r="L2432">
        <v>2</v>
      </c>
      <c r="M2432" t="str">
        <f>"PR23000263"</f>
        <v>PR23000263</v>
      </c>
      <c r="N2432" t="str">
        <f>"E000390904"</f>
        <v>E000390904</v>
      </c>
      <c r="O2432">
        <v>933.74</v>
      </c>
      <c r="P2432" t="str">
        <f>"$"</f>
        <v>$</v>
      </c>
      <c r="Q2432" t="str">
        <f>"117"</f>
        <v>117</v>
      </c>
      <c r="R2432" t="str">
        <f>"רתמות"</f>
        <v>רתמות</v>
      </c>
      <c r="S2432" t="str">
        <f>"040"</f>
        <v>040</v>
      </c>
      <c r="T2432" t="str">
        <f>"גנם הודיה"</f>
        <v>גנם הודיה</v>
      </c>
      <c r="U2432">
        <v>0</v>
      </c>
      <c r="V2432">
        <v>0</v>
      </c>
      <c r="W2432">
        <v>933.74</v>
      </c>
      <c r="X2432" s="2">
        <v>1867.48</v>
      </c>
      <c r="Z2432" t="str">
        <f>"Y"</f>
        <v>Y</v>
      </c>
      <c r="AA2432">
        <v>0</v>
      </c>
      <c r="AC2432">
        <v>0</v>
      </c>
      <c r="AE2432">
        <v>0</v>
      </c>
      <c r="AF2432">
        <v>0</v>
      </c>
      <c r="AG2432" s="2">
        <v>3354.93</v>
      </c>
      <c r="AH2432">
        <v>0</v>
      </c>
      <c r="AI2432" s="2">
        <v>6709.86</v>
      </c>
      <c r="AJ2432" s="2">
        <v>1867.48</v>
      </c>
      <c r="AK2432" s="2">
        <v>1867.48</v>
      </c>
      <c r="AL2432" t="str">
        <f>"$"</f>
        <v>$</v>
      </c>
    </row>
    <row r="2433" spans="1:38" x14ac:dyDescent="0.3">
      <c r="A2433" t="str">
        <f>"SO23000174"</f>
        <v>SO23000174</v>
      </c>
      <c r="B2433" t="str">
        <f>"E000390904"</f>
        <v>E000390904</v>
      </c>
      <c r="C2433" t="str">
        <f>"הרכבה חלקית"</f>
        <v>הרכבה חלקית</v>
      </c>
      <c r="E2433" s="3">
        <v>45019</v>
      </c>
      <c r="F2433" s="3">
        <v>45019</v>
      </c>
      <c r="G2433" t="str">
        <f>"700065"</f>
        <v>700065</v>
      </c>
      <c r="H2433" t="str">
        <f>"אלתא מערכות בע""מ"</f>
        <v>אלתא מערכות בע"מ</v>
      </c>
      <c r="I2433" t="str">
        <f>"רחמים זרוק"</f>
        <v>רחמים זרוק</v>
      </c>
      <c r="J2433" t="str">
        <f>"OP-AR03595"</f>
        <v>OP-AR03595</v>
      </c>
      <c r="K2433" s="1" t="str">
        <f>"1035C134-001    HARNESS 1W034 - COMM. and ETHERNET FROM"</f>
        <v>1035C134-001    HARNESS 1W034 - COMM. and ETHERNET FROM</v>
      </c>
      <c r="L2433">
        <v>2</v>
      </c>
      <c r="M2433" t="str">
        <f>"PR23000263"</f>
        <v>PR23000263</v>
      </c>
      <c r="N2433" t="str">
        <f>"E000390904"</f>
        <v>E000390904</v>
      </c>
      <c r="O2433">
        <v>381.4</v>
      </c>
      <c r="P2433" t="str">
        <f>"$"</f>
        <v>$</v>
      </c>
      <c r="Q2433" t="str">
        <f>"117"</f>
        <v>117</v>
      </c>
      <c r="R2433" t="str">
        <f>"רתמות"</f>
        <v>רתמות</v>
      </c>
      <c r="S2433" t="str">
        <f>"040"</f>
        <v>040</v>
      </c>
      <c r="T2433" t="str">
        <f>"גנם הודיה"</f>
        <v>גנם הודיה</v>
      </c>
      <c r="U2433">
        <v>0</v>
      </c>
      <c r="V2433">
        <v>0</v>
      </c>
      <c r="W2433">
        <v>381.4</v>
      </c>
      <c r="X2433">
        <v>762.8</v>
      </c>
      <c r="Z2433" t="str">
        <f>"Y"</f>
        <v>Y</v>
      </c>
      <c r="AA2433">
        <v>0</v>
      </c>
      <c r="AC2433">
        <v>0</v>
      </c>
      <c r="AE2433">
        <v>0</v>
      </c>
      <c r="AF2433">
        <v>0</v>
      </c>
      <c r="AG2433" s="2">
        <v>1370.37</v>
      </c>
      <c r="AH2433">
        <v>0</v>
      </c>
      <c r="AI2433" s="2">
        <v>2740.74</v>
      </c>
      <c r="AJ2433">
        <v>762.8</v>
      </c>
      <c r="AK2433">
        <v>762.8</v>
      </c>
      <c r="AL2433" t="str">
        <f>"$"</f>
        <v>$</v>
      </c>
    </row>
    <row r="2434" spans="1:38" x14ac:dyDescent="0.3">
      <c r="A2434" t="str">
        <f>"SO23000174"</f>
        <v>SO23000174</v>
      </c>
      <c r="B2434" t="str">
        <f>"E000390904"</f>
        <v>E000390904</v>
      </c>
      <c r="C2434" t="str">
        <f>"הרכבה חלקית"</f>
        <v>הרכבה חלקית</v>
      </c>
      <c r="E2434" s="3">
        <v>45019</v>
      </c>
      <c r="F2434" s="3">
        <v>45019</v>
      </c>
      <c r="G2434" t="str">
        <f>"700065"</f>
        <v>700065</v>
      </c>
      <c r="H2434" t="str">
        <f>"אלתא מערכות בע""מ"</f>
        <v>אלתא מערכות בע"מ</v>
      </c>
      <c r="I2434" t="str">
        <f>"רחמים זרוק"</f>
        <v>רחמים זרוק</v>
      </c>
      <c r="J2434" t="str">
        <f>"OP-AR03596"</f>
        <v>OP-AR03596</v>
      </c>
      <c r="K2434" s="1" t="str">
        <f>"1035C135-001    HARNESS 1W035 - COMM. and ETHERNET FROM"</f>
        <v>1035C135-001    HARNESS 1W035 - COMM. and ETHERNET FROM</v>
      </c>
      <c r="L2434">
        <v>2</v>
      </c>
      <c r="M2434" t="str">
        <f>"PR23000263"</f>
        <v>PR23000263</v>
      </c>
      <c r="N2434" t="str">
        <f>"E000390904"</f>
        <v>E000390904</v>
      </c>
      <c r="O2434">
        <v>500.29</v>
      </c>
      <c r="P2434" t="str">
        <f>"$"</f>
        <v>$</v>
      </c>
      <c r="Q2434" t="str">
        <f>"117"</f>
        <v>117</v>
      </c>
      <c r="R2434" t="str">
        <f>"רתמות"</f>
        <v>רתמות</v>
      </c>
      <c r="S2434" t="str">
        <f>"040"</f>
        <v>040</v>
      </c>
      <c r="T2434" t="str">
        <f>"גנם הודיה"</f>
        <v>גנם הודיה</v>
      </c>
      <c r="U2434">
        <v>0</v>
      </c>
      <c r="V2434">
        <v>0</v>
      </c>
      <c r="W2434">
        <v>500.29</v>
      </c>
      <c r="X2434" s="2">
        <v>1000.58</v>
      </c>
      <c r="Z2434" t="str">
        <f>"Y"</f>
        <v>Y</v>
      </c>
      <c r="AA2434">
        <v>0</v>
      </c>
      <c r="AC2434">
        <v>0</v>
      </c>
      <c r="AE2434">
        <v>0</v>
      </c>
      <c r="AF2434">
        <v>0</v>
      </c>
      <c r="AG2434" s="2">
        <v>1797.54</v>
      </c>
      <c r="AH2434">
        <v>0</v>
      </c>
      <c r="AI2434" s="2">
        <v>3595.08</v>
      </c>
      <c r="AJ2434" s="2">
        <v>1000.58</v>
      </c>
      <c r="AK2434" s="2">
        <v>1000.58</v>
      </c>
      <c r="AL2434" t="str">
        <f>"$"</f>
        <v>$</v>
      </c>
    </row>
    <row r="2435" spans="1:38" x14ac:dyDescent="0.3">
      <c r="A2435" t="str">
        <f>"SO23000174"</f>
        <v>SO23000174</v>
      </c>
      <c r="B2435" t="str">
        <f>"E000390904"</f>
        <v>E000390904</v>
      </c>
      <c r="C2435" t="str">
        <f>"הרכבה חלקית"</f>
        <v>הרכבה חלקית</v>
      </c>
      <c r="E2435" s="3">
        <v>45019</v>
      </c>
      <c r="F2435" s="3">
        <v>45019</v>
      </c>
      <c r="G2435" t="str">
        <f>"700065"</f>
        <v>700065</v>
      </c>
      <c r="H2435" t="str">
        <f>"אלתא מערכות בע""מ"</f>
        <v>אלתא מערכות בע"מ</v>
      </c>
      <c r="I2435" t="str">
        <f>"רחמים זרוק"</f>
        <v>רחמים זרוק</v>
      </c>
      <c r="J2435" t="str">
        <f>"OP-AR03597"</f>
        <v>OP-AR03597</v>
      </c>
      <c r="K2435" s="1" t="str">
        <f>"1035C136-001    HARNESS 1W036 - COMM. and ETHERNET FROM"</f>
        <v>1035C136-001    HARNESS 1W036 - COMM. and ETHERNET FROM</v>
      </c>
      <c r="L2435">
        <v>2</v>
      </c>
      <c r="M2435" t="str">
        <f>"PR23000263"</f>
        <v>PR23000263</v>
      </c>
      <c r="N2435" t="str">
        <f>"E000390904"</f>
        <v>E000390904</v>
      </c>
      <c r="O2435">
        <v>381.4</v>
      </c>
      <c r="P2435" t="str">
        <f>"$"</f>
        <v>$</v>
      </c>
      <c r="Q2435" t="str">
        <f>"117"</f>
        <v>117</v>
      </c>
      <c r="R2435" t="str">
        <f>"רתמות"</f>
        <v>רתמות</v>
      </c>
      <c r="S2435" t="str">
        <f>"040"</f>
        <v>040</v>
      </c>
      <c r="T2435" t="str">
        <f>"גנם הודיה"</f>
        <v>גנם הודיה</v>
      </c>
      <c r="U2435">
        <v>0</v>
      </c>
      <c r="V2435">
        <v>0</v>
      </c>
      <c r="W2435">
        <v>381.4</v>
      </c>
      <c r="X2435">
        <v>762.8</v>
      </c>
      <c r="Z2435" t="str">
        <f>"Y"</f>
        <v>Y</v>
      </c>
      <c r="AA2435">
        <v>0</v>
      </c>
      <c r="AC2435">
        <v>0</v>
      </c>
      <c r="AE2435">
        <v>0</v>
      </c>
      <c r="AF2435">
        <v>0</v>
      </c>
      <c r="AG2435" s="2">
        <v>1370.37</v>
      </c>
      <c r="AH2435">
        <v>0</v>
      </c>
      <c r="AI2435" s="2">
        <v>2740.74</v>
      </c>
      <c r="AJ2435">
        <v>762.8</v>
      </c>
      <c r="AK2435">
        <v>762.8</v>
      </c>
      <c r="AL2435" t="str">
        <f>"$"</f>
        <v>$</v>
      </c>
    </row>
    <row r="2436" spans="1:38" x14ac:dyDescent="0.3">
      <c r="A2436" t="str">
        <f>"SO23000174"</f>
        <v>SO23000174</v>
      </c>
      <c r="B2436" t="str">
        <f>"E000390904"</f>
        <v>E000390904</v>
      </c>
      <c r="C2436" t="str">
        <f>"הרכבה חלקית"</f>
        <v>הרכבה חלקית</v>
      </c>
      <c r="E2436" s="3">
        <v>45019</v>
      </c>
      <c r="F2436" s="3">
        <v>45019</v>
      </c>
      <c r="G2436" t="str">
        <f>"700065"</f>
        <v>700065</v>
      </c>
      <c r="H2436" t="str">
        <f>"אלתא מערכות בע""מ"</f>
        <v>אלתא מערכות בע"מ</v>
      </c>
      <c r="I2436" t="str">
        <f>"רחמים זרוק"</f>
        <v>רחמים זרוק</v>
      </c>
      <c r="J2436" t="str">
        <f>"OP-AR03598"</f>
        <v>OP-AR03598</v>
      </c>
      <c r="K2436" s="1" t="str">
        <f>"1035C137-001    HARNESS 1W037 - COMM. and ETHERNET FROM"</f>
        <v>1035C137-001    HARNESS 1W037 - COMM. and ETHERNET FROM</v>
      </c>
      <c r="L2436">
        <v>2</v>
      </c>
      <c r="M2436" t="str">
        <f>"PR23000263"</f>
        <v>PR23000263</v>
      </c>
      <c r="N2436" t="str">
        <f>"E000390904"</f>
        <v>E000390904</v>
      </c>
      <c r="O2436">
        <v>481.26</v>
      </c>
      <c r="P2436" t="str">
        <f>"$"</f>
        <v>$</v>
      </c>
      <c r="Q2436" t="str">
        <f>"117"</f>
        <v>117</v>
      </c>
      <c r="R2436" t="str">
        <f>"רתמות"</f>
        <v>רתמות</v>
      </c>
      <c r="S2436" t="str">
        <f>"040"</f>
        <v>040</v>
      </c>
      <c r="T2436" t="str">
        <f>"גנם הודיה"</f>
        <v>גנם הודיה</v>
      </c>
      <c r="U2436">
        <v>0</v>
      </c>
      <c r="V2436">
        <v>0</v>
      </c>
      <c r="W2436">
        <v>481.26</v>
      </c>
      <c r="X2436">
        <v>962.52</v>
      </c>
      <c r="Z2436" t="str">
        <f>"Y"</f>
        <v>Y</v>
      </c>
      <c r="AA2436">
        <v>0</v>
      </c>
      <c r="AC2436">
        <v>0</v>
      </c>
      <c r="AE2436">
        <v>0</v>
      </c>
      <c r="AF2436">
        <v>0</v>
      </c>
      <c r="AG2436" s="2">
        <v>1729.17</v>
      </c>
      <c r="AH2436">
        <v>0</v>
      </c>
      <c r="AI2436" s="2">
        <v>3458.33</v>
      </c>
      <c r="AJ2436">
        <v>962.52</v>
      </c>
      <c r="AK2436">
        <v>962.52</v>
      </c>
      <c r="AL2436" t="str">
        <f>"$"</f>
        <v>$</v>
      </c>
    </row>
    <row r="2437" spans="1:38" x14ac:dyDescent="0.3">
      <c r="A2437" t="str">
        <f>"SO23000174"</f>
        <v>SO23000174</v>
      </c>
      <c r="B2437" t="str">
        <f>"E000390904"</f>
        <v>E000390904</v>
      </c>
      <c r="C2437" t="str">
        <f>"הרכבה חלקית"</f>
        <v>הרכבה חלקית</v>
      </c>
      <c r="E2437" s="3">
        <v>45019</v>
      </c>
      <c r="F2437" s="3">
        <v>45019</v>
      </c>
      <c r="G2437" t="str">
        <f>"700065"</f>
        <v>700065</v>
      </c>
      <c r="H2437" t="str">
        <f>"אלתא מערכות בע""מ"</f>
        <v>אלתא מערכות בע"מ</v>
      </c>
      <c r="I2437" t="str">
        <f>"רחמים זרוק"</f>
        <v>רחמים זרוק</v>
      </c>
      <c r="J2437" t="str">
        <f>"OP-AR03599"</f>
        <v>OP-AR03599</v>
      </c>
      <c r="K2437" s="1" t="str">
        <f>"1035C139-001    HARNESS 1W039 - COMM. and ETHERNET FROM"</f>
        <v>1035C139-001    HARNESS 1W039 - COMM. and ETHERNET FROM</v>
      </c>
      <c r="L2437">
        <v>2</v>
      </c>
      <c r="M2437" t="str">
        <f>"PR23000263"</f>
        <v>PR23000263</v>
      </c>
      <c r="N2437" t="str">
        <f>"E000390904"</f>
        <v>E000390904</v>
      </c>
      <c r="O2437">
        <v>320.72000000000003</v>
      </c>
      <c r="P2437" t="str">
        <f>"$"</f>
        <v>$</v>
      </c>
      <c r="Q2437" t="str">
        <f>"117"</f>
        <v>117</v>
      </c>
      <c r="R2437" t="str">
        <f>"רתמות"</f>
        <v>רתמות</v>
      </c>
      <c r="S2437" t="str">
        <f>"040"</f>
        <v>040</v>
      </c>
      <c r="T2437" t="str">
        <f>"גנם הודיה"</f>
        <v>גנם הודיה</v>
      </c>
      <c r="U2437">
        <v>0</v>
      </c>
      <c r="V2437">
        <v>0</v>
      </c>
      <c r="W2437">
        <v>320.72000000000003</v>
      </c>
      <c r="X2437">
        <v>641.44000000000005</v>
      </c>
      <c r="Z2437" t="str">
        <f>"Y"</f>
        <v>Y</v>
      </c>
      <c r="AA2437">
        <v>0</v>
      </c>
      <c r="AC2437">
        <v>0</v>
      </c>
      <c r="AE2437">
        <v>0</v>
      </c>
      <c r="AF2437">
        <v>0</v>
      </c>
      <c r="AG2437" s="2">
        <v>1152.3499999999999</v>
      </c>
      <c r="AH2437">
        <v>0</v>
      </c>
      <c r="AI2437" s="2">
        <v>2304.69</v>
      </c>
      <c r="AJ2437">
        <v>641.44000000000005</v>
      </c>
      <c r="AK2437">
        <v>641.44000000000005</v>
      </c>
      <c r="AL2437" t="str">
        <f>"$"</f>
        <v>$</v>
      </c>
    </row>
    <row r="2438" spans="1:38" x14ac:dyDescent="0.3">
      <c r="A2438" t="str">
        <f>"SO23000178"</f>
        <v>SO23000178</v>
      </c>
      <c r="B2438" t="str">
        <f>"E000390863"</f>
        <v>E000390863</v>
      </c>
      <c r="C2438" t="str">
        <f>"בוצעה"</f>
        <v>בוצעה</v>
      </c>
      <c r="E2438" s="3">
        <v>45020</v>
      </c>
      <c r="F2438" s="3">
        <v>45119</v>
      </c>
      <c r="G2438" t="str">
        <f>"700065"</f>
        <v>700065</v>
      </c>
      <c r="H2438" t="str">
        <f>"אלתא מערכות בע""מ"</f>
        <v>אלתא מערכות בע"מ</v>
      </c>
      <c r="I2438" t="str">
        <f>"רחמים זרוק"</f>
        <v>רחמים זרוק</v>
      </c>
      <c r="J2438" t="str">
        <f>"OP-AR03610"</f>
        <v>OP-AR03610</v>
      </c>
      <c r="K2438" s="1" t="str">
        <f>"3025Y431-001    HARNESS W431 - RACK 14 - BC-MTX TO BP LO"</f>
        <v>3025Y431-001    HARNESS W431 - RACK 14 - BC-MTX TO BP LO</v>
      </c>
      <c r="L2438">
        <v>3</v>
      </c>
      <c r="M2438" t="str">
        <f>"PR23000267"</f>
        <v>PR23000267</v>
      </c>
      <c r="N2438" t="str">
        <f>"E000390863"</f>
        <v>E000390863</v>
      </c>
      <c r="O2438">
        <v>395.2</v>
      </c>
      <c r="P2438" t="str">
        <f>"$"</f>
        <v>$</v>
      </c>
      <c r="Q2438" t="str">
        <f>"117"</f>
        <v>117</v>
      </c>
      <c r="R2438" t="str">
        <f>"רתמות"</f>
        <v>רתמות</v>
      </c>
      <c r="S2438" t="str">
        <f>"040"</f>
        <v>040</v>
      </c>
      <c r="T2438" t="str">
        <f>"גנם הודיה"</f>
        <v>גנם הודיה</v>
      </c>
      <c r="U2438">
        <v>0</v>
      </c>
      <c r="V2438">
        <v>0</v>
      </c>
      <c r="W2438">
        <v>395.2</v>
      </c>
      <c r="X2438" s="2">
        <v>1185.5999999999999</v>
      </c>
      <c r="Z2438" t="str">
        <f>"Y"</f>
        <v>Y</v>
      </c>
      <c r="AA2438">
        <v>0</v>
      </c>
      <c r="AC2438">
        <v>0</v>
      </c>
      <c r="AE2438">
        <v>0</v>
      </c>
      <c r="AF2438">
        <v>0</v>
      </c>
      <c r="AG2438" s="2">
        <v>1408.49</v>
      </c>
      <c r="AH2438">
        <v>0</v>
      </c>
      <c r="AI2438" s="2">
        <v>4225.4799999999996</v>
      </c>
      <c r="AJ2438" s="2">
        <v>1185.5999999999999</v>
      </c>
      <c r="AK2438" s="2">
        <v>1185.5999999999999</v>
      </c>
      <c r="AL2438" t="str">
        <f>"$"</f>
        <v>$</v>
      </c>
    </row>
    <row r="2439" spans="1:38" x14ac:dyDescent="0.3">
      <c r="A2439" t="str">
        <f>"SO23000178"</f>
        <v>SO23000178</v>
      </c>
      <c r="B2439" t="str">
        <f>"E000390863"</f>
        <v>E000390863</v>
      </c>
      <c r="C2439" t="str">
        <f>"בוצעה"</f>
        <v>בוצעה</v>
      </c>
      <c r="E2439" s="3">
        <v>45020</v>
      </c>
      <c r="F2439" s="3">
        <v>45119</v>
      </c>
      <c r="G2439" t="str">
        <f>"700065"</f>
        <v>700065</v>
      </c>
      <c r="H2439" t="str">
        <f>"אלתא מערכות בע""מ"</f>
        <v>אלתא מערכות בע"מ</v>
      </c>
      <c r="I2439" t="str">
        <f>"רחמים זרוק"</f>
        <v>רחמים זרוק</v>
      </c>
      <c r="J2439" t="str">
        <f>"OP-AR03611"</f>
        <v>OP-AR03611</v>
      </c>
      <c r="K2439" s="1" t="str">
        <f>"3025Y439-001    HARNESS W439 - RACK 14 - BC-MTX POWER CO"</f>
        <v>3025Y439-001    HARNESS W439 - RACK 14 - BC-MTX POWER CO</v>
      </c>
      <c r="L2439">
        <v>3</v>
      </c>
      <c r="M2439" t="str">
        <f>"PR23000267"</f>
        <v>PR23000267</v>
      </c>
      <c r="N2439" t="str">
        <f>"E000390863"</f>
        <v>E000390863</v>
      </c>
      <c r="O2439">
        <v>342.71</v>
      </c>
      <c r="P2439" t="str">
        <f>"$"</f>
        <v>$</v>
      </c>
      <c r="Q2439" t="str">
        <f>"117"</f>
        <v>117</v>
      </c>
      <c r="R2439" t="str">
        <f>"רתמות"</f>
        <v>רתמות</v>
      </c>
      <c r="S2439" t="str">
        <f>"040"</f>
        <v>040</v>
      </c>
      <c r="T2439" t="str">
        <f>"גנם הודיה"</f>
        <v>גנם הודיה</v>
      </c>
      <c r="U2439">
        <v>0</v>
      </c>
      <c r="V2439">
        <v>0</v>
      </c>
      <c r="W2439">
        <v>342.71</v>
      </c>
      <c r="X2439" s="2">
        <v>1028.1300000000001</v>
      </c>
      <c r="Z2439" t="str">
        <f>"Y"</f>
        <v>Y</v>
      </c>
      <c r="AA2439">
        <v>0</v>
      </c>
      <c r="AC2439">
        <v>0</v>
      </c>
      <c r="AE2439">
        <v>0</v>
      </c>
      <c r="AF2439">
        <v>0</v>
      </c>
      <c r="AG2439" s="2">
        <v>1221.42</v>
      </c>
      <c r="AH2439">
        <v>0</v>
      </c>
      <c r="AI2439" s="2">
        <v>3664.26</v>
      </c>
      <c r="AJ2439" s="2">
        <v>1028.1300000000001</v>
      </c>
      <c r="AK2439" s="2">
        <v>1028.1300000000001</v>
      </c>
      <c r="AL2439" t="str">
        <f>"$"</f>
        <v>$</v>
      </c>
    </row>
    <row r="2440" spans="1:38" x14ac:dyDescent="0.3">
      <c r="A2440" t="str">
        <f>"SO23000178"</f>
        <v>SO23000178</v>
      </c>
      <c r="B2440" t="str">
        <f>"E000390863"</f>
        <v>E000390863</v>
      </c>
      <c r="C2440" t="str">
        <f>"בוצעה"</f>
        <v>בוצעה</v>
      </c>
      <c r="E2440" s="3">
        <v>45020</v>
      </c>
      <c r="F2440" s="3">
        <v>45119</v>
      </c>
      <c r="G2440" t="str">
        <f>"700065"</f>
        <v>700065</v>
      </c>
      <c r="H2440" t="str">
        <f>"אלתא מערכות בע""מ"</f>
        <v>אלתא מערכות בע"מ</v>
      </c>
      <c r="I2440" t="str">
        <f>"רחמים זרוק"</f>
        <v>רחמים זרוק</v>
      </c>
      <c r="J2440" t="str">
        <f>"OP-AR03612"</f>
        <v>OP-AR03612</v>
      </c>
      <c r="K2440" s="1" t="str">
        <f>"3025Y440-001    GROUND CABLE W440 - RACK 14 - BC-MTX TO"</f>
        <v>3025Y440-001    GROUND CABLE W440 - RACK 14 - BC-MTX TO</v>
      </c>
      <c r="L2440">
        <v>3</v>
      </c>
      <c r="M2440" t="str">
        <f>"PR23000267"</f>
        <v>PR23000267</v>
      </c>
      <c r="N2440" t="str">
        <f>"E000390863"</f>
        <v>E000390863</v>
      </c>
      <c r="O2440">
        <v>85.2</v>
      </c>
      <c r="P2440" t="str">
        <f>"$"</f>
        <v>$</v>
      </c>
      <c r="Q2440" t="str">
        <f>"117"</f>
        <v>117</v>
      </c>
      <c r="R2440" t="str">
        <f>"רתמות"</f>
        <v>רתמות</v>
      </c>
      <c r="S2440" t="str">
        <f>"040"</f>
        <v>040</v>
      </c>
      <c r="T2440" t="str">
        <f>"גנם הודיה"</f>
        <v>גנם הודיה</v>
      </c>
      <c r="U2440">
        <v>0</v>
      </c>
      <c r="V2440">
        <v>0</v>
      </c>
      <c r="W2440">
        <v>85.2</v>
      </c>
      <c r="X2440">
        <v>255.6</v>
      </c>
      <c r="Z2440" t="str">
        <f>"Y"</f>
        <v>Y</v>
      </c>
      <c r="AA2440">
        <v>0</v>
      </c>
      <c r="AC2440">
        <v>0</v>
      </c>
      <c r="AE2440">
        <v>0</v>
      </c>
      <c r="AF2440">
        <v>0</v>
      </c>
      <c r="AG2440">
        <v>303.64999999999998</v>
      </c>
      <c r="AH2440">
        <v>0</v>
      </c>
      <c r="AI2440">
        <v>910.96</v>
      </c>
      <c r="AJ2440">
        <v>255.6</v>
      </c>
      <c r="AK2440">
        <v>255.6</v>
      </c>
      <c r="AL2440" t="str">
        <f>"$"</f>
        <v>$</v>
      </c>
    </row>
    <row r="2441" spans="1:38" x14ac:dyDescent="0.3">
      <c r="A2441" t="str">
        <f>"SO23000178"</f>
        <v>SO23000178</v>
      </c>
      <c r="B2441" t="str">
        <f>"E000390863"</f>
        <v>E000390863</v>
      </c>
      <c r="C2441" t="str">
        <f>"בוצעה"</f>
        <v>בוצעה</v>
      </c>
      <c r="E2441" s="3">
        <v>45020</v>
      </c>
      <c r="F2441" s="3">
        <v>45119</v>
      </c>
      <c r="G2441" t="str">
        <f>"700065"</f>
        <v>700065</v>
      </c>
      <c r="H2441" t="str">
        <f>"אלתא מערכות בע""מ"</f>
        <v>אלתא מערכות בע"מ</v>
      </c>
      <c r="I2441" t="str">
        <f>"רחמים זרוק"</f>
        <v>רחמים זרוק</v>
      </c>
      <c r="J2441" t="str">
        <f>"OP-AR03613"</f>
        <v>OP-AR03613</v>
      </c>
      <c r="K2441" s="1" t="str">
        <f>"3025Y441-001    HARNESS W441 - BC-MTX - BP2 RACK 14 TO B"</f>
        <v>3025Y441-001    HARNESS W441 - BC-MTX - BP2 RACK 14 TO B</v>
      </c>
      <c r="L2441">
        <v>2</v>
      </c>
      <c r="M2441" t="str">
        <f>"PR23000267"</f>
        <v>PR23000267</v>
      </c>
      <c r="N2441" t="str">
        <f>"E000390863"</f>
        <v>E000390863</v>
      </c>
      <c r="O2441">
        <v>497.83</v>
      </c>
      <c r="P2441" t="str">
        <f>"$"</f>
        <v>$</v>
      </c>
      <c r="Q2441" t="str">
        <f>"117"</f>
        <v>117</v>
      </c>
      <c r="R2441" t="str">
        <f>"רתמות"</f>
        <v>רתמות</v>
      </c>
      <c r="S2441" t="str">
        <f>"040"</f>
        <v>040</v>
      </c>
      <c r="T2441" t="str">
        <f>"גנם הודיה"</f>
        <v>גנם הודיה</v>
      </c>
      <c r="U2441">
        <v>0</v>
      </c>
      <c r="V2441">
        <v>0</v>
      </c>
      <c r="W2441">
        <v>497.83</v>
      </c>
      <c r="X2441">
        <v>995.66</v>
      </c>
      <c r="Z2441" t="str">
        <f>"Y"</f>
        <v>Y</v>
      </c>
      <c r="AA2441">
        <v>0</v>
      </c>
      <c r="AC2441">
        <v>0</v>
      </c>
      <c r="AE2441">
        <v>0</v>
      </c>
      <c r="AF2441">
        <v>0</v>
      </c>
      <c r="AG2441" s="2">
        <v>1774.27</v>
      </c>
      <c r="AH2441">
        <v>0</v>
      </c>
      <c r="AI2441" s="2">
        <v>3548.53</v>
      </c>
      <c r="AJ2441">
        <v>995.66</v>
      </c>
      <c r="AK2441">
        <v>995.66</v>
      </c>
      <c r="AL2441" t="str">
        <f>"$"</f>
        <v>$</v>
      </c>
    </row>
    <row r="2442" spans="1:38" x14ac:dyDescent="0.3">
      <c r="A2442" t="str">
        <f>"SO23000179"</f>
        <v>SO23000179</v>
      </c>
      <c r="B2442" t="str">
        <f>"E000390898"</f>
        <v>E000390898</v>
      </c>
      <c r="C2442" t="str">
        <f>"הרכבה חלקית"</f>
        <v>הרכבה חלקית</v>
      </c>
      <c r="E2442" s="3">
        <v>45020</v>
      </c>
      <c r="F2442" s="3">
        <v>45020</v>
      </c>
      <c r="G2442" t="str">
        <f>"700065"</f>
        <v>700065</v>
      </c>
      <c r="H2442" t="str">
        <f>"אלתא מערכות בע""מ"</f>
        <v>אלתא מערכות בע"מ</v>
      </c>
      <c r="I2442" t="str">
        <f>"רחמים זרוק"</f>
        <v>רחמים זרוק</v>
      </c>
      <c r="J2442" t="str">
        <f>"OP-AR03601"</f>
        <v>OP-AR03601</v>
      </c>
      <c r="K2442" s="1" t="str">
        <f>"2227B110-001    ANT SEA KING CONTROL CABLE"</f>
        <v>2227B110-001    ANT SEA KING CONTROL CABLE</v>
      </c>
      <c r="L2442">
        <v>1</v>
      </c>
      <c r="M2442" t="str">
        <f>"PR23000266"</f>
        <v>PR23000266</v>
      </c>
      <c r="N2442" t="str">
        <f>"E000390898"</f>
        <v>E000390898</v>
      </c>
      <c r="O2442" s="2">
        <v>1373.93</v>
      </c>
      <c r="P2442" t="str">
        <f>"$"</f>
        <v>$</v>
      </c>
      <c r="Q2442" t="str">
        <f>"117"</f>
        <v>117</v>
      </c>
      <c r="R2442" t="str">
        <f>"רתמות"</f>
        <v>רתמות</v>
      </c>
      <c r="S2442" t="str">
        <f>"040"</f>
        <v>040</v>
      </c>
      <c r="T2442" t="str">
        <f>"גנם הודיה"</f>
        <v>גנם הודיה</v>
      </c>
      <c r="U2442">
        <v>0</v>
      </c>
      <c r="V2442">
        <v>0</v>
      </c>
      <c r="W2442" s="2">
        <v>1373.93</v>
      </c>
      <c r="X2442" s="2">
        <v>1373.93</v>
      </c>
      <c r="Z2442" t="str">
        <f>"Y"</f>
        <v>Y</v>
      </c>
      <c r="AA2442">
        <v>0</v>
      </c>
      <c r="AC2442">
        <v>0</v>
      </c>
      <c r="AE2442">
        <v>0</v>
      </c>
      <c r="AF2442">
        <v>0</v>
      </c>
      <c r="AG2442" s="2">
        <v>4896.6899999999996</v>
      </c>
      <c r="AH2442">
        <v>0</v>
      </c>
      <c r="AI2442" s="2">
        <v>4896.6899999999996</v>
      </c>
      <c r="AJ2442" s="2">
        <v>1373.93</v>
      </c>
      <c r="AK2442" s="2">
        <v>1373.93</v>
      </c>
      <c r="AL2442" t="str">
        <f>"$"</f>
        <v>$</v>
      </c>
    </row>
    <row r="2443" spans="1:38" x14ac:dyDescent="0.3">
      <c r="A2443" t="str">
        <f>"SO23000179"</f>
        <v>SO23000179</v>
      </c>
      <c r="B2443" t="str">
        <f>"E000390898"</f>
        <v>E000390898</v>
      </c>
      <c r="C2443" t="str">
        <f>"הרכבה חלקית"</f>
        <v>הרכבה חלקית</v>
      </c>
      <c r="E2443" s="3">
        <v>45020</v>
      </c>
      <c r="F2443" s="3">
        <v>45077</v>
      </c>
      <c r="G2443" t="str">
        <f>"700065"</f>
        <v>700065</v>
      </c>
      <c r="H2443" t="str">
        <f>"אלתא מערכות בע""מ"</f>
        <v>אלתא מערכות בע"מ</v>
      </c>
      <c r="I2443" t="str">
        <f>"רחמים זרוק"</f>
        <v>רחמים זרוק</v>
      </c>
      <c r="J2443" t="str">
        <f>"OP-AR03602"</f>
        <v>OP-AR03602</v>
      </c>
      <c r="K2443" s="1" t="str">
        <f>"2227B112-001    AEEPWRW1 ANT SEA KING SUPPLY CABLE"</f>
        <v>2227B112-001    AEEPWRW1 ANT SEA KING SUPPLY CABLE</v>
      </c>
      <c r="L2443">
        <v>1</v>
      </c>
      <c r="M2443" t="str">
        <f>"PR23000266"</f>
        <v>PR23000266</v>
      </c>
      <c r="N2443" t="str">
        <f>"E000390898"</f>
        <v>E000390898</v>
      </c>
      <c r="O2443">
        <v>343.93</v>
      </c>
      <c r="P2443" t="str">
        <f>"$"</f>
        <v>$</v>
      </c>
      <c r="Q2443" t="str">
        <f>"117"</f>
        <v>117</v>
      </c>
      <c r="R2443" t="str">
        <f>"רתמות"</f>
        <v>רתמות</v>
      </c>
      <c r="S2443" t="str">
        <f>"040"</f>
        <v>040</v>
      </c>
      <c r="T2443" t="str">
        <f>"גנם הודיה"</f>
        <v>גנם הודיה</v>
      </c>
      <c r="U2443">
        <v>0</v>
      </c>
      <c r="V2443">
        <v>0</v>
      </c>
      <c r="W2443">
        <v>343.93</v>
      </c>
      <c r="X2443">
        <v>343.93</v>
      </c>
      <c r="Z2443" t="str">
        <f>"Y"</f>
        <v>Y</v>
      </c>
      <c r="AA2443">
        <v>0</v>
      </c>
      <c r="AC2443">
        <v>0</v>
      </c>
      <c r="AE2443">
        <v>0</v>
      </c>
      <c r="AF2443">
        <v>0</v>
      </c>
      <c r="AG2443" s="2">
        <v>1225.77</v>
      </c>
      <c r="AH2443">
        <v>0</v>
      </c>
      <c r="AI2443" s="2">
        <v>1225.77</v>
      </c>
      <c r="AJ2443">
        <v>343.93</v>
      </c>
      <c r="AK2443">
        <v>343.93</v>
      </c>
      <c r="AL2443" t="str">
        <f>"$"</f>
        <v>$</v>
      </c>
    </row>
    <row r="2444" spans="1:38" x14ac:dyDescent="0.3">
      <c r="A2444" t="str">
        <f>"SO23000179"</f>
        <v>SO23000179</v>
      </c>
      <c r="B2444" t="str">
        <f>"E000390898"</f>
        <v>E000390898</v>
      </c>
      <c r="C2444" t="str">
        <f>"הרכבה חלקית"</f>
        <v>הרכבה חלקית</v>
      </c>
      <c r="E2444" s="3">
        <v>45020</v>
      </c>
      <c r="F2444" s="3">
        <v>45020</v>
      </c>
      <c r="G2444" t="str">
        <f>"700065"</f>
        <v>700065</v>
      </c>
      <c r="H2444" t="str">
        <f>"אלתא מערכות בע""מ"</f>
        <v>אלתא מערכות בע"מ</v>
      </c>
      <c r="I2444" t="str">
        <f>"רחמים זרוק"</f>
        <v>רחמים זרוק</v>
      </c>
      <c r="J2444" t="str">
        <f>"OP-AR03603"</f>
        <v>OP-AR03603</v>
      </c>
      <c r="K2444" s="1" t="str">
        <f>"2227B114-001    FER SEA KING CONTROL CABLE"</f>
        <v>2227B114-001    FER SEA KING CONTROL CABLE</v>
      </c>
      <c r="L2444">
        <v>1</v>
      </c>
      <c r="M2444" t="str">
        <f>"PR23000266"</f>
        <v>PR23000266</v>
      </c>
      <c r="N2444" t="str">
        <f>"E000390898"</f>
        <v>E000390898</v>
      </c>
      <c r="O2444">
        <v>854.52</v>
      </c>
      <c r="P2444" t="str">
        <f>"$"</f>
        <v>$</v>
      </c>
      <c r="Q2444" t="str">
        <f>"117"</f>
        <v>117</v>
      </c>
      <c r="R2444" t="str">
        <f>"רתמות"</f>
        <v>רתמות</v>
      </c>
      <c r="S2444" t="str">
        <f>"040"</f>
        <v>040</v>
      </c>
      <c r="T2444" t="str">
        <f>"גנם הודיה"</f>
        <v>גנם הודיה</v>
      </c>
      <c r="U2444">
        <v>0</v>
      </c>
      <c r="V2444">
        <v>0</v>
      </c>
      <c r="W2444">
        <v>854.52</v>
      </c>
      <c r="X2444">
        <v>854.52</v>
      </c>
      <c r="Z2444" t="str">
        <f>"Y"</f>
        <v>Y</v>
      </c>
      <c r="AA2444">
        <v>0</v>
      </c>
      <c r="AC2444">
        <v>0</v>
      </c>
      <c r="AE2444">
        <v>0</v>
      </c>
      <c r="AF2444">
        <v>0</v>
      </c>
      <c r="AG2444" s="2">
        <v>3045.51</v>
      </c>
      <c r="AH2444">
        <v>0</v>
      </c>
      <c r="AI2444" s="2">
        <v>3045.51</v>
      </c>
      <c r="AJ2444">
        <v>854.52</v>
      </c>
      <c r="AK2444">
        <v>854.52</v>
      </c>
      <c r="AL2444" t="str">
        <f>"$"</f>
        <v>$</v>
      </c>
    </row>
    <row r="2445" spans="1:38" x14ac:dyDescent="0.3">
      <c r="A2445" t="str">
        <f>"SO23000179"</f>
        <v>SO23000179</v>
      </c>
      <c r="B2445" t="str">
        <f>"E000390898"</f>
        <v>E000390898</v>
      </c>
      <c r="C2445" t="str">
        <f>"הרכבה חלקית"</f>
        <v>הרכבה חלקית</v>
      </c>
      <c r="E2445" s="3">
        <v>45020</v>
      </c>
      <c r="F2445" s="3">
        <v>45020</v>
      </c>
      <c r="G2445" t="str">
        <f>"700065"</f>
        <v>700065</v>
      </c>
      <c r="H2445" t="str">
        <f>"אלתא מערכות בע""מ"</f>
        <v>אלתא מערכות בע"מ</v>
      </c>
      <c r="I2445" t="str">
        <f>"רחמים זרוק"</f>
        <v>רחמים זרוק</v>
      </c>
      <c r="J2445" t="str">
        <f>"OP-AR03604"</f>
        <v>OP-AR03604</v>
      </c>
      <c r="K2445" s="1" t="str">
        <f>"2227B116-001    ANT SEA KING OHMIC TEST MOTORS"</f>
        <v>2227B116-001    ANT SEA KING OHMIC TEST MOTORS</v>
      </c>
      <c r="L2445">
        <v>1</v>
      </c>
      <c r="M2445" t="str">
        <f>"PR23000266"</f>
        <v>PR23000266</v>
      </c>
      <c r="N2445" t="str">
        <f>"E000390898"</f>
        <v>E000390898</v>
      </c>
      <c r="O2445">
        <v>407.72</v>
      </c>
      <c r="P2445" t="str">
        <f>"$"</f>
        <v>$</v>
      </c>
      <c r="Q2445" t="str">
        <f>"117"</f>
        <v>117</v>
      </c>
      <c r="R2445" t="str">
        <f>"רתמות"</f>
        <v>רתמות</v>
      </c>
      <c r="S2445" t="str">
        <f>"040"</f>
        <v>040</v>
      </c>
      <c r="T2445" t="str">
        <f>"גנם הודיה"</f>
        <v>גנם הודיה</v>
      </c>
      <c r="U2445">
        <v>0</v>
      </c>
      <c r="V2445">
        <v>0</v>
      </c>
      <c r="W2445">
        <v>407.72</v>
      </c>
      <c r="X2445">
        <v>407.72</v>
      </c>
      <c r="Z2445" t="str">
        <f>"Y"</f>
        <v>Y</v>
      </c>
      <c r="AA2445">
        <v>0</v>
      </c>
      <c r="AC2445">
        <v>0</v>
      </c>
      <c r="AE2445">
        <v>0</v>
      </c>
      <c r="AF2445">
        <v>0</v>
      </c>
      <c r="AG2445" s="2">
        <v>1453.11</v>
      </c>
      <c r="AH2445">
        <v>0</v>
      </c>
      <c r="AI2445" s="2">
        <v>1453.11</v>
      </c>
      <c r="AJ2445">
        <v>407.72</v>
      </c>
      <c r="AK2445">
        <v>407.72</v>
      </c>
      <c r="AL2445" t="str">
        <f>"$"</f>
        <v>$</v>
      </c>
    </row>
    <row r="2446" spans="1:38" x14ac:dyDescent="0.3">
      <c r="A2446" t="str">
        <f>"SO23000179"</f>
        <v>SO23000179</v>
      </c>
      <c r="B2446" t="str">
        <f>"E000390898"</f>
        <v>E000390898</v>
      </c>
      <c r="C2446" t="str">
        <f>"הרכבה חלקית"</f>
        <v>הרכבה חלקית</v>
      </c>
      <c r="E2446" s="3">
        <v>45020</v>
      </c>
      <c r="F2446" s="3">
        <v>45020</v>
      </c>
      <c r="G2446" t="str">
        <f>"700065"</f>
        <v>700065</v>
      </c>
      <c r="H2446" t="str">
        <f>"אלתא מערכות בע""מ"</f>
        <v>אלתא מערכות בע"מ</v>
      </c>
      <c r="I2446" t="str">
        <f>"רחמים זרוק"</f>
        <v>רחמים זרוק</v>
      </c>
      <c r="J2446" t="str">
        <f>"OP-AR03605"</f>
        <v>OP-AR03605</v>
      </c>
      <c r="K2446" s="1" t="str">
        <f>"2227B118-001    ANT SEA KING OHMIC TEST RESOLVERS"</f>
        <v>2227B118-001    ANT SEA KING OHMIC TEST RESOLVERS</v>
      </c>
      <c r="L2446">
        <v>1</v>
      </c>
      <c r="M2446" t="str">
        <f>"PR23000266"</f>
        <v>PR23000266</v>
      </c>
      <c r="N2446" t="str">
        <f>"E000390898"</f>
        <v>E000390898</v>
      </c>
      <c r="O2446">
        <v>424.19</v>
      </c>
      <c r="P2446" t="str">
        <f>"$"</f>
        <v>$</v>
      </c>
      <c r="Q2446" t="str">
        <f>"117"</f>
        <v>117</v>
      </c>
      <c r="R2446" t="str">
        <f>"רתמות"</f>
        <v>רתמות</v>
      </c>
      <c r="S2446" t="str">
        <f>"040"</f>
        <v>040</v>
      </c>
      <c r="T2446" t="str">
        <f>"גנם הודיה"</f>
        <v>גנם הודיה</v>
      </c>
      <c r="U2446">
        <v>0</v>
      </c>
      <c r="V2446">
        <v>0</v>
      </c>
      <c r="W2446">
        <v>424.19</v>
      </c>
      <c r="X2446">
        <v>424.19</v>
      </c>
      <c r="Z2446" t="str">
        <f>"Y"</f>
        <v>Y</v>
      </c>
      <c r="AA2446">
        <v>0</v>
      </c>
      <c r="AC2446">
        <v>0</v>
      </c>
      <c r="AE2446">
        <v>0</v>
      </c>
      <c r="AF2446">
        <v>0</v>
      </c>
      <c r="AG2446" s="2">
        <v>1511.81</v>
      </c>
      <c r="AH2446">
        <v>0</v>
      </c>
      <c r="AI2446" s="2">
        <v>1511.81</v>
      </c>
      <c r="AJ2446">
        <v>424.19</v>
      </c>
      <c r="AK2446">
        <v>424.19</v>
      </c>
      <c r="AL2446" t="str">
        <f>"$"</f>
        <v>$</v>
      </c>
    </row>
    <row r="2447" spans="1:38" x14ac:dyDescent="0.3">
      <c r="A2447" t="str">
        <f>"SO23000179"</f>
        <v>SO23000179</v>
      </c>
      <c r="B2447" t="str">
        <f>"E000390898"</f>
        <v>E000390898</v>
      </c>
      <c r="C2447" t="str">
        <f>"הרכבה חלקית"</f>
        <v>הרכבה חלקית</v>
      </c>
      <c r="E2447" s="3">
        <v>45020</v>
      </c>
      <c r="F2447" s="3">
        <v>45020</v>
      </c>
      <c r="G2447" t="str">
        <f>"700065"</f>
        <v>700065</v>
      </c>
      <c r="H2447" t="str">
        <f>"אלתא מערכות בע""מ"</f>
        <v>אלתא מערכות בע"מ</v>
      </c>
      <c r="I2447" t="str">
        <f>"רחמים זרוק"</f>
        <v>רחמים זרוק</v>
      </c>
      <c r="J2447" t="str">
        <f>"OP-AR03606"</f>
        <v>OP-AR03606</v>
      </c>
      <c r="K2447" s="1" t="str">
        <f>"2227B122-001    ANT SEA KING MOTORS CABLE"</f>
        <v>2227B122-001    ANT SEA KING MOTORS CABLE</v>
      </c>
      <c r="L2447">
        <v>1</v>
      </c>
      <c r="M2447" t="str">
        <f>"PR23000266"</f>
        <v>PR23000266</v>
      </c>
      <c r="N2447" t="str">
        <f>"E000390898"</f>
        <v>E000390898</v>
      </c>
      <c r="O2447">
        <v>341.28</v>
      </c>
      <c r="P2447" t="str">
        <f>"$"</f>
        <v>$</v>
      </c>
      <c r="Q2447" t="str">
        <f>"117"</f>
        <v>117</v>
      </c>
      <c r="R2447" t="str">
        <f>"רתמות"</f>
        <v>רתמות</v>
      </c>
      <c r="S2447" t="str">
        <f>"040"</f>
        <v>040</v>
      </c>
      <c r="T2447" t="str">
        <f>"גנם הודיה"</f>
        <v>גנם הודיה</v>
      </c>
      <c r="U2447">
        <v>0</v>
      </c>
      <c r="V2447">
        <v>0</v>
      </c>
      <c r="W2447">
        <v>341.28</v>
      </c>
      <c r="X2447">
        <v>341.28</v>
      </c>
      <c r="Z2447" t="str">
        <f>"Y"</f>
        <v>Y</v>
      </c>
      <c r="AA2447">
        <v>0</v>
      </c>
      <c r="AC2447">
        <v>0</v>
      </c>
      <c r="AE2447">
        <v>0</v>
      </c>
      <c r="AF2447">
        <v>0</v>
      </c>
      <c r="AG2447" s="2">
        <v>1216.32</v>
      </c>
      <c r="AH2447">
        <v>0</v>
      </c>
      <c r="AI2447" s="2">
        <v>1216.32</v>
      </c>
      <c r="AJ2447">
        <v>341.28</v>
      </c>
      <c r="AK2447">
        <v>341.28</v>
      </c>
      <c r="AL2447" t="str">
        <f>"$"</f>
        <v>$</v>
      </c>
    </row>
    <row r="2448" spans="1:38" x14ac:dyDescent="0.3">
      <c r="A2448" t="str">
        <f>"SO23000179"</f>
        <v>SO23000179</v>
      </c>
      <c r="B2448" t="str">
        <f>"E000390898"</f>
        <v>E000390898</v>
      </c>
      <c r="C2448" t="str">
        <f>"הרכבה חלקית"</f>
        <v>הרכבה חלקית</v>
      </c>
      <c r="E2448" s="3">
        <v>45020</v>
      </c>
      <c r="F2448" s="3">
        <v>45077</v>
      </c>
      <c r="G2448" t="str">
        <f>"700065"</f>
        <v>700065</v>
      </c>
      <c r="H2448" t="str">
        <f>"אלתא מערכות בע""מ"</f>
        <v>אלתא מערכות בע"מ</v>
      </c>
      <c r="I2448" t="str">
        <f>"רחמים זרוק"</f>
        <v>רחמים זרוק</v>
      </c>
      <c r="J2448" t="str">
        <f>"OP-AR03607"</f>
        <v>OP-AR03607</v>
      </c>
      <c r="K2448" s="1" t="str">
        <f>"2227B158-001    FEX KA28 ADAPTOR CABLE"</f>
        <v>2227B158-001    FEX KA28 ADAPTOR CABLE</v>
      </c>
      <c r="L2448">
        <v>1</v>
      </c>
      <c r="M2448" t="str">
        <f>"PR23000266"</f>
        <v>PR23000266</v>
      </c>
      <c r="N2448" t="str">
        <f>"E000390898"</f>
        <v>E000390898</v>
      </c>
      <c r="O2448">
        <v>318.19</v>
      </c>
      <c r="P2448" t="str">
        <f>"$"</f>
        <v>$</v>
      </c>
      <c r="Q2448" t="str">
        <f>"117"</f>
        <v>117</v>
      </c>
      <c r="R2448" t="str">
        <f>"רתמות"</f>
        <v>רתמות</v>
      </c>
      <c r="S2448" t="str">
        <f>"040"</f>
        <v>040</v>
      </c>
      <c r="T2448" t="str">
        <f>"גנם הודיה"</f>
        <v>גנם הודיה</v>
      </c>
      <c r="U2448">
        <v>0</v>
      </c>
      <c r="V2448">
        <v>0</v>
      </c>
      <c r="W2448">
        <v>318.19</v>
      </c>
      <c r="X2448">
        <v>318.19</v>
      </c>
      <c r="Z2448" t="str">
        <f>"Y"</f>
        <v>Y</v>
      </c>
      <c r="AA2448">
        <v>0</v>
      </c>
      <c r="AC2448">
        <v>0</v>
      </c>
      <c r="AE2448">
        <v>0</v>
      </c>
      <c r="AF2448">
        <v>0</v>
      </c>
      <c r="AG2448" s="2">
        <v>1134.03</v>
      </c>
      <c r="AH2448">
        <v>0</v>
      </c>
      <c r="AI2448" s="2">
        <v>1134.03</v>
      </c>
      <c r="AJ2448">
        <v>318.19</v>
      </c>
      <c r="AK2448">
        <v>318.19</v>
      </c>
      <c r="AL2448" t="str">
        <f>"$"</f>
        <v>$</v>
      </c>
    </row>
    <row r="2449" spans="1:38" x14ac:dyDescent="0.3">
      <c r="A2449" t="str">
        <f>"SO23000181"</f>
        <v>SO23000181</v>
      </c>
      <c r="B2449" t="str">
        <f>"E000390357"</f>
        <v>E000390357</v>
      </c>
      <c r="C2449" t="str">
        <f>"הרכבה חלקית"</f>
        <v>הרכבה חלקית</v>
      </c>
      <c r="E2449" s="3">
        <v>45032</v>
      </c>
      <c r="F2449" s="3">
        <v>45040</v>
      </c>
      <c r="G2449" t="str">
        <f>"700065"</f>
        <v>700065</v>
      </c>
      <c r="H2449" t="str">
        <f>"אלתא מערכות בע""מ"</f>
        <v>אלתא מערכות בע"מ</v>
      </c>
      <c r="I2449" t="str">
        <f>"רוני דידי"</f>
        <v>רוני דידי</v>
      </c>
      <c r="J2449" t="str">
        <f>"OP-ML00231"</f>
        <v>OP-ML00231</v>
      </c>
      <c r="K2449" s="1" t="str">
        <f>"BBD-24-40 24VDC 40A UPS WITH BATT 2U DRAWER"</f>
        <v>BBD-24-40 24VDC 40A UPS WITH BATT 2U DRAWER</v>
      </c>
      <c r="L2449">
        <v>8</v>
      </c>
      <c r="M2449" t="str">
        <f>"PR23000270"</f>
        <v>PR23000270</v>
      </c>
      <c r="N2449" t="str">
        <f>"BBD-24-40 24VDC 40A UPS"</f>
        <v>BBD-24-40 24VDC 40A UPS</v>
      </c>
      <c r="O2449" s="2">
        <v>4350</v>
      </c>
      <c r="P2449" t="str">
        <f>"$"</f>
        <v>$</v>
      </c>
      <c r="Q2449" t="str">
        <f>"112"</f>
        <v>112</v>
      </c>
      <c r="R2449" t="str">
        <f>"תיקון תקלות"</f>
        <v>תיקון תקלות</v>
      </c>
      <c r="S2449" t="str">
        <f>"007"</f>
        <v>007</v>
      </c>
      <c r="T2449" t="str">
        <f>"גנם הודיה"</f>
        <v>גנם הודיה</v>
      </c>
      <c r="U2449">
        <v>0</v>
      </c>
      <c r="V2449">
        <v>0</v>
      </c>
      <c r="W2449" s="2">
        <v>4350</v>
      </c>
      <c r="X2449" s="2">
        <v>34800</v>
      </c>
      <c r="AA2449">
        <v>6</v>
      </c>
      <c r="AC2449">
        <v>0</v>
      </c>
      <c r="AE2449">
        <v>0</v>
      </c>
      <c r="AF2449">
        <v>0</v>
      </c>
      <c r="AG2449" s="2">
        <v>15925.35</v>
      </c>
      <c r="AH2449">
        <v>0</v>
      </c>
      <c r="AI2449" s="2">
        <v>127402.8</v>
      </c>
      <c r="AJ2449" s="2">
        <v>34800</v>
      </c>
      <c r="AK2449" s="2">
        <v>34800</v>
      </c>
      <c r="AL2449" t="str">
        <f>"$"</f>
        <v>$</v>
      </c>
    </row>
    <row r="2450" spans="1:38" x14ac:dyDescent="0.3">
      <c r="A2450" t="str">
        <f>"SO23000182"</f>
        <v>SO23000182</v>
      </c>
      <c r="B2450" t="str">
        <f>"E000370029"</f>
        <v>E000370029</v>
      </c>
      <c r="C2450" t="str">
        <f>"מאושרת לבצוע"</f>
        <v>מאושרת לבצוע</v>
      </c>
      <c r="E2450" s="3">
        <v>45032</v>
      </c>
      <c r="F2450" s="3">
        <v>45290</v>
      </c>
      <c r="G2450" t="str">
        <f>"700065"</f>
        <v>700065</v>
      </c>
      <c r="H2450" t="str">
        <f>"אלתא מערכות בע""מ"</f>
        <v>אלתא מערכות בע"מ</v>
      </c>
      <c r="I2450" t="str">
        <f>"רוני דידי"</f>
        <v>רוני דידי</v>
      </c>
      <c r="J2450" t="str">
        <f>"cust001426"</f>
        <v>cust001426</v>
      </c>
      <c r="K2450" s="1" t="str">
        <f>"1037C500-001 ELTA"</f>
        <v>1037C500-001 ELTA</v>
      </c>
      <c r="L2450">
        <v>1</v>
      </c>
      <c r="M2450" t="str">
        <f>"PR23000176"</f>
        <v>PR23000176</v>
      </c>
      <c r="N2450" t="str">
        <f>"תיקון ספינות 112+113 6/07..."</f>
        <v>תיקון ספינות 112+113 6/07...</v>
      </c>
      <c r="O2450">
        <v>0</v>
      </c>
      <c r="P2450" t="str">
        <f>"$"</f>
        <v>$</v>
      </c>
      <c r="Q2450" t="str">
        <f>"111"</f>
        <v>111</v>
      </c>
      <c r="R2450" t="str">
        <f>"מכירה"</f>
        <v>מכירה</v>
      </c>
      <c r="S2450" t="str">
        <f>"007"</f>
        <v>007</v>
      </c>
      <c r="T2450" t="str">
        <f>"גנם הודיה"</f>
        <v>גנם הודיה</v>
      </c>
      <c r="U2450">
        <v>0</v>
      </c>
      <c r="V2450">
        <v>0</v>
      </c>
      <c r="W2450">
        <v>0</v>
      </c>
      <c r="X2450">
        <v>0</v>
      </c>
      <c r="AA2450">
        <v>1</v>
      </c>
      <c r="AC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 t="str">
        <f>"$"</f>
        <v>$</v>
      </c>
    </row>
    <row r="2451" spans="1:38" x14ac:dyDescent="0.3">
      <c r="A2451" t="str">
        <f>"SO23000182"</f>
        <v>SO23000182</v>
      </c>
      <c r="B2451" t="str">
        <f>"E000370029"</f>
        <v>E000370029</v>
      </c>
      <c r="C2451" t="str">
        <f>"מאושרת לבצוע"</f>
        <v>מאושרת לבצוע</v>
      </c>
      <c r="E2451" s="3">
        <v>45032</v>
      </c>
      <c r="F2451" s="3">
        <v>45290</v>
      </c>
      <c r="G2451" t="str">
        <f>"700065"</f>
        <v>700065</v>
      </c>
      <c r="H2451" t="str">
        <f>"אלתא מערכות בע""מ"</f>
        <v>אלתא מערכות בע"מ</v>
      </c>
      <c r="I2451" t="str">
        <f>"רוני דידי"</f>
        <v>רוני דידי</v>
      </c>
      <c r="J2451" t="str">
        <f>"cust001426"</f>
        <v>cust001426</v>
      </c>
      <c r="K2451" s="1" t="str">
        <f>"1037C500-001 ELTA"</f>
        <v>1037C500-001 ELTA</v>
      </c>
      <c r="L2451">
        <v>1</v>
      </c>
      <c r="M2451" t="str">
        <f>"PR23000176"</f>
        <v>PR23000176</v>
      </c>
      <c r="N2451" t="str">
        <f>"תיקון ספינות 112+113 6/07..."</f>
        <v>תיקון ספינות 112+113 6/07...</v>
      </c>
      <c r="O2451" s="2">
        <v>32737</v>
      </c>
      <c r="P2451" t="str">
        <f>"$"</f>
        <v>$</v>
      </c>
      <c r="Q2451" t="str">
        <f>"111"</f>
        <v>111</v>
      </c>
      <c r="R2451" t="str">
        <f>"מכירה"</f>
        <v>מכירה</v>
      </c>
      <c r="S2451" t="str">
        <f>"007"</f>
        <v>007</v>
      </c>
      <c r="T2451" t="str">
        <f>"גנם הודיה"</f>
        <v>גנם הודיה</v>
      </c>
      <c r="U2451">
        <v>0</v>
      </c>
      <c r="V2451">
        <v>0</v>
      </c>
      <c r="W2451" s="2">
        <v>32737</v>
      </c>
      <c r="X2451" s="2">
        <v>32737</v>
      </c>
      <c r="AA2451">
        <v>1</v>
      </c>
      <c r="AC2451">
        <v>0</v>
      </c>
      <c r="AE2451">
        <v>0</v>
      </c>
      <c r="AF2451">
        <v>0</v>
      </c>
      <c r="AG2451" s="2">
        <v>119850.16</v>
      </c>
      <c r="AH2451">
        <v>0</v>
      </c>
      <c r="AI2451" s="2">
        <v>119850.16</v>
      </c>
      <c r="AJ2451" s="2">
        <v>32737</v>
      </c>
      <c r="AK2451" s="2">
        <v>32737</v>
      </c>
      <c r="AL2451" t="str">
        <f>"$"</f>
        <v>$</v>
      </c>
    </row>
    <row r="2452" spans="1:38" x14ac:dyDescent="0.3">
      <c r="A2452" t="str">
        <f>"SO23000182"</f>
        <v>SO23000182</v>
      </c>
      <c r="B2452" t="str">
        <f>"E000370029"</f>
        <v>E000370029</v>
      </c>
      <c r="C2452" t="str">
        <f>"מאושרת לבצוע"</f>
        <v>מאושרת לבצוע</v>
      </c>
      <c r="E2452" s="3">
        <v>45032</v>
      </c>
      <c r="F2452" s="3">
        <v>45290</v>
      </c>
      <c r="G2452" t="str">
        <f>"700065"</f>
        <v>700065</v>
      </c>
      <c r="H2452" t="str">
        <f>"אלתא מערכות בע""מ"</f>
        <v>אלתא מערכות בע"מ</v>
      </c>
      <c r="I2452" t="str">
        <f>"רוני דידי"</f>
        <v>רוני דידי</v>
      </c>
      <c r="J2452" t="str">
        <f>"cust001159"</f>
        <v>cust001159</v>
      </c>
      <c r="K2452" s="1" t="str">
        <f>"ISOLATION TRANSFORMER UNIT 200KVA אלתא"</f>
        <v>ISOLATION TRANSFORMER UNIT 200KVA אלתא</v>
      </c>
      <c r="L2452">
        <v>1</v>
      </c>
      <c r="M2452" t="str">
        <f>"PR23000685"</f>
        <v>PR23000685</v>
      </c>
      <c r="N2452" t="str">
        <f>"תיקון 2 שנאים KVA200"</f>
        <v>תיקון 2 שנאים KVA200</v>
      </c>
      <c r="O2452" s="2">
        <v>6850</v>
      </c>
      <c r="P2452" t="str">
        <f>"$"</f>
        <v>$</v>
      </c>
      <c r="Q2452" t="str">
        <f>"111"</f>
        <v>111</v>
      </c>
      <c r="R2452" t="str">
        <f>"מכירה"</f>
        <v>מכירה</v>
      </c>
      <c r="S2452" t="str">
        <f>"007"</f>
        <v>007</v>
      </c>
      <c r="T2452" t="str">
        <f>"גנם הודיה"</f>
        <v>גנם הודיה</v>
      </c>
      <c r="U2452">
        <v>0</v>
      </c>
      <c r="V2452">
        <v>0</v>
      </c>
      <c r="W2452" s="2">
        <v>6850</v>
      </c>
      <c r="X2452" s="2">
        <v>6850</v>
      </c>
      <c r="AA2452">
        <v>1</v>
      </c>
      <c r="AC2452">
        <v>0</v>
      </c>
      <c r="AE2452">
        <v>0</v>
      </c>
      <c r="AF2452">
        <v>0</v>
      </c>
      <c r="AG2452" s="2">
        <v>25077.85</v>
      </c>
      <c r="AH2452">
        <v>0</v>
      </c>
      <c r="AI2452" s="2">
        <v>25077.85</v>
      </c>
      <c r="AJ2452" s="2">
        <v>6850</v>
      </c>
      <c r="AK2452" s="2">
        <v>6850</v>
      </c>
      <c r="AL2452" t="str">
        <f>"$"</f>
        <v>$</v>
      </c>
    </row>
    <row r="2453" spans="1:38" x14ac:dyDescent="0.3">
      <c r="A2453" t="str">
        <f>"SO23000182"</f>
        <v>SO23000182</v>
      </c>
      <c r="B2453" t="str">
        <f>"E000370029"</f>
        <v>E000370029</v>
      </c>
      <c r="C2453" t="str">
        <f>"מאושרת לבצוע"</f>
        <v>מאושרת לבצוע</v>
      </c>
      <c r="E2453" s="3">
        <v>45032</v>
      </c>
      <c r="F2453" s="3">
        <v>45290</v>
      </c>
      <c r="G2453" t="str">
        <f>"700065"</f>
        <v>700065</v>
      </c>
      <c r="H2453" t="str">
        <f>"אלתא מערכות בע""מ"</f>
        <v>אלתא מערכות בע"מ</v>
      </c>
      <c r="I2453" t="str">
        <f>"רוני דידי"</f>
        <v>רוני דידי</v>
      </c>
      <c r="J2453" t="str">
        <f>"cust001159"</f>
        <v>cust001159</v>
      </c>
      <c r="K2453" s="1" t="str">
        <f>"ISOLATION TRANSFORMER UNIT 200KVA אלתא"</f>
        <v>ISOLATION TRANSFORMER UNIT 200KVA אלתא</v>
      </c>
      <c r="L2453">
        <v>1</v>
      </c>
      <c r="M2453" t="str">
        <f>"PR23000685"</f>
        <v>PR23000685</v>
      </c>
      <c r="N2453" t="str">
        <f>"תיקון 2 שנאים KVA200"</f>
        <v>תיקון 2 שנאים KVA200</v>
      </c>
      <c r="O2453" s="2">
        <v>6850</v>
      </c>
      <c r="P2453" t="str">
        <f>"$"</f>
        <v>$</v>
      </c>
      <c r="Q2453" t="str">
        <f>"111"</f>
        <v>111</v>
      </c>
      <c r="R2453" t="str">
        <f>"מכירה"</f>
        <v>מכירה</v>
      </c>
      <c r="S2453" t="str">
        <f>"007"</f>
        <v>007</v>
      </c>
      <c r="T2453" t="str">
        <f>"גנם הודיה"</f>
        <v>גנם הודיה</v>
      </c>
      <c r="U2453">
        <v>0</v>
      </c>
      <c r="V2453">
        <v>0</v>
      </c>
      <c r="W2453" s="2">
        <v>6850</v>
      </c>
      <c r="X2453" s="2">
        <v>6850</v>
      </c>
      <c r="AA2453">
        <v>1</v>
      </c>
      <c r="AC2453">
        <v>0</v>
      </c>
      <c r="AE2453">
        <v>0</v>
      </c>
      <c r="AF2453">
        <v>0</v>
      </c>
      <c r="AG2453" s="2">
        <v>25077.85</v>
      </c>
      <c r="AH2453">
        <v>0</v>
      </c>
      <c r="AI2453" s="2">
        <v>25077.85</v>
      </c>
      <c r="AJ2453" s="2">
        <v>6850</v>
      </c>
      <c r="AK2453" s="2">
        <v>6850</v>
      </c>
      <c r="AL2453" t="str">
        <f>"$"</f>
        <v>$</v>
      </c>
    </row>
    <row r="2454" spans="1:38" x14ac:dyDescent="0.3">
      <c r="A2454" t="str">
        <f>"SO23000182"</f>
        <v>SO23000182</v>
      </c>
      <c r="B2454" t="str">
        <f>"E000370029"</f>
        <v>E000370029</v>
      </c>
      <c r="C2454" t="str">
        <f>"מאושרת לבצוע"</f>
        <v>מאושרת לבצוע</v>
      </c>
      <c r="E2454" s="3">
        <v>45032</v>
      </c>
      <c r="F2454" s="3">
        <v>45290</v>
      </c>
      <c r="G2454" t="str">
        <f>"700065"</f>
        <v>700065</v>
      </c>
      <c r="H2454" t="str">
        <f>"אלתא מערכות בע""מ"</f>
        <v>אלתא מערכות בע"מ</v>
      </c>
      <c r="I2454" t="str">
        <f>"רוני דידי"</f>
        <v>רוני דידי</v>
      </c>
      <c r="J2454" t="str">
        <f>"cust001160"</f>
        <v>cust001160</v>
      </c>
      <c r="K2454" s="1" t="str">
        <f>"ISOLATION TRANSFORMER UNIT 70KVA אלתא"</f>
        <v>ISOLATION TRANSFORMER UNIT 70KVA אלתא</v>
      </c>
      <c r="L2454">
        <v>1</v>
      </c>
      <c r="M2454" t="str">
        <f>"PR23000686"</f>
        <v>PR23000686</v>
      </c>
      <c r="N2454" t="str">
        <f>"תיקון שנאי ..70KVA .."</f>
        <v>תיקון שנאי ..70KVA ..</v>
      </c>
      <c r="O2454" s="2">
        <v>4400</v>
      </c>
      <c r="P2454" t="str">
        <f>"$"</f>
        <v>$</v>
      </c>
      <c r="Q2454" t="str">
        <f>"111"</f>
        <v>111</v>
      </c>
      <c r="R2454" t="str">
        <f>"מכירה"</f>
        <v>מכירה</v>
      </c>
      <c r="S2454" t="str">
        <f>"007"</f>
        <v>007</v>
      </c>
      <c r="T2454" t="str">
        <f>"גנם הודיה"</f>
        <v>גנם הודיה</v>
      </c>
      <c r="U2454">
        <v>0</v>
      </c>
      <c r="V2454">
        <v>0</v>
      </c>
      <c r="W2454" s="2">
        <v>4400</v>
      </c>
      <c r="X2454" s="2">
        <v>4400</v>
      </c>
      <c r="AA2454">
        <v>1</v>
      </c>
      <c r="AC2454">
        <v>0</v>
      </c>
      <c r="AE2454">
        <v>0</v>
      </c>
      <c r="AF2454">
        <v>0</v>
      </c>
      <c r="AG2454" s="2">
        <v>16108.4</v>
      </c>
      <c r="AH2454">
        <v>0</v>
      </c>
      <c r="AI2454" s="2">
        <v>16108.4</v>
      </c>
      <c r="AJ2454" s="2">
        <v>4400</v>
      </c>
      <c r="AK2454" s="2">
        <v>4400</v>
      </c>
      <c r="AL2454" t="str">
        <f>"$"</f>
        <v>$</v>
      </c>
    </row>
    <row r="2455" spans="1:38" x14ac:dyDescent="0.3">
      <c r="A2455" t="str">
        <f>"SO23000182"</f>
        <v>SO23000182</v>
      </c>
      <c r="B2455" t="str">
        <f>"E000370029"</f>
        <v>E000370029</v>
      </c>
      <c r="C2455" t="str">
        <f>"מאושרת לבצוע"</f>
        <v>מאושרת לבצוע</v>
      </c>
      <c r="E2455" s="3">
        <v>45032</v>
      </c>
      <c r="F2455" s="3">
        <v>45290</v>
      </c>
      <c r="G2455" t="str">
        <f>"700065"</f>
        <v>700065</v>
      </c>
      <c r="H2455" t="str">
        <f>"אלתא מערכות בע""מ"</f>
        <v>אלתא מערכות בע"מ</v>
      </c>
      <c r="I2455" t="str">
        <f>"רוני דידי"</f>
        <v>רוני דידי</v>
      </c>
      <c r="J2455" t="str">
        <f>"cust001782"</f>
        <v>cust001782</v>
      </c>
      <c r="K2455" s="1" t="str">
        <f>"ELTA POWER DISTRIBUTION BOARD 09-SOCD"</f>
        <v>ELTA POWER DISTRIBUTION BOARD 09-SOCD</v>
      </c>
      <c r="L2455">
        <v>1</v>
      </c>
      <c r="M2455" t="str">
        <f>"PR23000687"</f>
        <v>PR23000687</v>
      </c>
      <c r="N2455" t="str">
        <f>"תיקון לוח 09 ספינות.."</f>
        <v>תיקון לוח 09 ספינות..</v>
      </c>
      <c r="O2455">
        <v>0</v>
      </c>
      <c r="P2455" t="str">
        <f>"$"</f>
        <v>$</v>
      </c>
      <c r="Q2455" t="str">
        <f>"111"</f>
        <v>111</v>
      </c>
      <c r="R2455" t="str">
        <f>"מכירה"</f>
        <v>מכירה</v>
      </c>
      <c r="S2455" t="str">
        <f>"007"</f>
        <v>007</v>
      </c>
      <c r="T2455" t="str">
        <f>"גנם הודיה"</f>
        <v>גנם הודיה</v>
      </c>
      <c r="U2455">
        <v>0</v>
      </c>
      <c r="V2455">
        <v>0</v>
      </c>
      <c r="W2455">
        <v>0</v>
      </c>
      <c r="X2455">
        <v>0</v>
      </c>
      <c r="AA2455">
        <v>1</v>
      </c>
      <c r="AC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 t="str">
        <f>"$"</f>
        <v>$</v>
      </c>
    </row>
    <row r="2456" spans="1:38" x14ac:dyDescent="0.3">
      <c r="A2456" t="str">
        <f>"SO23000183"</f>
        <v>SO23000183</v>
      </c>
      <c r="B2456" t="str">
        <f>"E000392052"</f>
        <v>E000392052</v>
      </c>
      <c r="C2456" t="str">
        <f>"בוצעה"</f>
        <v>בוצעה</v>
      </c>
      <c r="E2456" s="3">
        <v>45033</v>
      </c>
      <c r="F2456" s="3">
        <v>45033</v>
      </c>
      <c r="G2456" t="str">
        <f>"700065"</f>
        <v>700065</v>
      </c>
      <c r="H2456" t="str">
        <f>"אלתא מערכות בע""מ"</f>
        <v>אלתא מערכות בע"מ</v>
      </c>
      <c r="I2456" t="str">
        <f>"רוני דידי"</f>
        <v>רוני דידי</v>
      </c>
      <c r="J2456" t="str">
        <f>"000"</f>
        <v>000</v>
      </c>
      <c r="K2456" s="1" t="str">
        <f>"סיוע בבחינת תקלת קצר בפלמחים"</f>
        <v>סיוע בבחינת תקלת קצר בפלמחים</v>
      </c>
      <c r="L2456">
        <v>1</v>
      </c>
      <c r="O2456">
        <v>650</v>
      </c>
      <c r="P2456" t="str">
        <f>"$"</f>
        <v>$</v>
      </c>
      <c r="Q2456" t="str">
        <f>"118"</f>
        <v>118</v>
      </c>
      <c r="R2456" t="str">
        <f>"מערכות"</f>
        <v>מערכות</v>
      </c>
      <c r="S2456" t="str">
        <f>"007"</f>
        <v>007</v>
      </c>
      <c r="T2456" t="str">
        <f>"גנם הודיה"</f>
        <v>גנם הודיה</v>
      </c>
      <c r="U2456">
        <v>0</v>
      </c>
      <c r="V2456">
        <v>0</v>
      </c>
      <c r="W2456">
        <v>650</v>
      </c>
      <c r="X2456">
        <v>650</v>
      </c>
      <c r="Z2456" t="str">
        <f>"Y"</f>
        <v>Y</v>
      </c>
      <c r="AA2456">
        <v>1</v>
      </c>
      <c r="AC2456">
        <v>0</v>
      </c>
      <c r="AE2456">
        <v>0</v>
      </c>
      <c r="AF2456">
        <v>0</v>
      </c>
      <c r="AG2456" s="2">
        <v>2370.5500000000002</v>
      </c>
      <c r="AH2456">
        <v>0</v>
      </c>
      <c r="AI2456" s="2">
        <v>2370.5500000000002</v>
      </c>
      <c r="AJ2456">
        <v>650</v>
      </c>
      <c r="AK2456">
        <v>650</v>
      </c>
      <c r="AL2456" t="str">
        <f>"$"</f>
        <v>$</v>
      </c>
    </row>
    <row r="2457" spans="1:38" x14ac:dyDescent="0.3">
      <c r="A2457" t="str">
        <f>"SO23000188"</f>
        <v>SO23000188</v>
      </c>
      <c r="B2457" t="str">
        <f>"E000392214"</f>
        <v>E000392214</v>
      </c>
      <c r="C2457" t="str">
        <f>"הרכבה חלקית"</f>
        <v>הרכבה חלקית</v>
      </c>
      <c r="E2457" s="3">
        <v>45035</v>
      </c>
      <c r="F2457" s="3">
        <v>45035</v>
      </c>
      <c r="G2457" t="str">
        <f>"700065"</f>
        <v>700065</v>
      </c>
      <c r="H2457" t="str">
        <f>"אלתא מערכות בע""מ"</f>
        <v>אלתא מערכות בע"מ</v>
      </c>
      <c r="I2457" t="str">
        <f>"ערן שלו"</f>
        <v>ערן שלו</v>
      </c>
      <c r="J2457" t="str">
        <f>"OP-AR01981"</f>
        <v>OP-AR01981</v>
      </c>
      <c r="K2457" s="1" t="str">
        <f>"כבל הזנהRPU TO PDB1 1#"</f>
        <v>כבל הזנהRPU TO PDB1 1#</v>
      </c>
      <c r="L2457">
        <v>1</v>
      </c>
      <c r="M2457" t="str">
        <f>"PR23000276"</f>
        <v>PR23000276</v>
      </c>
      <c r="N2457" t="str">
        <f>"E000392214"</f>
        <v>E000392214</v>
      </c>
      <c r="O2457" s="2">
        <v>7440</v>
      </c>
      <c r="P2457" t="str">
        <f>"$"</f>
        <v>$</v>
      </c>
      <c r="Q2457" t="str">
        <f>"117"</f>
        <v>117</v>
      </c>
      <c r="R2457" t="str">
        <f>"רתמות"</f>
        <v>רתמות</v>
      </c>
      <c r="S2457" t="str">
        <f>"034"</f>
        <v>034</v>
      </c>
      <c r="T2457" t="str">
        <f>"גנם הודיה"</f>
        <v>גנם הודיה</v>
      </c>
      <c r="U2457">
        <v>0</v>
      </c>
      <c r="V2457">
        <v>0</v>
      </c>
      <c r="W2457" s="2">
        <v>7440</v>
      </c>
      <c r="X2457" s="2">
        <v>7440</v>
      </c>
      <c r="Z2457" t="str">
        <f>"Y"</f>
        <v>Y</v>
      </c>
      <c r="AA2457">
        <v>0</v>
      </c>
      <c r="AC2457">
        <v>0</v>
      </c>
      <c r="AE2457">
        <v>0</v>
      </c>
      <c r="AF2457">
        <v>0</v>
      </c>
      <c r="AG2457" s="2">
        <v>27222.959999999999</v>
      </c>
      <c r="AH2457">
        <v>0</v>
      </c>
      <c r="AI2457" s="2">
        <v>27222.959999999999</v>
      </c>
      <c r="AJ2457" s="2">
        <v>7440</v>
      </c>
      <c r="AK2457" s="2">
        <v>7440</v>
      </c>
      <c r="AL2457" t="str">
        <f>"$"</f>
        <v>$</v>
      </c>
    </row>
    <row r="2458" spans="1:38" x14ac:dyDescent="0.3">
      <c r="A2458" t="str">
        <f>"SO23000188"</f>
        <v>SO23000188</v>
      </c>
      <c r="B2458" t="str">
        <f>"E000392214"</f>
        <v>E000392214</v>
      </c>
      <c r="C2458" t="str">
        <f>"הרכבה חלקית"</f>
        <v>הרכבה חלקית</v>
      </c>
      <c r="E2458" s="3">
        <v>45035</v>
      </c>
      <c r="F2458" s="3">
        <v>45035</v>
      </c>
      <c r="G2458" t="str">
        <f>"700065"</f>
        <v>700065</v>
      </c>
      <c r="H2458" t="str">
        <f>"אלתא מערכות בע""מ"</f>
        <v>אלתא מערכות בע"מ</v>
      </c>
      <c r="I2458" t="str">
        <f>"ערן שלו"</f>
        <v>ערן שלו</v>
      </c>
      <c r="J2458" t="str">
        <f>"OP-AR02209"</f>
        <v>OP-AR02209</v>
      </c>
      <c r="K2458" s="1" t="str">
        <f>"כבל הזנהRPU TO PDB1 2#"</f>
        <v>כבל הזנהRPU TO PDB1 2#</v>
      </c>
      <c r="L2458">
        <v>1</v>
      </c>
      <c r="M2458" t="str">
        <f>"PR23000276"</f>
        <v>PR23000276</v>
      </c>
      <c r="N2458" t="str">
        <f>"E000392214"</f>
        <v>E000392214</v>
      </c>
      <c r="O2458" s="2">
        <v>7440</v>
      </c>
      <c r="P2458" t="str">
        <f>"$"</f>
        <v>$</v>
      </c>
      <c r="Q2458" t="str">
        <f>"117"</f>
        <v>117</v>
      </c>
      <c r="R2458" t="str">
        <f>"רתמות"</f>
        <v>רתמות</v>
      </c>
      <c r="S2458" t="str">
        <f>"034"</f>
        <v>034</v>
      </c>
      <c r="T2458" t="str">
        <f>"גנם הודיה"</f>
        <v>גנם הודיה</v>
      </c>
      <c r="U2458">
        <v>0</v>
      </c>
      <c r="V2458">
        <v>0</v>
      </c>
      <c r="W2458" s="2">
        <v>7440</v>
      </c>
      <c r="X2458" s="2">
        <v>7440</v>
      </c>
      <c r="Z2458" t="str">
        <f>"Y"</f>
        <v>Y</v>
      </c>
      <c r="AA2458">
        <v>0</v>
      </c>
      <c r="AC2458">
        <v>0</v>
      </c>
      <c r="AE2458">
        <v>0</v>
      </c>
      <c r="AF2458">
        <v>0</v>
      </c>
      <c r="AG2458" s="2">
        <v>27222.959999999999</v>
      </c>
      <c r="AH2458">
        <v>0</v>
      </c>
      <c r="AI2458" s="2">
        <v>27222.959999999999</v>
      </c>
      <c r="AJ2458" s="2">
        <v>7440</v>
      </c>
      <c r="AK2458" s="2">
        <v>7440</v>
      </c>
      <c r="AL2458" t="str">
        <f>"$"</f>
        <v>$</v>
      </c>
    </row>
    <row r="2459" spans="1:38" x14ac:dyDescent="0.3">
      <c r="A2459" t="str">
        <f>"SO23000188"</f>
        <v>SO23000188</v>
      </c>
      <c r="B2459" t="str">
        <f>"E000392214"</f>
        <v>E000392214</v>
      </c>
      <c r="C2459" t="str">
        <f>"הרכבה חלקית"</f>
        <v>הרכבה חלקית</v>
      </c>
      <c r="E2459" s="3">
        <v>45035</v>
      </c>
      <c r="F2459" s="3">
        <v>45035</v>
      </c>
      <c r="G2459" t="str">
        <f>"700065"</f>
        <v>700065</v>
      </c>
      <c r="H2459" t="str">
        <f>"אלתא מערכות בע""מ"</f>
        <v>אלתא מערכות בע"מ</v>
      </c>
      <c r="I2459" t="str">
        <f>"ערן שלו"</f>
        <v>ערן שלו</v>
      </c>
      <c r="J2459" t="str">
        <f>"PA1001789"</f>
        <v>PA1001789</v>
      </c>
      <c r="K2459" s="1" t="str">
        <f>"GTC030R40-5S"</f>
        <v>GTC030R40-5S</v>
      </c>
      <c r="L2459">
        <v>1</v>
      </c>
      <c r="M2459" t="str">
        <f>"PR23000276"</f>
        <v>PR23000276</v>
      </c>
      <c r="N2459" t="str">
        <f>"E000392214"</f>
        <v>E000392214</v>
      </c>
      <c r="O2459" s="2">
        <v>9000</v>
      </c>
      <c r="P2459" t="str">
        <f>"$"</f>
        <v>$</v>
      </c>
      <c r="Q2459" t="str">
        <f>"117"</f>
        <v>117</v>
      </c>
      <c r="R2459" t="str">
        <f>"רתמות"</f>
        <v>רתמות</v>
      </c>
      <c r="S2459" t="str">
        <f>"034"</f>
        <v>034</v>
      </c>
      <c r="T2459" t="str">
        <f>"גנם הודיה"</f>
        <v>גנם הודיה</v>
      </c>
      <c r="U2459">
        <v>0</v>
      </c>
      <c r="V2459">
        <v>0</v>
      </c>
      <c r="W2459" s="2">
        <v>9000</v>
      </c>
      <c r="X2459" s="2">
        <v>9000</v>
      </c>
      <c r="AA2459">
        <v>1</v>
      </c>
      <c r="AC2459">
        <v>0</v>
      </c>
      <c r="AE2459">
        <v>0</v>
      </c>
      <c r="AF2459">
        <v>0</v>
      </c>
      <c r="AG2459" s="2">
        <v>32931</v>
      </c>
      <c r="AH2459">
        <v>0</v>
      </c>
      <c r="AI2459" s="2">
        <v>32931</v>
      </c>
      <c r="AJ2459" s="2">
        <v>9000</v>
      </c>
      <c r="AK2459" s="2">
        <v>9000</v>
      </c>
      <c r="AL2459" t="str">
        <f>"$"</f>
        <v>$</v>
      </c>
    </row>
    <row r="2460" spans="1:38" x14ac:dyDescent="0.3">
      <c r="A2460" t="str">
        <f>"SO23000188"</f>
        <v>SO23000188</v>
      </c>
      <c r="B2460" t="str">
        <f>"E000392214"</f>
        <v>E000392214</v>
      </c>
      <c r="C2460" t="str">
        <f>"הרכבה חלקית"</f>
        <v>הרכבה חלקית</v>
      </c>
      <c r="E2460" s="3">
        <v>45035</v>
      </c>
      <c r="F2460" s="3">
        <v>45061</v>
      </c>
      <c r="G2460" t="str">
        <f>"700065"</f>
        <v>700065</v>
      </c>
      <c r="H2460" t="str">
        <f>"אלתא מערכות בע""מ"</f>
        <v>אלתא מערכות בע"מ</v>
      </c>
      <c r="I2460" t="str">
        <f>"ערן שלו"</f>
        <v>ערן שלו</v>
      </c>
      <c r="J2460" t="str">
        <f>"PA11TA2023"</f>
        <v>PA11TA2023</v>
      </c>
      <c r="K2460" s="1" t="str">
        <f>"פלג תעופתי CIR070-40A-5S-GM-F80T12"</f>
        <v>פלג תעופתי CIR070-40A-5S-GM-F80T12</v>
      </c>
      <c r="L2460">
        <v>1</v>
      </c>
      <c r="M2460" t="str">
        <f>"PR23000276"</f>
        <v>PR23000276</v>
      </c>
      <c r="N2460" t="str">
        <f>"E000392214"</f>
        <v>E000392214</v>
      </c>
      <c r="O2460">
        <v>400</v>
      </c>
      <c r="P2460" t="str">
        <f>"$"</f>
        <v>$</v>
      </c>
      <c r="Q2460" t="str">
        <f>"117"</f>
        <v>117</v>
      </c>
      <c r="R2460" t="str">
        <f>"רתמות"</f>
        <v>רתמות</v>
      </c>
      <c r="S2460" t="str">
        <f>"034"</f>
        <v>034</v>
      </c>
      <c r="T2460" t="str">
        <f>"גנם הודיה"</f>
        <v>גנם הודיה</v>
      </c>
      <c r="U2460">
        <v>0</v>
      </c>
      <c r="V2460">
        <v>0</v>
      </c>
      <c r="W2460">
        <v>400</v>
      </c>
      <c r="X2460">
        <v>400</v>
      </c>
      <c r="Z2460" t="str">
        <f>"Y"</f>
        <v>Y</v>
      </c>
      <c r="AA2460">
        <v>0</v>
      </c>
      <c r="AC2460">
        <v>0</v>
      </c>
      <c r="AE2460">
        <v>0</v>
      </c>
      <c r="AF2460">
        <v>0</v>
      </c>
      <c r="AG2460" s="2">
        <v>1463.6</v>
      </c>
      <c r="AH2460">
        <v>0</v>
      </c>
      <c r="AI2460" s="2">
        <v>1463.6</v>
      </c>
      <c r="AJ2460">
        <v>400</v>
      </c>
      <c r="AK2460">
        <v>400</v>
      </c>
      <c r="AL2460" t="str">
        <f>"$"</f>
        <v>$</v>
      </c>
    </row>
    <row r="2461" spans="1:38" x14ac:dyDescent="0.3">
      <c r="A2461" t="str">
        <f>"SO23000188"</f>
        <v>SO23000188</v>
      </c>
      <c r="B2461" t="str">
        <f>"E000392214"</f>
        <v>E000392214</v>
      </c>
      <c r="C2461" t="str">
        <f>"הרכבה חלקית"</f>
        <v>הרכבה חלקית</v>
      </c>
      <c r="E2461" s="3">
        <v>45035</v>
      </c>
      <c r="F2461" s="3">
        <v>45061</v>
      </c>
      <c r="G2461" t="str">
        <f>"700065"</f>
        <v>700065</v>
      </c>
      <c r="H2461" t="str">
        <f>"אלתא מערכות בע""מ"</f>
        <v>אלתא מערכות בע"מ</v>
      </c>
      <c r="I2461" t="str">
        <f>"ערן שלו"</f>
        <v>ערן שלו</v>
      </c>
      <c r="J2461" t="str">
        <f>"PA11TA2023"</f>
        <v>PA11TA2023</v>
      </c>
      <c r="K2461" s="1" t="str">
        <f>"פלג תעופתי CIR070-40A-5S-GM-F80T12"</f>
        <v>פלג תעופתי CIR070-40A-5S-GM-F80T12</v>
      </c>
      <c r="L2461">
        <v>1</v>
      </c>
      <c r="M2461" t="str">
        <f>"PR23000276"</f>
        <v>PR23000276</v>
      </c>
      <c r="N2461" t="str">
        <f>"E000392214"</f>
        <v>E000392214</v>
      </c>
      <c r="O2461">
        <v>400</v>
      </c>
      <c r="P2461" t="str">
        <f>"$"</f>
        <v>$</v>
      </c>
      <c r="Q2461" t="str">
        <f>"117"</f>
        <v>117</v>
      </c>
      <c r="R2461" t="str">
        <f>"רתמות"</f>
        <v>רתמות</v>
      </c>
      <c r="S2461" t="str">
        <f>"034"</f>
        <v>034</v>
      </c>
      <c r="T2461" t="str">
        <f>"גנם הודיה"</f>
        <v>גנם הודיה</v>
      </c>
      <c r="U2461">
        <v>0</v>
      </c>
      <c r="V2461">
        <v>0</v>
      </c>
      <c r="W2461">
        <v>400</v>
      </c>
      <c r="X2461">
        <v>400</v>
      </c>
      <c r="Z2461" t="str">
        <f>"Y"</f>
        <v>Y</v>
      </c>
      <c r="AA2461">
        <v>0</v>
      </c>
      <c r="AC2461">
        <v>0</v>
      </c>
      <c r="AE2461">
        <v>0</v>
      </c>
      <c r="AF2461">
        <v>0</v>
      </c>
      <c r="AG2461" s="2">
        <v>1463.6</v>
      </c>
      <c r="AH2461">
        <v>0</v>
      </c>
      <c r="AI2461" s="2">
        <v>1463.6</v>
      </c>
      <c r="AJ2461">
        <v>400</v>
      </c>
      <c r="AK2461">
        <v>400</v>
      </c>
      <c r="AL2461" t="str">
        <f>"$"</f>
        <v>$</v>
      </c>
    </row>
    <row r="2462" spans="1:38" x14ac:dyDescent="0.3">
      <c r="A2462" t="str">
        <f>"SO23000188"</f>
        <v>SO23000188</v>
      </c>
      <c r="B2462" t="str">
        <f>"E000392214"</f>
        <v>E000392214</v>
      </c>
      <c r="C2462" t="str">
        <f>"הרכבה חלקית"</f>
        <v>הרכבה חלקית</v>
      </c>
      <c r="E2462" s="3">
        <v>45035</v>
      </c>
      <c r="F2462" s="3">
        <v>45097</v>
      </c>
      <c r="G2462" t="str">
        <f>"700065"</f>
        <v>700065</v>
      </c>
      <c r="H2462" t="str">
        <f>"אלתא מערכות בע""מ"</f>
        <v>אלתא מערכות בע"מ</v>
      </c>
      <c r="I2462" t="str">
        <f>"ערן שלו"</f>
        <v>ערן שלו</v>
      </c>
      <c r="J2462" t="str">
        <f>"PA1001789"</f>
        <v>PA1001789</v>
      </c>
      <c r="K2462" s="1" t="str">
        <f>"GTC030R40-5S"</f>
        <v>GTC030R40-5S</v>
      </c>
      <c r="L2462">
        <v>50</v>
      </c>
      <c r="M2462" t="str">
        <f>"PR23000276"</f>
        <v>PR23000276</v>
      </c>
      <c r="N2462" t="str">
        <f>"E000392214"</f>
        <v>E000392214</v>
      </c>
      <c r="O2462">
        <v>0</v>
      </c>
      <c r="P2462" t="str">
        <f>"$"</f>
        <v>$</v>
      </c>
      <c r="Q2462" t="str">
        <f>"117"</f>
        <v>117</v>
      </c>
      <c r="R2462" t="str">
        <f>"רתמות"</f>
        <v>רתמות</v>
      </c>
      <c r="S2462" t="str">
        <f>"034"</f>
        <v>034</v>
      </c>
      <c r="T2462" t="str">
        <f>"גנם הודיה"</f>
        <v>גנם הודיה</v>
      </c>
      <c r="U2462">
        <v>0</v>
      </c>
      <c r="V2462">
        <v>0</v>
      </c>
      <c r="W2462">
        <v>0</v>
      </c>
      <c r="X2462">
        <v>0</v>
      </c>
      <c r="AA2462">
        <v>50</v>
      </c>
      <c r="AC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 t="str">
        <f>"$"</f>
        <v>$</v>
      </c>
    </row>
    <row r="2463" spans="1:38" x14ac:dyDescent="0.3">
      <c r="A2463" t="str">
        <f>"SO23000189"</f>
        <v>SO23000189</v>
      </c>
      <c r="B2463" t="str">
        <f>"E000392307"</f>
        <v>E000392307</v>
      </c>
      <c r="C2463" t="str">
        <f>"מאושרת לחיוב"</f>
        <v>מאושרת לחיוב</v>
      </c>
      <c r="E2463" s="3">
        <v>45035</v>
      </c>
      <c r="F2463" s="3">
        <v>45035</v>
      </c>
      <c r="G2463" t="str">
        <f>"700065"</f>
        <v>700065</v>
      </c>
      <c r="H2463" t="str">
        <f>"אלתא מערכות בע""מ"</f>
        <v>אלתא מערכות בע"מ</v>
      </c>
      <c r="I2463" t="str">
        <f>"רוני דידי"</f>
        <v>רוני דידי</v>
      </c>
      <c r="J2463" t="str">
        <f>"000"</f>
        <v>000</v>
      </c>
      <c r="K2463" s="1" t="str">
        <f>"שדרוג יח' PDB 1036V310-001"</f>
        <v>שדרוג יח' PDB 1036V310-001</v>
      </c>
      <c r="L2463">
        <v>1</v>
      </c>
      <c r="M2463" t="str">
        <f>"PR23000277"</f>
        <v>PR23000277</v>
      </c>
      <c r="N2463" t="str">
        <f>"שדרוג יח' PDB 1036V310-001"</f>
        <v>שדרוג יח' PDB 1036V310-001</v>
      </c>
      <c r="O2463" s="2">
        <v>15650</v>
      </c>
      <c r="P2463" t="str">
        <f>"$"</f>
        <v>$</v>
      </c>
      <c r="Q2463" t="str">
        <f>"112"</f>
        <v>112</v>
      </c>
      <c r="R2463" t="str">
        <f>"תיקון תקלות"</f>
        <v>תיקון תקלות</v>
      </c>
      <c r="S2463" t="str">
        <f>"007"</f>
        <v>007</v>
      </c>
      <c r="T2463" t="str">
        <f>"גנם הודיה"</f>
        <v>גנם הודיה</v>
      </c>
      <c r="U2463">
        <v>0</v>
      </c>
      <c r="V2463">
        <v>0</v>
      </c>
      <c r="W2463" s="2">
        <v>15650</v>
      </c>
      <c r="X2463" s="2">
        <v>15650</v>
      </c>
      <c r="AA2463">
        <v>1</v>
      </c>
      <c r="AC2463">
        <v>0</v>
      </c>
      <c r="AE2463">
        <v>0</v>
      </c>
      <c r="AF2463">
        <v>0</v>
      </c>
      <c r="AG2463" s="2">
        <v>57263.35</v>
      </c>
      <c r="AH2463">
        <v>0</v>
      </c>
      <c r="AI2463" s="2">
        <v>57263.35</v>
      </c>
      <c r="AJ2463" s="2">
        <v>15650</v>
      </c>
      <c r="AK2463" s="2">
        <v>15650</v>
      </c>
      <c r="AL2463" t="str">
        <f>"$"</f>
        <v>$</v>
      </c>
    </row>
    <row r="2464" spans="1:38" x14ac:dyDescent="0.3">
      <c r="A2464" t="str">
        <f>"SO23000189"</f>
        <v>SO23000189</v>
      </c>
      <c r="B2464" t="str">
        <f>"E000392307"</f>
        <v>E000392307</v>
      </c>
      <c r="C2464" t="str">
        <f>"מאושרת לחיוב"</f>
        <v>מאושרת לחיוב</v>
      </c>
      <c r="E2464" s="3">
        <v>45035</v>
      </c>
      <c r="F2464" s="3">
        <v>45035</v>
      </c>
      <c r="G2464" t="str">
        <f>"700065"</f>
        <v>700065</v>
      </c>
      <c r="H2464" t="str">
        <f>"אלתא מערכות בע""מ"</f>
        <v>אלתא מערכות בע"מ</v>
      </c>
      <c r="I2464" t="str">
        <f>"רוני דידי"</f>
        <v>רוני דידי</v>
      </c>
      <c r="J2464" t="str">
        <f>"000"</f>
        <v>000</v>
      </c>
      <c r="K2464" s="1" t="str">
        <f>"עלויות פיתוח"</f>
        <v>עלויות פיתוח</v>
      </c>
      <c r="L2464">
        <v>1</v>
      </c>
      <c r="M2464" t="str">
        <f>"PR23000277"</f>
        <v>PR23000277</v>
      </c>
      <c r="N2464" t="str">
        <f>"שדרוג יח' PDB 1036V310-001"</f>
        <v>שדרוג יח' PDB 1036V310-001</v>
      </c>
      <c r="O2464" s="2">
        <v>7840</v>
      </c>
      <c r="P2464" t="str">
        <f>"$"</f>
        <v>$</v>
      </c>
      <c r="Q2464" t="str">
        <f>"112"</f>
        <v>112</v>
      </c>
      <c r="R2464" t="str">
        <f>"תיקון תקלות"</f>
        <v>תיקון תקלות</v>
      </c>
      <c r="S2464" t="str">
        <f>"007"</f>
        <v>007</v>
      </c>
      <c r="T2464" t="str">
        <f>"גנם הודיה"</f>
        <v>גנם הודיה</v>
      </c>
      <c r="U2464">
        <v>0</v>
      </c>
      <c r="V2464">
        <v>0</v>
      </c>
      <c r="W2464" s="2">
        <v>7840</v>
      </c>
      <c r="X2464" s="2">
        <v>7840</v>
      </c>
      <c r="AA2464">
        <v>1</v>
      </c>
      <c r="AC2464">
        <v>0</v>
      </c>
      <c r="AE2464">
        <v>0</v>
      </c>
      <c r="AF2464">
        <v>0</v>
      </c>
      <c r="AG2464" s="2">
        <v>28686.560000000001</v>
      </c>
      <c r="AH2464">
        <v>0</v>
      </c>
      <c r="AI2464" s="2">
        <v>28686.560000000001</v>
      </c>
      <c r="AJ2464" s="2">
        <v>7840</v>
      </c>
      <c r="AK2464" s="2">
        <v>7840</v>
      </c>
      <c r="AL2464" t="str">
        <f>"$"</f>
        <v>$</v>
      </c>
    </row>
    <row r="2465" spans="1:38" x14ac:dyDescent="0.3">
      <c r="A2465" t="str">
        <f>"SO23000198"</f>
        <v>SO23000198</v>
      </c>
      <c r="B2465" t="str">
        <f>"E000391992"</f>
        <v>E000391992</v>
      </c>
      <c r="C2465" t="str">
        <f>"בוצעה"</f>
        <v>בוצעה</v>
      </c>
      <c r="E2465" s="3">
        <v>45041</v>
      </c>
      <c r="F2465" s="3">
        <v>45098</v>
      </c>
      <c r="G2465" t="str">
        <f>"700065"</f>
        <v>700065</v>
      </c>
      <c r="H2465" t="str">
        <f>"אלתא מערכות בע""מ"</f>
        <v>אלתא מערכות בע"מ</v>
      </c>
      <c r="I2465" t="str">
        <f>"רחמים זרוק"</f>
        <v>רחמים זרוק</v>
      </c>
      <c r="J2465" t="str">
        <f>"OP-AR03618"</f>
        <v>OP-AR03618</v>
      </c>
      <c r="K2465" s="1" t="str">
        <f>"1038B589-001    CIWS FANS P.S. CABLE"</f>
        <v>1038B589-001    CIWS FANS P.S. CABLE</v>
      </c>
      <c r="L2465">
        <v>1</v>
      </c>
      <c r="M2465" t="str">
        <f>"PR23000287"</f>
        <v>PR23000287</v>
      </c>
      <c r="N2465" t="str">
        <f>"E000391992"</f>
        <v>E000391992</v>
      </c>
      <c r="O2465">
        <v>699.87</v>
      </c>
      <c r="P2465" t="str">
        <f>"$"</f>
        <v>$</v>
      </c>
      <c r="Q2465" t="str">
        <f>"117"</f>
        <v>117</v>
      </c>
      <c r="R2465" t="str">
        <f>"רתמות"</f>
        <v>רתמות</v>
      </c>
      <c r="S2465" t="str">
        <f>"040"</f>
        <v>040</v>
      </c>
      <c r="T2465" t="str">
        <f>"גנם הודיה"</f>
        <v>גנם הודיה</v>
      </c>
      <c r="U2465">
        <v>0</v>
      </c>
      <c r="V2465">
        <v>0</v>
      </c>
      <c r="W2465">
        <v>699.87</v>
      </c>
      <c r="X2465">
        <v>699.87</v>
      </c>
      <c r="Z2465" t="str">
        <f>"Y"</f>
        <v>Y</v>
      </c>
      <c r="AA2465">
        <v>0</v>
      </c>
      <c r="AC2465">
        <v>0</v>
      </c>
      <c r="AE2465">
        <v>0</v>
      </c>
      <c r="AF2465">
        <v>0</v>
      </c>
      <c r="AG2465" s="2">
        <v>2546.83</v>
      </c>
      <c r="AH2465">
        <v>0</v>
      </c>
      <c r="AI2465" s="2">
        <v>2546.83</v>
      </c>
      <c r="AJ2465">
        <v>699.87</v>
      </c>
      <c r="AK2465">
        <v>699.87</v>
      </c>
      <c r="AL2465" t="str">
        <f>"$"</f>
        <v>$</v>
      </c>
    </row>
    <row r="2466" spans="1:38" x14ac:dyDescent="0.3">
      <c r="A2466" t="str">
        <f>"SO23000198"</f>
        <v>SO23000198</v>
      </c>
      <c r="B2466" t="str">
        <f>"E000391992"</f>
        <v>E000391992</v>
      </c>
      <c r="C2466" t="str">
        <f>"בוצעה"</f>
        <v>בוצעה</v>
      </c>
      <c r="E2466" s="3">
        <v>45041</v>
      </c>
      <c r="F2466" s="3">
        <v>45098</v>
      </c>
      <c r="G2466" t="str">
        <f>"700065"</f>
        <v>700065</v>
      </c>
      <c r="H2466" t="str">
        <f>"אלתא מערכות בע""מ"</f>
        <v>אלתא מערכות בע"מ</v>
      </c>
      <c r="I2466" t="str">
        <f>"רחמים זרוק"</f>
        <v>רחמים זרוק</v>
      </c>
      <c r="J2466" t="str">
        <f>"OP-AR03619"</f>
        <v>OP-AR03619</v>
      </c>
      <c r="K2466" s="1" t="str">
        <f>"1038B585-001    CIWS NORTHING COMM CABLE"</f>
        <v>1038B585-001    CIWS NORTHING COMM CABLE</v>
      </c>
      <c r="L2466">
        <v>1</v>
      </c>
      <c r="M2466" t="str">
        <f>"PR23000287"</f>
        <v>PR23000287</v>
      </c>
      <c r="N2466" t="str">
        <f>"E000391992"</f>
        <v>E000391992</v>
      </c>
      <c r="O2466" s="2">
        <v>1352.69</v>
      </c>
      <c r="P2466" t="str">
        <f>"$"</f>
        <v>$</v>
      </c>
      <c r="Q2466" t="str">
        <f>"117"</f>
        <v>117</v>
      </c>
      <c r="R2466" t="str">
        <f>"רתמות"</f>
        <v>רתמות</v>
      </c>
      <c r="S2466" t="str">
        <f>"040"</f>
        <v>040</v>
      </c>
      <c r="T2466" t="str">
        <f>"גנם הודיה"</f>
        <v>גנם הודיה</v>
      </c>
      <c r="U2466">
        <v>0</v>
      </c>
      <c r="V2466">
        <v>0</v>
      </c>
      <c r="W2466" s="2">
        <v>1352.69</v>
      </c>
      <c r="X2466" s="2">
        <v>1352.69</v>
      </c>
      <c r="Z2466" t="str">
        <f>"Y"</f>
        <v>Y</v>
      </c>
      <c r="AA2466">
        <v>0</v>
      </c>
      <c r="AC2466">
        <v>0</v>
      </c>
      <c r="AE2466">
        <v>0</v>
      </c>
      <c r="AF2466">
        <v>0</v>
      </c>
      <c r="AG2466" s="2">
        <v>4922.4399999999996</v>
      </c>
      <c r="AH2466">
        <v>0</v>
      </c>
      <c r="AI2466" s="2">
        <v>4922.4399999999996</v>
      </c>
      <c r="AJ2466" s="2">
        <v>1352.69</v>
      </c>
      <c r="AK2466" s="2">
        <v>1352.69</v>
      </c>
      <c r="AL2466" t="str">
        <f>"$"</f>
        <v>$</v>
      </c>
    </row>
    <row r="2467" spans="1:38" x14ac:dyDescent="0.3">
      <c r="A2467" t="str">
        <f>"SO23000200"</f>
        <v>SO23000200</v>
      </c>
      <c r="B2467" t="str">
        <f>"E000392887"</f>
        <v>E000392887</v>
      </c>
      <c r="C2467" t="str">
        <f>"מאושרת לחיוב"</f>
        <v>מאושרת לחיוב</v>
      </c>
      <c r="E2467" s="3">
        <v>45041</v>
      </c>
      <c r="F2467" s="3">
        <v>45041</v>
      </c>
      <c r="G2467" t="str">
        <f>"700065"</f>
        <v>700065</v>
      </c>
      <c r="H2467" t="str">
        <f>"אלתא מערכות בע""מ"</f>
        <v>אלתא מערכות בע"מ</v>
      </c>
      <c r="I2467" t="str">
        <f>"רוני דידי"</f>
        <v>רוני דידי</v>
      </c>
      <c r="J2467" t="str">
        <f>"OP-KT00108"</f>
        <v>OP-KT00108</v>
      </c>
      <c r="K2467" s="1" t="str">
        <f>"VOLTAGE RECTIFIER UNIT מק""ט 1039H790-001"</f>
        <v>VOLTAGE RECTIFIER UNIT מק"ט 1039H790-001</v>
      </c>
      <c r="L2467">
        <v>1</v>
      </c>
      <c r="M2467" t="str">
        <f>"PR22000391"</f>
        <v>PR22000391</v>
      </c>
      <c r="N2467" t="str">
        <f>"M-VRU - VOLTAGE RECTIFIER UNIT נ"</f>
        <v>M-VRU - VOLTAGE RECTIFIER UNIT נ</v>
      </c>
      <c r="O2467" s="2">
        <v>8750</v>
      </c>
      <c r="P2467" t="str">
        <f>"$"</f>
        <v>$</v>
      </c>
      <c r="Q2467" t="str">
        <f>"118"</f>
        <v>118</v>
      </c>
      <c r="R2467" t="str">
        <f>"מערכות"</f>
        <v>מערכות</v>
      </c>
      <c r="S2467" t="str">
        <f>"007"</f>
        <v>007</v>
      </c>
      <c r="T2467" t="str">
        <f>"גנם הודיה"</f>
        <v>גנם הודיה</v>
      </c>
      <c r="U2467">
        <v>0</v>
      </c>
      <c r="V2467">
        <v>0</v>
      </c>
      <c r="W2467" s="2">
        <v>8750</v>
      </c>
      <c r="X2467" s="2">
        <v>8750</v>
      </c>
      <c r="AA2467">
        <v>1</v>
      </c>
      <c r="AC2467">
        <v>0</v>
      </c>
      <c r="AE2467">
        <v>0</v>
      </c>
      <c r="AF2467">
        <v>0</v>
      </c>
      <c r="AG2467" s="2">
        <v>31841.25</v>
      </c>
      <c r="AH2467">
        <v>0</v>
      </c>
      <c r="AI2467" s="2">
        <v>31841.25</v>
      </c>
      <c r="AJ2467" s="2">
        <v>8750</v>
      </c>
      <c r="AK2467" s="2">
        <v>8750</v>
      </c>
      <c r="AL2467" t="str">
        <f>"$"</f>
        <v>$</v>
      </c>
    </row>
    <row r="2468" spans="1:38" x14ac:dyDescent="0.3">
      <c r="A2468" t="str">
        <f>"SO23000201"</f>
        <v>SO23000201</v>
      </c>
      <c r="B2468" t="str">
        <f>"E000392592"</f>
        <v>E000392592</v>
      </c>
      <c r="C2468" t="str">
        <f>"מאושרת לבצוע"</f>
        <v>מאושרת לבצוע</v>
      </c>
      <c r="E2468" s="3">
        <v>45041</v>
      </c>
      <c r="F2468" s="3">
        <v>45041</v>
      </c>
      <c r="G2468" t="str">
        <f>"700065"</f>
        <v>700065</v>
      </c>
      <c r="H2468" t="str">
        <f>"אלתא מערכות בע""מ"</f>
        <v>אלתא מערכות בע"מ</v>
      </c>
      <c r="I2468" t="str">
        <f>"רוני דידי"</f>
        <v>רוני דידי</v>
      </c>
      <c r="J2468" t="str">
        <f>"000"</f>
        <v>000</v>
      </c>
      <c r="K2468" s="1" t="str">
        <f>"עלויות נלוות- מסדים"</f>
        <v>עלויות נלוות- מסדים</v>
      </c>
      <c r="L2468">
        <v>1</v>
      </c>
      <c r="M2468" t="str">
        <f>"PR23000289"</f>
        <v>PR23000289</v>
      </c>
      <c r="N2468" t="str">
        <f>"תוספות למסדים"</f>
        <v>תוספות למסדים</v>
      </c>
      <c r="O2468" s="2">
        <v>8750</v>
      </c>
      <c r="P2468" t="str">
        <f>"$"</f>
        <v>$</v>
      </c>
      <c r="Q2468" t="str">
        <f>"112"</f>
        <v>112</v>
      </c>
      <c r="R2468" t="str">
        <f>"תיקון תקלות"</f>
        <v>תיקון תקלות</v>
      </c>
      <c r="S2468" t="str">
        <f>"007"</f>
        <v>007</v>
      </c>
      <c r="T2468" t="str">
        <f>"גנם הודיה"</f>
        <v>גנם הודיה</v>
      </c>
      <c r="U2468">
        <v>0</v>
      </c>
      <c r="V2468">
        <v>0</v>
      </c>
      <c r="W2468" s="2">
        <v>8750</v>
      </c>
      <c r="X2468" s="2">
        <v>8750</v>
      </c>
      <c r="AA2468">
        <v>1</v>
      </c>
      <c r="AC2468">
        <v>0</v>
      </c>
      <c r="AE2468">
        <v>0</v>
      </c>
      <c r="AF2468">
        <v>0</v>
      </c>
      <c r="AG2468" s="2">
        <v>31841.25</v>
      </c>
      <c r="AH2468">
        <v>0</v>
      </c>
      <c r="AI2468" s="2">
        <v>31841.25</v>
      </c>
      <c r="AJ2468" s="2">
        <v>8750</v>
      </c>
      <c r="AK2468" s="2">
        <v>8750</v>
      </c>
      <c r="AL2468" t="str">
        <f>"$"</f>
        <v>$</v>
      </c>
    </row>
    <row r="2469" spans="1:38" x14ac:dyDescent="0.3">
      <c r="A2469" t="str">
        <f>"SO23000201"</f>
        <v>SO23000201</v>
      </c>
      <c r="B2469" t="str">
        <f>"E000392592"</f>
        <v>E000392592</v>
      </c>
      <c r="C2469" t="str">
        <f>"מאושרת לבצוע"</f>
        <v>מאושרת לבצוע</v>
      </c>
      <c r="E2469" s="3">
        <v>45041</v>
      </c>
      <c r="F2469" s="3">
        <v>45041</v>
      </c>
      <c r="G2469" t="str">
        <f>"700065"</f>
        <v>700065</v>
      </c>
      <c r="H2469" t="str">
        <f>"אלתא מערכות בע""מ"</f>
        <v>אלתא מערכות בע"מ</v>
      </c>
      <c r="I2469" t="str">
        <f>"רוני דידי"</f>
        <v>רוני דידי</v>
      </c>
      <c r="J2469" t="str">
        <f>"000"</f>
        <v>000</v>
      </c>
      <c r="K2469" s="1" t="str">
        <f>"ביצוע ניסוי טמפרטורה"</f>
        <v>ביצוע ניסוי טמפרטורה</v>
      </c>
      <c r="L2469">
        <v>1</v>
      </c>
      <c r="M2469" t="str">
        <f>"PR23000289"</f>
        <v>PR23000289</v>
      </c>
      <c r="N2469" t="str">
        <f>"תוספות למסדים"</f>
        <v>תוספות למסדים</v>
      </c>
      <c r="O2469" s="2">
        <v>8400</v>
      </c>
      <c r="P2469" t="str">
        <f>"$"</f>
        <v>$</v>
      </c>
      <c r="Q2469" t="str">
        <f>"112"</f>
        <v>112</v>
      </c>
      <c r="R2469" t="str">
        <f>"תיקון תקלות"</f>
        <v>תיקון תקלות</v>
      </c>
      <c r="S2469" t="str">
        <f>"007"</f>
        <v>007</v>
      </c>
      <c r="T2469" t="str">
        <f>"גנם הודיה"</f>
        <v>גנם הודיה</v>
      </c>
      <c r="U2469">
        <v>0</v>
      </c>
      <c r="V2469">
        <v>0</v>
      </c>
      <c r="W2469" s="2">
        <v>8400</v>
      </c>
      <c r="X2469" s="2">
        <v>8400</v>
      </c>
      <c r="AA2469">
        <v>1</v>
      </c>
      <c r="AC2469">
        <v>0</v>
      </c>
      <c r="AE2469">
        <v>0</v>
      </c>
      <c r="AF2469">
        <v>0</v>
      </c>
      <c r="AG2469" s="2">
        <v>30567.599999999999</v>
      </c>
      <c r="AH2469">
        <v>0</v>
      </c>
      <c r="AI2469" s="2">
        <v>30567.599999999999</v>
      </c>
      <c r="AJ2469" s="2">
        <v>8400</v>
      </c>
      <c r="AK2469" s="2">
        <v>8400</v>
      </c>
      <c r="AL2469" t="str">
        <f>"$"</f>
        <v>$</v>
      </c>
    </row>
    <row r="2470" spans="1:38" x14ac:dyDescent="0.3">
      <c r="A2470" t="str">
        <f>"SO23000212"</f>
        <v>SO23000212</v>
      </c>
      <c r="B2470" t="str">
        <f>"E000392971"</f>
        <v>E000392971</v>
      </c>
      <c r="C2470" t="str">
        <f>"מאושרת לבצוע"</f>
        <v>מאושרת לבצוע</v>
      </c>
      <c r="E2470" s="3">
        <v>45050</v>
      </c>
      <c r="F2470" s="3">
        <v>45063</v>
      </c>
      <c r="G2470" t="str">
        <f>"700065"</f>
        <v>700065</v>
      </c>
      <c r="H2470" t="str">
        <f>"אלתא מערכות בע""מ"</f>
        <v>אלתא מערכות בע"מ</v>
      </c>
      <c r="I2470" t="str">
        <f>"רחמים זרוק"</f>
        <v>רחמים זרוק</v>
      </c>
      <c r="J2470" t="str">
        <f>"000"</f>
        <v>000</v>
      </c>
      <c r="K2470" s="1" t="str">
        <f>"1033H491-001"</f>
        <v>1033H491-001</v>
      </c>
      <c r="L2470">
        <v>10</v>
      </c>
      <c r="O2470">
        <v>0</v>
      </c>
      <c r="P2470" t="str">
        <f>"$"</f>
        <v>$</v>
      </c>
      <c r="Q2470" t="str">
        <f>"117"</f>
        <v>117</v>
      </c>
      <c r="R2470" t="str">
        <f>"רתמות"</f>
        <v>רתמות</v>
      </c>
      <c r="S2470" t="str">
        <f>"040"</f>
        <v>040</v>
      </c>
      <c r="T2470" t="str">
        <f>"גנם הודיה"</f>
        <v>גנם הודיה</v>
      </c>
      <c r="U2470">
        <v>0</v>
      </c>
      <c r="V2470">
        <v>0</v>
      </c>
      <c r="W2470">
        <v>0</v>
      </c>
      <c r="X2470">
        <v>0</v>
      </c>
      <c r="AA2470">
        <v>10</v>
      </c>
      <c r="AC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 t="str">
        <f>"$"</f>
        <v>$</v>
      </c>
    </row>
    <row r="2471" spans="1:38" x14ac:dyDescent="0.3">
      <c r="A2471" t="str">
        <f>"SO23000226"</f>
        <v>SO23000226</v>
      </c>
      <c r="B2471" t="str">
        <f>"E000393606"</f>
        <v>E000393606</v>
      </c>
      <c r="C2471" t="str">
        <f>"הרכבה חלקית"</f>
        <v>הרכבה חלקית</v>
      </c>
      <c r="E2471" s="3">
        <v>45054</v>
      </c>
      <c r="F2471" s="3">
        <v>45054</v>
      </c>
      <c r="G2471" t="str">
        <f>"700065"</f>
        <v>700065</v>
      </c>
      <c r="H2471" t="str">
        <f>"אלתא מערכות בע""מ"</f>
        <v>אלתא מערכות בע"מ</v>
      </c>
      <c r="I2471" t="str">
        <f>"רחמים זרוק"</f>
        <v>רחמים זרוק</v>
      </c>
      <c r="J2471" t="str">
        <f>"OP-AR03628"</f>
        <v>OP-AR03628</v>
      </c>
      <c r="K2471" s="1" t="str">
        <f>"2088B217-001    RSU LB-MRSAM ETH CABLE ASSY"</f>
        <v>2088B217-001    RSU LB-MRSAM ETH CABLE ASSY</v>
      </c>
      <c r="L2471">
        <v>1</v>
      </c>
      <c r="M2471" t="str">
        <f>"PR23000317"</f>
        <v>PR23000317</v>
      </c>
      <c r="N2471" t="str">
        <f>"E000393606"</f>
        <v>E000393606</v>
      </c>
      <c r="O2471">
        <v>387.5</v>
      </c>
      <c r="P2471" t="str">
        <f>"$"</f>
        <v>$</v>
      </c>
      <c r="Q2471" t="str">
        <f>"117"</f>
        <v>117</v>
      </c>
      <c r="R2471" t="str">
        <f>"רתמות"</f>
        <v>רתמות</v>
      </c>
      <c r="S2471" t="str">
        <f>"040"</f>
        <v>040</v>
      </c>
      <c r="T2471" t="str">
        <f>"גנם הודיה"</f>
        <v>גנם הודיה</v>
      </c>
      <c r="U2471">
        <v>0</v>
      </c>
      <c r="V2471">
        <v>0</v>
      </c>
      <c r="W2471">
        <v>387.5</v>
      </c>
      <c r="X2471">
        <v>387.5</v>
      </c>
      <c r="Z2471" t="str">
        <f>"Y"</f>
        <v>Y</v>
      </c>
      <c r="AA2471">
        <v>0</v>
      </c>
      <c r="AC2471">
        <v>0</v>
      </c>
      <c r="AE2471">
        <v>0</v>
      </c>
      <c r="AF2471">
        <v>0</v>
      </c>
      <c r="AG2471" s="2">
        <v>1407.79</v>
      </c>
      <c r="AH2471">
        <v>0</v>
      </c>
      <c r="AI2471" s="2">
        <v>1407.79</v>
      </c>
      <c r="AJ2471">
        <v>387.5</v>
      </c>
      <c r="AK2471">
        <v>387.5</v>
      </c>
      <c r="AL2471" t="str">
        <f>"$"</f>
        <v>$</v>
      </c>
    </row>
    <row r="2472" spans="1:38" x14ac:dyDescent="0.3">
      <c r="A2472" t="str">
        <f>"SO23000226"</f>
        <v>SO23000226</v>
      </c>
      <c r="B2472" t="str">
        <f>"E000393606"</f>
        <v>E000393606</v>
      </c>
      <c r="C2472" t="str">
        <f>"הרכבה חלקית"</f>
        <v>הרכבה חלקית</v>
      </c>
      <c r="E2472" s="3">
        <v>45054</v>
      </c>
      <c r="F2472" s="3">
        <v>45054</v>
      </c>
      <c r="G2472" t="str">
        <f>"700065"</f>
        <v>700065</v>
      </c>
      <c r="H2472" t="str">
        <f>"אלתא מערכות בע""מ"</f>
        <v>אלתא מערכות בע"מ</v>
      </c>
      <c r="I2472" t="str">
        <f>"רחמים זרוק"</f>
        <v>רחמים זרוק</v>
      </c>
      <c r="J2472" t="str">
        <f>"OP-AR03629"</f>
        <v>OP-AR03629</v>
      </c>
      <c r="K2472" s="1" t="str">
        <f>"2038B552-001    GND CABLE CNW913"</f>
        <v>2038B552-001    GND CABLE CNW913</v>
      </c>
      <c r="L2472">
        <v>2</v>
      </c>
      <c r="M2472" t="str">
        <f>"PR23000317"</f>
        <v>PR23000317</v>
      </c>
      <c r="N2472" t="str">
        <f>"E000393606"</f>
        <v>E000393606</v>
      </c>
      <c r="O2472">
        <v>115.31</v>
      </c>
      <c r="P2472" t="str">
        <f>"$"</f>
        <v>$</v>
      </c>
      <c r="Q2472" t="str">
        <f>"117"</f>
        <v>117</v>
      </c>
      <c r="R2472" t="str">
        <f>"רתמות"</f>
        <v>רתמות</v>
      </c>
      <c r="S2472" t="str">
        <f>"040"</f>
        <v>040</v>
      </c>
      <c r="T2472" t="str">
        <f>"גנם הודיה"</f>
        <v>גנם הודיה</v>
      </c>
      <c r="U2472">
        <v>0</v>
      </c>
      <c r="V2472">
        <v>0</v>
      </c>
      <c r="W2472">
        <v>115.31</v>
      </c>
      <c r="X2472">
        <v>230.62</v>
      </c>
      <c r="Z2472" t="str">
        <f>"Y"</f>
        <v>Y</v>
      </c>
      <c r="AA2472">
        <v>2</v>
      </c>
      <c r="AC2472">
        <v>0</v>
      </c>
      <c r="AE2472">
        <v>0</v>
      </c>
      <c r="AF2472">
        <v>0</v>
      </c>
      <c r="AG2472">
        <v>418.92</v>
      </c>
      <c r="AH2472">
        <v>0</v>
      </c>
      <c r="AI2472">
        <v>837.84</v>
      </c>
      <c r="AJ2472">
        <v>230.62</v>
      </c>
      <c r="AK2472">
        <v>230.62</v>
      </c>
      <c r="AL2472" t="str">
        <f>"$"</f>
        <v>$</v>
      </c>
    </row>
    <row r="2473" spans="1:38" x14ac:dyDescent="0.3">
      <c r="A2473" t="str">
        <f>"SO23000226"</f>
        <v>SO23000226</v>
      </c>
      <c r="B2473" t="str">
        <f>"E000393606"</f>
        <v>E000393606</v>
      </c>
      <c r="C2473" t="str">
        <f>"הרכבה חלקית"</f>
        <v>הרכבה חלקית</v>
      </c>
      <c r="E2473" s="3">
        <v>45054</v>
      </c>
      <c r="F2473" s="3">
        <v>45163</v>
      </c>
      <c r="G2473" t="str">
        <f>"700065"</f>
        <v>700065</v>
      </c>
      <c r="H2473" t="str">
        <f>"אלתא מערכות בע""מ"</f>
        <v>אלתא מערכות בע"מ</v>
      </c>
      <c r="I2473" t="str">
        <f>"רחמים זרוק"</f>
        <v>רחמים זרוק</v>
      </c>
      <c r="J2473" t="str">
        <f>"OP-AR03629"</f>
        <v>OP-AR03629</v>
      </c>
      <c r="K2473" s="1" t="str">
        <f>"2038B552-001    GND CABLE CNW913"</f>
        <v>2038B552-001    GND CABLE CNW913</v>
      </c>
      <c r="L2473">
        <v>1</v>
      </c>
      <c r="M2473" t="str">
        <f>"PR23000317"</f>
        <v>PR23000317</v>
      </c>
      <c r="N2473" t="str">
        <f>"E000393606"</f>
        <v>E000393606</v>
      </c>
      <c r="O2473">
        <v>115.31</v>
      </c>
      <c r="P2473" t="str">
        <f>"$"</f>
        <v>$</v>
      </c>
      <c r="Q2473" t="str">
        <f>"117"</f>
        <v>117</v>
      </c>
      <c r="R2473" t="str">
        <f>"רתמות"</f>
        <v>רתמות</v>
      </c>
      <c r="S2473" t="str">
        <f>"040"</f>
        <v>040</v>
      </c>
      <c r="T2473" t="str">
        <f>"גנם הודיה"</f>
        <v>גנם הודיה</v>
      </c>
      <c r="U2473">
        <v>0</v>
      </c>
      <c r="V2473">
        <v>0</v>
      </c>
      <c r="W2473">
        <v>115.31</v>
      </c>
      <c r="X2473">
        <v>115.31</v>
      </c>
      <c r="AA2473">
        <v>1</v>
      </c>
      <c r="AC2473">
        <v>0</v>
      </c>
      <c r="AE2473">
        <v>0</v>
      </c>
      <c r="AF2473">
        <v>0</v>
      </c>
      <c r="AG2473">
        <v>418.92</v>
      </c>
      <c r="AH2473">
        <v>0</v>
      </c>
      <c r="AI2473">
        <v>418.92</v>
      </c>
      <c r="AJ2473">
        <v>115.31</v>
      </c>
      <c r="AK2473">
        <v>115.31</v>
      </c>
      <c r="AL2473" t="str">
        <f>"$"</f>
        <v>$</v>
      </c>
    </row>
    <row r="2474" spans="1:38" x14ac:dyDescent="0.3">
      <c r="A2474" t="str">
        <f>"SO23000226"</f>
        <v>SO23000226</v>
      </c>
      <c r="B2474" t="str">
        <f>"E000393606"</f>
        <v>E000393606</v>
      </c>
      <c r="C2474" t="str">
        <f>"הרכבה חלקית"</f>
        <v>הרכבה חלקית</v>
      </c>
      <c r="E2474" s="3">
        <v>45054</v>
      </c>
      <c r="F2474" s="3">
        <v>45070</v>
      </c>
      <c r="G2474" t="str">
        <f>"700065"</f>
        <v>700065</v>
      </c>
      <c r="H2474" t="str">
        <f>"אלתא מערכות בע""מ"</f>
        <v>אלתא מערכות בע"מ</v>
      </c>
      <c r="I2474" t="str">
        <f>"רחמים זרוק"</f>
        <v>רחמים זרוק</v>
      </c>
      <c r="J2474" t="str">
        <f>"OP-AR03630"</f>
        <v>OP-AR03630</v>
      </c>
      <c r="K2474" s="1" t="str">
        <f>"2070B184-001    CABLE ASSY GNDW104"</f>
        <v>2070B184-001    CABLE ASSY GNDW104</v>
      </c>
      <c r="L2474">
        <v>1</v>
      </c>
      <c r="M2474" t="str">
        <f>"PR23000317"</f>
        <v>PR23000317</v>
      </c>
      <c r="N2474" t="str">
        <f>"E000393606"</f>
        <v>E000393606</v>
      </c>
      <c r="O2474">
        <v>149.86000000000001</v>
      </c>
      <c r="P2474" t="str">
        <f>"$"</f>
        <v>$</v>
      </c>
      <c r="Q2474" t="str">
        <f>"117"</f>
        <v>117</v>
      </c>
      <c r="R2474" t="str">
        <f>"רתמות"</f>
        <v>רתמות</v>
      </c>
      <c r="S2474" t="str">
        <f>"040"</f>
        <v>040</v>
      </c>
      <c r="T2474" t="str">
        <f>"גנם הודיה"</f>
        <v>גנם הודיה</v>
      </c>
      <c r="U2474">
        <v>0</v>
      </c>
      <c r="V2474">
        <v>0</v>
      </c>
      <c r="W2474">
        <v>149.86000000000001</v>
      </c>
      <c r="X2474">
        <v>149.86000000000001</v>
      </c>
      <c r="Z2474" t="str">
        <f>"Y"</f>
        <v>Y</v>
      </c>
      <c r="AA2474">
        <v>0</v>
      </c>
      <c r="AC2474">
        <v>0</v>
      </c>
      <c r="AE2474">
        <v>0</v>
      </c>
      <c r="AF2474">
        <v>0</v>
      </c>
      <c r="AG2474">
        <v>544.44000000000005</v>
      </c>
      <c r="AH2474">
        <v>0</v>
      </c>
      <c r="AI2474">
        <v>544.44000000000005</v>
      </c>
      <c r="AJ2474">
        <v>149.86000000000001</v>
      </c>
      <c r="AK2474">
        <v>149.86000000000001</v>
      </c>
      <c r="AL2474" t="str">
        <f>"$"</f>
        <v>$</v>
      </c>
    </row>
    <row r="2475" spans="1:38" x14ac:dyDescent="0.3">
      <c r="A2475" t="str">
        <f>"SO23000226"</f>
        <v>SO23000226</v>
      </c>
      <c r="B2475" t="str">
        <f>"E000393606"</f>
        <v>E000393606</v>
      </c>
      <c r="C2475" t="str">
        <f>"הרכבה חלקית"</f>
        <v>הרכבה חלקית</v>
      </c>
      <c r="E2475" s="3">
        <v>45054</v>
      </c>
      <c r="F2475" s="3">
        <v>45070</v>
      </c>
      <c r="G2475" t="str">
        <f>"700065"</f>
        <v>700065</v>
      </c>
      <c r="H2475" t="str">
        <f>"אלתא מערכות בע""מ"</f>
        <v>אלתא מערכות בע"מ</v>
      </c>
      <c r="I2475" t="str">
        <f>"רחמים זרוק"</f>
        <v>רחמים זרוק</v>
      </c>
      <c r="J2475" t="str">
        <f>"OP-AR03631"</f>
        <v>OP-AR03631</v>
      </c>
      <c r="K2475" s="1" t="str">
        <f>"2070B181-001    GND CABLE ASSY W101"</f>
        <v>2070B181-001    GND CABLE ASSY W101</v>
      </c>
      <c r="L2475">
        <v>1</v>
      </c>
      <c r="M2475" t="str">
        <f>"PR23000317"</f>
        <v>PR23000317</v>
      </c>
      <c r="N2475" t="str">
        <f>"E000393606"</f>
        <v>E000393606</v>
      </c>
      <c r="O2475">
        <v>119.63</v>
      </c>
      <c r="P2475" t="str">
        <f>"$"</f>
        <v>$</v>
      </c>
      <c r="Q2475" t="str">
        <f>"117"</f>
        <v>117</v>
      </c>
      <c r="R2475" t="str">
        <f>"רתמות"</f>
        <v>רתמות</v>
      </c>
      <c r="S2475" t="str">
        <f>"040"</f>
        <v>040</v>
      </c>
      <c r="T2475" t="str">
        <f>"גנם הודיה"</f>
        <v>גנם הודיה</v>
      </c>
      <c r="U2475">
        <v>0</v>
      </c>
      <c r="V2475">
        <v>0</v>
      </c>
      <c r="W2475">
        <v>119.63</v>
      </c>
      <c r="X2475">
        <v>119.63</v>
      </c>
      <c r="Z2475" t="str">
        <f>"Y"</f>
        <v>Y</v>
      </c>
      <c r="AA2475">
        <v>0</v>
      </c>
      <c r="AC2475">
        <v>0</v>
      </c>
      <c r="AE2475">
        <v>0</v>
      </c>
      <c r="AF2475">
        <v>0</v>
      </c>
      <c r="AG2475">
        <v>434.62</v>
      </c>
      <c r="AH2475">
        <v>0</v>
      </c>
      <c r="AI2475">
        <v>434.62</v>
      </c>
      <c r="AJ2475">
        <v>119.63</v>
      </c>
      <c r="AK2475">
        <v>119.63</v>
      </c>
      <c r="AL2475" t="str">
        <f>"$"</f>
        <v>$</v>
      </c>
    </row>
    <row r="2476" spans="1:38" x14ac:dyDescent="0.3">
      <c r="A2476" t="str">
        <f>"SO23000226"</f>
        <v>SO23000226</v>
      </c>
      <c r="B2476" t="str">
        <f>"E000393606"</f>
        <v>E000393606</v>
      </c>
      <c r="C2476" t="str">
        <f>"הרכבה חלקית"</f>
        <v>הרכבה חלקית</v>
      </c>
      <c r="E2476" s="3">
        <v>45054</v>
      </c>
      <c r="F2476" s="3">
        <v>45070</v>
      </c>
      <c r="G2476" t="str">
        <f>"700065"</f>
        <v>700065</v>
      </c>
      <c r="H2476" t="str">
        <f>"אלתא מערכות בע""מ"</f>
        <v>אלתא מערכות בע"מ</v>
      </c>
      <c r="I2476" t="str">
        <f>"רחמים זרוק"</f>
        <v>רחמים זרוק</v>
      </c>
      <c r="J2476" t="str">
        <f>"OP-AR03631"</f>
        <v>OP-AR03631</v>
      </c>
      <c r="K2476" s="1" t="str">
        <f>"2070B181-001    GND CABLE ASSY W101"</f>
        <v>2070B181-001    GND CABLE ASSY W101</v>
      </c>
      <c r="L2476">
        <v>1</v>
      </c>
      <c r="M2476" t="str">
        <f>"PR23000317"</f>
        <v>PR23000317</v>
      </c>
      <c r="N2476" t="str">
        <f>"E000393606"</f>
        <v>E000393606</v>
      </c>
      <c r="O2476">
        <v>119.63</v>
      </c>
      <c r="P2476" t="str">
        <f>"$"</f>
        <v>$</v>
      </c>
      <c r="Q2476" t="str">
        <f>"117"</f>
        <v>117</v>
      </c>
      <c r="R2476" t="str">
        <f>"רתמות"</f>
        <v>רתמות</v>
      </c>
      <c r="S2476" t="str">
        <f>"040"</f>
        <v>040</v>
      </c>
      <c r="T2476" t="str">
        <f>"גנם הודיה"</f>
        <v>גנם הודיה</v>
      </c>
      <c r="U2476">
        <v>0</v>
      </c>
      <c r="V2476">
        <v>0</v>
      </c>
      <c r="W2476">
        <v>119.63</v>
      </c>
      <c r="X2476">
        <v>119.63</v>
      </c>
      <c r="Z2476" t="str">
        <f>"Y"</f>
        <v>Y</v>
      </c>
      <c r="AA2476">
        <v>0</v>
      </c>
      <c r="AC2476">
        <v>0</v>
      </c>
      <c r="AE2476">
        <v>0</v>
      </c>
      <c r="AF2476">
        <v>0</v>
      </c>
      <c r="AG2476">
        <v>434.62</v>
      </c>
      <c r="AH2476">
        <v>0</v>
      </c>
      <c r="AI2476">
        <v>434.62</v>
      </c>
      <c r="AJ2476">
        <v>119.63</v>
      </c>
      <c r="AK2476">
        <v>119.63</v>
      </c>
      <c r="AL2476" t="str">
        <f>"$"</f>
        <v>$</v>
      </c>
    </row>
    <row r="2477" spans="1:38" x14ac:dyDescent="0.3">
      <c r="A2477" t="str">
        <f>"SO23000226"</f>
        <v>SO23000226</v>
      </c>
      <c r="B2477" t="str">
        <f>"E000393606"</f>
        <v>E000393606</v>
      </c>
      <c r="C2477" t="str">
        <f>"הרכבה חלקית"</f>
        <v>הרכבה חלקית</v>
      </c>
      <c r="E2477" s="3">
        <v>45054</v>
      </c>
      <c r="F2477" s="3">
        <v>45070</v>
      </c>
      <c r="G2477" t="str">
        <f>"700065"</f>
        <v>700065</v>
      </c>
      <c r="H2477" t="str">
        <f>"אלתא מערכות בע""מ"</f>
        <v>אלתא מערכות בע"מ</v>
      </c>
      <c r="I2477" t="str">
        <f>"רחמים זרוק"</f>
        <v>רחמים זרוק</v>
      </c>
      <c r="J2477" t="str">
        <f>"OP-AR03632"</f>
        <v>OP-AR03632</v>
      </c>
      <c r="K2477" s="1" t="str">
        <f>"1016Y032-001     CABLE ASSY 48W102 220VAC SUPPLY"</f>
        <v>1016Y032-001     CABLE ASSY 48W102 220VAC SUPPLY</v>
      </c>
      <c r="L2477">
        <v>2</v>
      </c>
      <c r="M2477" t="str">
        <f>"PR23000317"</f>
        <v>PR23000317</v>
      </c>
      <c r="N2477" t="str">
        <f>"E000393606"</f>
        <v>E000393606</v>
      </c>
      <c r="O2477">
        <v>219.05</v>
      </c>
      <c r="P2477" t="str">
        <f>"$"</f>
        <v>$</v>
      </c>
      <c r="Q2477" t="str">
        <f>"117"</f>
        <v>117</v>
      </c>
      <c r="R2477" t="str">
        <f>"רתמות"</f>
        <v>רתמות</v>
      </c>
      <c r="S2477" t="str">
        <f>"040"</f>
        <v>040</v>
      </c>
      <c r="T2477" t="str">
        <f>"גנם הודיה"</f>
        <v>גנם הודיה</v>
      </c>
      <c r="U2477">
        <v>0</v>
      </c>
      <c r="V2477">
        <v>0</v>
      </c>
      <c r="W2477">
        <v>219.05</v>
      </c>
      <c r="X2477">
        <v>438.1</v>
      </c>
      <c r="AA2477">
        <v>1</v>
      </c>
      <c r="AC2477">
        <v>0</v>
      </c>
      <c r="AE2477">
        <v>0</v>
      </c>
      <c r="AF2477">
        <v>0</v>
      </c>
      <c r="AG2477">
        <v>795.81</v>
      </c>
      <c r="AH2477">
        <v>0</v>
      </c>
      <c r="AI2477" s="2">
        <v>1591.62</v>
      </c>
      <c r="AJ2477">
        <v>438.1</v>
      </c>
      <c r="AK2477">
        <v>438.1</v>
      </c>
      <c r="AL2477" t="str">
        <f>"$"</f>
        <v>$</v>
      </c>
    </row>
    <row r="2478" spans="1:38" x14ac:dyDescent="0.3">
      <c r="A2478" t="str">
        <f>"SO23000226"</f>
        <v>SO23000226</v>
      </c>
      <c r="B2478" t="str">
        <f>"E000393606"</f>
        <v>E000393606</v>
      </c>
      <c r="C2478" t="str">
        <f>"הרכבה חלקית"</f>
        <v>הרכבה חלקית</v>
      </c>
      <c r="E2478" s="3">
        <v>45054</v>
      </c>
      <c r="F2478" s="3">
        <v>45070</v>
      </c>
      <c r="G2478" t="str">
        <f>"700065"</f>
        <v>700065</v>
      </c>
      <c r="H2478" t="str">
        <f>"אלתא מערכות בע""מ"</f>
        <v>אלתא מערכות בע"מ</v>
      </c>
      <c r="I2478" t="str">
        <f>"רחמים זרוק"</f>
        <v>רחמים זרוק</v>
      </c>
      <c r="J2478" t="str">
        <f>"OP-AR03631"</f>
        <v>OP-AR03631</v>
      </c>
      <c r="K2478" s="1" t="str">
        <f>"2070B181-001    GND CABLE ASSY W101"</f>
        <v>2070B181-001    GND CABLE ASSY W101</v>
      </c>
      <c r="L2478">
        <v>1</v>
      </c>
      <c r="M2478" t="str">
        <f>"PR23000317"</f>
        <v>PR23000317</v>
      </c>
      <c r="N2478" t="str">
        <f>"E000393606"</f>
        <v>E000393606</v>
      </c>
      <c r="O2478">
        <v>119.63</v>
      </c>
      <c r="P2478" t="str">
        <f>"$"</f>
        <v>$</v>
      </c>
      <c r="Q2478" t="str">
        <f>"117"</f>
        <v>117</v>
      </c>
      <c r="R2478" t="str">
        <f>"רתמות"</f>
        <v>רתמות</v>
      </c>
      <c r="S2478" t="str">
        <f>"040"</f>
        <v>040</v>
      </c>
      <c r="T2478" t="str">
        <f>"גנם הודיה"</f>
        <v>גנם הודיה</v>
      </c>
      <c r="U2478">
        <v>0</v>
      </c>
      <c r="V2478">
        <v>0</v>
      </c>
      <c r="W2478">
        <v>119.63</v>
      </c>
      <c r="X2478">
        <v>119.63</v>
      </c>
      <c r="Z2478" t="str">
        <f>"Y"</f>
        <v>Y</v>
      </c>
      <c r="AA2478">
        <v>0</v>
      </c>
      <c r="AC2478">
        <v>0</v>
      </c>
      <c r="AE2478">
        <v>0</v>
      </c>
      <c r="AF2478">
        <v>0</v>
      </c>
      <c r="AG2478">
        <v>434.62</v>
      </c>
      <c r="AH2478">
        <v>0</v>
      </c>
      <c r="AI2478">
        <v>434.62</v>
      </c>
      <c r="AJ2478">
        <v>119.63</v>
      </c>
      <c r="AK2478">
        <v>119.63</v>
      </c>
      <c r="AL2478" t="str">
        <f>"$"</f>
        <v>$</v>
      </c>
    </row>
    <row r="2479" spans="1:38" x14ac:dyDescent="0.3">
      <c r="A2479" t="str">
        <f>"SO23000226"</f>
        <v>SO23000226</v>
      </c>
      <c r="B2479" t="str">
        <f>"E000393606"</f>
        <v>E000393606</v>
      </c>
      <c r="C2479" t="str">
        <f>"הרכבה חלקית"</f>
        <v>הרכבה חלקית</v>
      </c>
      <c r="E2479" s="3">
        <v>45054</v>
      </c>
      <c r="F2479" s="3">
        <v>45070</v>
      </c>
      <c r="G2479" t="str">
        <f>"700065"</f>
        <v>700065</v>
      </c>
      <c r="H2479" t="str">
        <f>"אלתא מערכות בע""מ"</f>
        <v>אלתא מערכות בע"מ</v>
      </c>
      <c r="I2479" t="str">
        <f>"רחמים זרוק"</f>
        <v>רחמים זרוק</v>
      </c>
      <c r="J2479" t="str">
        <f>"OP-AR03633"</f>
        <v>OP-AR03633</v>
      </c>
      <c r="K2479" s="1" t="str">
        <f>"1023R750-001    MOTOR POWER CABLE"</f>
        <v>1023R750-001    MOTOR POWER CABLE</v>
      </c>
      <c r="L2479">
        <v>1</v>
      </c>
      <c r="M2479" t="str">
        <f>"PR23000317"</f>
        <v>PR23000317</v>
      </c>
      <c r="N2479" t="str">
        <f>"E000393606"</f>
        <v>E000393606</v>
      </c>
      <c r="O2479">
        <v>575.36</v>
      </c>
      <c r="P2479" t="str">
        <f>"$"</f>
        <v>$</v>
      </c>
      <c r="Q2479" t="str">
        <f>"117"</f>
        <v>117</v>
      </c>
      <c r="R2479" t="str">
        <f>"רתמות"</f>
        <v>רתמות</v>
      </c>
      <c r="S2479" t="str">
        <f>"040"</f>
        <v>040</v>
      </c>
      <c r="T2479" t="str">
        <f>"גנם הודיה"</f>
        <v>גנם הודיה</v>
      </c>
      <c r="U2479">
        <v>0</v>
      </c>
      <c r="V2479">
        <v>0</v>
      </c>
      <c r="W2479">
        <v>575.36</v>
      </c>
      <c r="X2479">
        <v>575.36</v>
      </c>
      <c r="Z2479" t="str">
        <f>"Y"</f>
        <v>Y</v>
      </c>
      <c r="AA2479">
        <v>0</v>
      </c>
      <c r="AC2479">
        <v>0</v>
      </c>
      <c r="AE2479">
        <v>0</v>
      </c>
      <c r="AF2479">
        <v>0</v>
      </c>
      <c r="AG2479" s="2">
        <v>2090.2800000000002</v>
      </c>
      <c r="AH2479">
        <v>0</v>
      </c>
      <c r="AI2479" s="2">
        <v>2090.2800000000002</v>
      </c>
      <c r="AJ2479">
        <v>575.36</v>
      </c>
      <c r="AK2479">
        <v>575.36</v>
      </c>
      <c r="AL2479" t="str">
        <f>"$"</f>
        <v>$</v>
      </c>
    </row>
    <row r="2480" spans="1:38" x14ac:dyDescent="0.3">
      <c r="A2480" t="str">
        <f>"SO23000226"</f>
        <v>SO23000226</v>
      </c>
      <c r="B2480" t="str">
        <f>"E000393606"</f>
        <v>E000393606</v>
      </c>
      <c r="C2480" t="str">
        <f>"הרכבה חלקית"</f>
        <v>הרכבה חלקית</v>
      </c>
      <c r="E2480" s="3">
        <v>45054</v>
      </c>
      <c r="F2480" s="3">
        <v>45070</v>
      </c>
      <c r="G2480" t="str">
        <f>"700065"</f>
        <v>700065</v>
      </c>
      <c r="H2480" t="str">
        <f>"אלתא מערכות בע""מ"</f>
        <v>אלתא מערכות בע"מ</v>
      </c>
      <c r="I2480" t="str">
        <f>"רחמים זרוק"</f>
        <v>רחמים זרוק</v>
      </c>
      <c r="J2480" t="str">
        <f>"OP-AR03629"</f>
        <v>OP-AR03629</v>
      </c>
      <c r="K2480" s="1" t="str">
        <f>"2038B552-001    GND CABLE CNW913"</f>
        <v>2038B552-001    GND CABLE CNW913</v>
      </c>
      <c r="L2480">
        <v>2</v>
      </c>
      <c r="M2480" t="str">
        <f>"PR23000317"</f>
        <v>PR23000317</v>
      </c>
      <c r="N2480" t="str">
        <f>"E000393606"</f>
        <v>E000393606</v>
      </c>
      <c r="O2480">
        <v>115.31</v>
      </c>
      <c r="P2480" t="str">
        <f>"$"</f>
        <v>$</v>
      </c>
      <c r="Q2480" t="str">
        <f>"117"</f>
        <v>117</v>
      </c>
      <c r="R2480" t="str">
        <f>"רתמות"</f>
        <v>רתמות</v>
      </c>
      <c r="S2480" t="str">
        <f>"040"</f>
        <v>040</v>
      </c>
      <c r="T2480" t="str">
        <f>"גנם הודיה"</f>
        <v>גנם הודיה</v>
      </c>
      <c r="U2480">
        <v>0</v>
      </c>
      <c r="V2480">
        <v>0</v>
      </c>
      <c r="W2480">
        <v>115.31</v>
      </c>
      <c r="X2480">
        <v>230.62</v>
      </c>
      <c r="Z2480" t="str">
        <f>"Y"</f>
        <v>Y</v>
      </c>
      <c r="AA2480">
        <v>-2</v>
      </c>
      <c r="AC2480">
        <v>0</v>
      </c>
      <c r="AE2480">
        <v>0</v>
      </c>
      <c r="AF2480">
        <v>0</v>
      </c>
      <c r="AG2480">
        <v>418.92</v>
      </c>
      <c r="AH2480">
        <v>0</v>
      </c>
      <c r="AI2480">
        <v>837.84</v>
      </c>
      <c r="AJ2480">
        <v>230.62</v>
      </c>
      <c r="AK2480">
        <v>230.62</v>
      </c>
      <c r="AL2480" t="str">
        <f>"$"</f>
        <v>$</v>
      </c>
    </row>
    <row r="2481" spans="1:38" x14ac:dyDescent="0.3">
      <c r="A2481" t="str">
        <f>"SO23000227"</f>
        <v>SO23000227</v>
      </c>
      <c r="B2481" t="str">
        <f>"E000390858"</f>
        <v>E000390858</v>
      </c>
      <c r="C2481" t="str">
        <f>"הרכבה חלקית"</f>
        <v>הרכבה חלקית</v>
      </c>
      <c r="E2481" s="3">
        <v>45054</v>
      </c>
      <c r="F2481" s="3">
        <v>45054</v>
      </c>
      <c r="G2481" t="str">
        <f>"700065"</f>
        <v>700065</v>
      </c>
      <c r="H2481" t="str">
        <f>"אלתא מערכות בע""מ"</f>
        <v>אלתא מערכות בע"מ</v>
      </c>
      <c r="I2481" t="str">
        <f>"רחמים זרוק"</f>
        <v>רחמים זרוק</v>
      </c>
      <c r="J2481" t="str">
        <f>"OP-AR03626"</f>
        <v>OP-AR03626</v>
      </c>
      <c r="K2481" s="1" t="str">
        <f>"3036C708-001   HARNESS W747B - EXTENSION CABLE FOR COOL"</f>
        <v>3036C708-001   HARNESS W747B - EXTENSION CABLE FOR COOL</v>
      </c>
      <c r="L2481">
        <v>1</v>
      </c>
      <c r="M2481" t="str">
        <f>"PR23000315"</f>
        <v>PR23000315</v>
      </c>
      <c r="N2481" t="str">
        <f>"E000390858"</f>
        <v>E000390858</v>
      </c>
      <c r="O2481">
        <v>621.58000000000004</v>
      </c>
      <c r="P2481" t="str">
        <f>"$"</f>
        <v>$</v>
      </c>
      <c r="Q2481" t="str">
        <f>"117"</f>
        <v>117</v>
      </c>
      <c r="R2481" t="str">
        <f>"רתמות"</f>
        <v>רתמות</v>
      </c>
      <c r="S2481" t="str">
        <f>"040"</f>
        <v>040</v>
      </c>
      <c r="T2481" t="str">
        <f>"גנם הודיה"</f>
        <v>גנם הודיה</v>
      </c>
      <c r="U2481">
        <v>0</v>
      </c>
      <c r="V2481">
        <v>0</v>
      </c>
      <c r="W2481">
        <v>621.58000000000004</v>
      </c>
      <c r="X2481">
        <v>621.58000000000004</v>
      </c>
      <c r="Z2481" t="str">
        <f>"Y"</f>
        <v>Y</v>
      </c>
      <c r="AA2481">
        <v>0</v>
      </c>
      <c r="AC2481">
        <v>0</v>
      </c>
      <c r="AE2481">
        <v>0</v>
      </c>
      <c r="AF2481">
        <v>0</v>
      </c>
      <c r="AG2481" s="2">
        <v>2258.1999999999998</v>
      </c>
      <c r="AH2481">
        <v>0</v>
      </c>
      <c r="AI2481" s="2">
        <v>2258.1999999999998</v>
      </c>
      <c r="AJ2481">
        <v>621.58000000000004</v>
      </c>
      <c r="AK2481">
        <v>621.58000000000004</v>
      </c>
      <c r="AL2481" t="str">
        <f>"$"</f>
        <v>$</v>
      </c>
    </row>
    <row r="2482" spans="1:38" x14ac:dyDescent="0.3">
      <c r="A2482" t="str">
        <f>"SO23000227"</f>
        <v>SO23000227</v>
      </c>
      <c r="B2482" t="str">
        <f>"E000390858"</f>
        <v>E000390858</v>
      </c>
      <c r="C2482" t="str">
        <f>"הרכבה חלקית"</f>
        <v>הרכבה חלקית</v>
      </c>
      <c r="E2482" s="3">
        <v>45054</v>
      </c>
      <c r="F2482" s="3">
        <v>45054</v>
      </c>
      <c r="G2482" t="str">
        <f>"700065"</f>
        <v>700065</v>
      </c>
      <c r="H2482" t="str">
        <f>"אלתא מערכות בע""מ"</f>
        <v>אלתא מערכות בע"מ</v>
      </c>
      <c r="I2482" t="str">
        <f>"רחמים זרוק"</f>
        <v>רחמים זרוק</v>
      </c>
      <c r="J2482" t="str">
        <f>"OP-AR03627"</f>
        <v>OP-AR03627</v>
      </c>
      <c r="K2482" s="1" t="str">
        <f>"9001J265-001    HARNESS WML 21 - DC POWER IN TO LRP"</f>
        <v>9001J265-001    HARNESS WML 21 - DC POWER IN TO LRP</v>
      </c>
      <c r="L2482">
        <v>1</v>
      </c>
      <c r="M2482" t="str">
        <f>"PR23000315"</f>
        <v>PR23000315</v>
      </c>
      <c r="N2482" t="str">
        <f>"E000390858"</f>
        <v>E000390858</v>
      </c>
      <c r="O2482">
        <v>872.36</v>
      </c>
      <c r="P2482" t="str">
        <f>"$"</f>
        <v>$</v>
      </c>
      <c r="Q2482" t="str">
        <f>"117"</f>
        <v>117</v>
      </c>
      <c r="R2482" t="str">
        <f>"רתמות"</f>
        <v>רתמות</v>
      </c>
      <c r="S2482" t="str">
        <f>"040"</f>
        <v>040</v>
      </c>
      <c r="T2482" t="str">
        <f>"גנם הודיה"</f>
        <v>גנם הודיה</v>
      </c>
      <c r="U2482">
        <v>0</v>
      </c>
      <c r="V2482">
        <v>0</v>
      </c>
      <c r="W2482">
        <v>872.36</v>
      </c>
      <c r="X2482">
        <v>872.36</v>
      </c>
      <c r="Z2482" t="str">
        <f>"Y"</f>
        <v>Y</v>
      </c>
      <c r="AA2482">
        <v>0</v>
      </c>
      <c r="AC2482">
        <v>0</v>
      </c>
      <c r="AE2482">
        <v>0</v>
      </c>
      <c r="AF2482">
        <v>0</v>
      </c>
      <c r="AG2482" s="2">
        <v>3169.28</v>
      </c>
      <c r="AH2482">
        <v>0</v>
      </c>
      <c r="AI2482" s="2">
        <v>3169.28</v>
      </c>
      <c r="AJ2482">
        <v>872.36</v>
      </c>
      <c r="AK2482">
        <v>872.36</v>
      </c>
      <c r="AL2482" t="str">
        <f>"$"</f>
        <v>$</v>
      </c>
    </row>
    <row r="2483" spans="1:38" x14ac:dyDescent="0.3">
      <c r="A2483" t="str">
        <f>"SO23000229"</f>
        <v>SO23000229</v>
      </c>
      <c r="B2483" t="str">
        <f>"E000390854"</f>
        <v>E000390854</v>
      </c>
      <c r="C2483" t="str">
        <f>"בוצעה"</f>
        <v>בוצעה</v>
      </c>
      <c r="E2483" s="3">
        <v>45054</v>
      </c>
      <c r="F2483" s="3">
        <v>45054</v>
      </c>
      <c r="G2483" t="str">
        <f>"700065"</f>
        <v>700065</v>
      </c>
      <c r="H2483" t="str">
        <f>"אלתא מערכות בע""מ"</f>
        <v>אלתא מערכות בע"מ</v>
      </c>
      <c r="I2483" t="str">
        <f>"רחמים זרוק"</f>
        <v>רחמים זרוק</v>
      </c>
      <c r="J2483" t="str">
        <f>"OP-AR03202"</f>
        <v>OP-AR03202</v>
      </c>
      <c r="K2483" s="1" t="str">
        <f>"2060B170-001   CABLE ASSY CRW21"</f>
        <v>2060B170-001   CABLE ASSY CRW21</v>
      </c>
      <c r="L2483">
        <v>2</v>
      </c>
      <c r="M2483" t="str">
        <f>"PR23000313"</f>
        <v>PR23000313</v>
      </c>
      <c r="N2483" t="str">
        <f>"E000390854"</f>
        <v>E000390854</v>
      </c>
      <c r="O2483">
        <v>274.23</v>
      </c>
      <c r="P2483" t="str">
        <f>"$"</f>
        <v>$</v>
      </c>
      <c r="Q2483" t="str">
        <f>"117"</f>
        <v>117</v>
      </c>
      <c r="R2483" t="str">
        <f>"רתמות"</f>
        <v>רתמות</v>
      </c>
      <c r="S2483" t="str">
        <f>"040"</f>
        <v>040</v>
      </c>
      <c r="T2483" t="str">
        <f>"גנם הודיה"</f>
        <v>גנם הודיה</v>
      </c>
      <c r="U2483">
        <v>0</v>
      </c>
      <c r="V2483">
        <v>0</v>
      </c>
      <c r="W2483">
        <v>274.23</v>
      </c>
      <c r="X2483">
        <v>548.46</v>
      </c>
      <c r="Z2483" t="str">
        <f>"Y"</f>
        <v>Y</v>
      </c>
      <c r="AA2483">
        <v>0</v>
      </c>
      <c r="AC2483">
        <v>0</v>
      </c>
      <c r="AE2483">
        <v>0</v>
      </c>
      <c r="AF2483">
        <v>0</v>
      </c>
      <c r="AG2483">
        <v>996.28</v>
      </c>
      <c r="AH2483">
        <v>0</v>
      </c>
      <c r="AI2483" s="2">
        <v>1992.56</v>
      </c>
      <c r="AJ2483">
        <v>548.46</v>
      </c>
      <c r="AK2483">
        <v>548.46</v>
      </c>
      <c r="AL2483" t="str">
        <f>"$"</f>
        <v>$</v>
      </c>
    </row>
    <row r="2484" spans="1:38" x14ac:dyDescent="0.3">
      <c r="A2484" t="str">
        <f>"SO23000229"</f>
        <v>SO23000229</v>
      </c>
      <c r="B2484" t="str">
        <f>"E000390854"</f>
        <v>E000390854</v>
      </c>
      <c r="C2484" t="str">
        <f>"בוצעה"</f>
        <v>בוצעה</v>
      </c>
      <c r="E2484" s="3">
        <v>45054</v>
      </c>
      <c r="F2484" s="3">
        <v>45054</v>
      </c>
      <c r="G2484" t="str">
        <f>"700065"</f>
        <v>700065</v>
      </c>
      <c r="H2484" t="str">
        <f>"אלתא מערכות בע""מ"</f>
        <v>אלתא מערכות בע"מ</v>
      </c>
      <c r="I2484" t="str">
        <f>"רחמים זרוק"</f>
        <v>רחמים זרוק</v>
      </c>
      <c r="J2484" t="str">
        <f>"OP-AR03620"</f>
        <v>OP-AR03620</v>
      </c>
      <c r="K2484" s="1" t="str">
        <f>"2202G030-001    ANDM DEBUG CABLE"</f>
        <v>2202G030-001    ANDM DEBUG CABLE</v>
      </c>
      <c r="L2484">
        <v>1</v>
      </c>
      <c r="M2484" t="str">
        <f>"PR23000313"</f>
        <v>PR23000313</v>
      </c>
      <c r="N2484" t="str">
        <f>"E000390854"</f>
        <v>E000390854</v>
      </c>
      <c r="O2484">
        <v>785.23</v>
      </c>
      <c r="P2484" t="str">
        <f>"$"</f>
        <v>$</v>
      </c>
      <c r="Q2484" t="str">
        <f>"117"</f>
        <v>117</v>
      </c>
      <c r="R2484" t="str">
        <f>"רתמות"</f>
        <v>רתמות</v>
      </c>
      <c r="S2484" t="str">
        <f>"040"</f>
        <v>040</v>
      </c>
      <c r="T2484" t="str">
        <f>"גנם הודיה"</f>
        <v>גנם הודיה</v>
      </c>
      <c r="U2484">
        <v>0</v>
      </c>
      <c r="V2484">
        <v>0</v>
      </c>
      <c r="W2484">
        <v>785.23</v>
      </c>
      <c r="X2484">
        <v>785.23</v>
      </c>
      <c r="Z2484" t="str">
        <f>"Y"</f>
        <v>Y</v>
      </c>
      <c r="AA2484">
        <v>0</v>
      </c>
      <c r="AC2484">
        <v>0</v>
      </c>
      <c r="AE2484">
        <v>0</v>
      </c>
      <c r="AF2484">
        <v>0</v>
      </c>
      <c r="AG2484" s="2">
        <v>2852.74</v>
      </c>
      <c r="AH2484">
        <v>0</v>
      </c>
      <c r="AI2484" s="2">
        <v>2852.74</v>
      </c>
      <c r="AJ2484">
        <v>785.23</v>
      </c>
      <c r="AK2484">
        <v>785.23</v>
      </c>
      <c r="AL2484" t="str">
        <f>"$"</f>
        <v>$</v>
      </c>
    </row>
    <row r="2485" spans="1:38" x14ac:dyDescent="0.3">
      <c r="A2485" t="str">
        <f>"SO23000229"</f>
        <v>SO23000229</v>
      </c>
      <c r="B2485" t="str">
        <f>"E000390854"</f>
        <v>E000390854</v>
      </c>
      <c r="C2485" t="str">
        <f>"בוצעה"</f>
        <v>בוצעה</v>
      </c>
      <c r="E2485" s="3">
        <v>45054</v>
      </c>
      <c r="F2485" s="3">
        <v>45054</v>
      </c>
      <c r="G2485" t="str">
        <f>"700065"</f>
        <v>700065</v>
      </c>
      <c r="H2485" t="str">
        <f>"אלתא מערכות בע""מ"</f>
        <v>אלתא מערכות בע"מ</v>
      </c>
      <c r="I2485" t="str">
        <f>"רחמים זרוק"</f>
        <v>רחמים זרוק</v>
      </c>
      <c r="J2485" t="str">
        <f>"OP-AR03621"</f>
        <v>OP-AR03621</v>
      </c>
      <c r="K2485" s="1" t="str">
        <f>"2202G031-001    ANDM LOOPBACK CABLE"</f>
        <v>2202G031-001    ANDM LOOPBACK CABLE</v>
      </c>
      <c r="L2485">
        <v>1</v>
      </c>
      <c r="M2485" t="str">
        <f>"PR23000313"</f>
        <v>PR23000313</v>
      </c>
      <c r="N2485" t="str">
        <f>"E000390854"</f>
        <v>E000390854</v>
      </c>
      <c r="O2485">
        <v>111.84</v>
      </c>
      <c r="P2485" t="str">
        <f>"$"</f>
        <v>$</v>
      </c>
      <c r="Q2485" t="str">
        <f>"117"</f>
        <v>117</v>
      </c>
      <c r="R2485" t="str">
        <f>"רתמות"</f>
        <v>רתמות</v>
      </c>
      <c r="S2485" t="str">
        <f>"040"</f>
        <v>040</v>
      </c>
      <c r="T2485" t="str">
        <f>"גנם הודיה"</f>
        <v>גנם הודיה</v>
      </c>
      <c r="U2485">
        <v>0</v>
      </c>
      <c r="V2485">
        <v>0</v>
      </c>
      <c r="W2485">
        <v>111.84</v>
      </c>
      <c r="X2485">
        <v>111.84</v>
      </c>
      <c r="Z2485" t="str">
        <f>"Y"</f>
        <v>Y</v>
      </c>
      <c r="AA2485">
        <v>0</v>
      </c>
      <c r="AC2485">
        <v>0</v>
      </c>
      <c r="AE2485">
        <v>0</v>
      </c>
      <c r="AF2485">
        <v>0</v>
      </c>
      <c r="AG2485">
        <v>406.31</v>
      </c>
      <c r="AH2485">
        <v>0</v>
      </c>
      <c r="AI2485">
        <v>406.31</v>
      </c>
      <c r="AJ2485">
        <v>111.84</v>
      </c>
      <c r="AK2485">
        <v>111.84</v>
      </c>
      <c r="AL2485" t="str">
        <f>"$"</f>
        <v>$</v>
      </c>
    </row>
    <row r="2486" spans="1:38" x14ac:dyDescent="0.3">
      <c r="A2486" t="str">
        <f>"SO23000231"</f>
        <v>SO23000231</v>
      </c>
      <c r="B2486" t="str">
        <f>"E000394578"</f>
        <v>E000394578</v>
      </c>
      <c r="C2486" t="str">
        <f>"מאושרת לבצוע"</f>
        <v>מאושרת לבצוע</v>
      </c>
      <c r="E2486" s="3">
        <v>45061</v>
      </c>
      <c r="F2486" s="3">
        <v>45061</v>
      </c>
      <c r="G2486" t="str">
        <f>"700065"</f>
        <v>700065</v>
      </c>
      <c r="H2486" t="str">
        <f>"אלתא מערכות בע""מ"</f>
        <v>אלתא מערכות בע"מ</v>
      </c>
      <c r="I2486" t="str">
        <f>"רוני דידי"</f>
        <v>רוני דידי</v>
      </c>
      <c r="J2486" t="str">
        <f>"000"</f>
        <v>000</v>
      </c>
      <c r="K2486" s="1" t="str">
        <f>"תיקון אוקסלירי בעטרות סידורי"</f>
        <v>תיקון אוקסלירי בעטרות סידורי</v>
      </c>
      <c r="L2486">
        <v>1</v>
      </c>
      <c r="M2486" t="str">
        <f>"PR23000308"</f>
        <v>PR23000308</v>
      </c>
      <c r="N2486" t="str">
        <f>"תיקון בעטרות 1026L320-002 LB סיד"</f>
        <v>תיקון בעטרות 1026L320-002 LB סיד</v>
      </c>
      <c r="O2486" s="2">
        <v>2400</v>
      </c>
      <c r="P2486" t="str">
        <f>"$"</f>
        <v>$</v>
      </c>
      <c r="Q2486" t="str">
        <f>"112"</f>
        <v>112</v>
      </c>
      <c r="R2486" t="str">
        <f>"תיקון תקלות"</f>
        <v>תיקון תקלות</v>
      </c>
      <c r="S2486" t="str">
        <f>"007"</f>
        <v>007</v>
      </c>
      <c r="T2486" t="str">
        <f>"גנם הודיה"</f>
        <v>גנם הודיה</v>
      </c>
      <c r="U2486">
        <v>0</v>
      </c>
      <c r="V2486">
        <v>0</v>
      </c>
      <c r="W2486" s="2">
        <v>2400</v>
      </c>
      <c r="X2486" s="2">
        <v>2400</v>
      </c>
      <c r="AA2486">
        <v>1</v>
      </c>
      <c r="AC2486">
        <v>0</v>
      </c>
      <c r="AE2486">
        <v>0</v>
      </c>
      <c r="AF2486">
        <v>0</v>
      </c>
      <c r="AG2486" s="2">
        <v>8755.2000000000007</v>
      </c>
      <c r="AH2486">
        <v>0</v>
      </c>
      <c r="AI2486" s="2">
        <v>8755.2000000000007</v>
      </c>
      <c r="AJ2486" s="2">
        <v>2400</v>
      </c>
      <c r="AK2486" s="2">
        <v>2400</v>
      </c>
      <c r="AL2486" t="str">
        <f>"$"</f>
        <v>$</v>
      </c>
    </row>
    <row r="2487" spans="1:38" x14ac:dyDescent="0.3">
      <c r="A2487" t="str">
        <f>"SO23000233"</f>
        <v>SO23000233</v>
      </c>
      <c r="B2487" t="str">
        <f>"E000394557"</f>
        <v>E000394557</v>
      </c>
      <c r="C2487" t="str">
        <f>"בוצעה"</f>
        <v>בוצעה</v>
      </c>
      <c r="E2487" s="3">
        <v>45061</v>
      </c>
      <c r="F2487" s="3">
        <v>45061</v>
      </c>
      <c r="G2487" t="str">
        <f>"700065"</f>
        <v>700065</v>
      </c>
      <c r="H2487" t="str">
        <f>"אלתא מערכות בע""מ"</f>
        <v>אלתא מערכות בע"מ</v>
      </c>
      <c r="I2487" t="str">
        <f>"רחמים זרוק"</f>
        <v>רחמים זרוק</v>
      </c>
      <c r="J2487" t="str">
        <f>"OP-AR02349"</f>
        <v>OP-AR02349</v>
      </c>
      <c r="K2487" s="1" t="str">
        <f>"2202B030-001     TRW20 CABLE ASSY"</f>
        <v>2202B030-001     TRW20 CABLE ASSY</v>
      </c>
      <c r="L2487">
        <v>2</v>
      </c>
      <c r="M2487" t="str">
        <f>"PR23000327"</f>
        <v>PR23000327</v>
      </c>
      <c r="N2487" t="str">
        <f>"E000394557"</f>
        <v>E000394557</v>
      </c>
      <c r="O2487">
        <v>167.81</v>
      </c>
      <c r="P2487" t="str">
        <f>"$"</f>
        <v>$</v>
      </c>
      <c r="Q2487" t="str">
        <f>"117"</f>
        <v>117</v>
      </c>
      <c r="R2487" t="str">
        <f>"רתמות"</f>
        <v>רתמות</v>
      </c>
      <c r="S2487" t="str">
        <f>"040"</f>
        <v>040</v>
      </c>
      <c r="T2487" t="str">
        <f>"גנם הודיה"</f>
        <v>גנם הודיה</v>
      </c>
      <c r="U2487">
        <v>0</v>
      </c>
      <c r="V2487">
        <v>0</v>
      </c>
      <c r="W2487">
        <v>167.81</v>
      </c>
      <c r="X2487">
        <v>335.62</v>
      </c>
      <c r="Z2487" t="str">
        <f>"Y"</f>
        <v>Y</v>
      </c>
      <c r="AA2487">
        <v>0</v>
      </c>
      <c r="AC2487">
        <v>0</v>
      </c>
      <c r="AE2487">
        <v>0</v>
      </c>
      <c r="AF2487">
        <v>0</v>
      </c>
      <c r="AG2487">
        <v>612.16999999999996</v>
      </c>
      <c r="AH2487">
        <v>0</v>
      </c>
      <c r="AI2487" s="2">
        <v>1224.3399999999999</v>
      </c>
      <c r="AJ2487">
        <v>335.62</v>
      </c>
      <c r="AK2487">
        <v>335.62</v>
      </c>
      <c r="AL2487" t="str">
        <f>"$"</f>
        <v>$</v>
      </c>
    </row>
    <row r="2488" spans="1:38" x14ac:dyDescent="0.3">
      <c r="A2488" t="str">
        <f>"SO23000233"</f>
        <v>SO23000233</v>
      </c>
      <c r="B2488" t="str">
        <f>"E000394557"</f>
        <v>E000394557</v>
      </c>
      <c r="C2488" t="str">
        <f>"בוצעה"</f>
        <v>בוצעה</v>
      </c>
      <c r="E2488" s="3">
        <v>45061</v>
      </c>
      <c r="F2488" s="3">
        <v>45061</v>
      </c>
      <c r="G2488" t="str">
        <f>"700065"</f>
        <v>700065</v>
      </c>
      <c r="H2488" t="str">
        <f>"אלתא מערכות בע""מ"</f>
        <v>אלתא מערכות בע"מ</v>
      </c>
      <c r="I2488" t="str">
        <f>"רחמים זרוק"</f>
        <v>רחמים זרוק</v>
      </c>
      <c r="J2488" t="str">
        <f>"OP-AR02350"</f>
        <v>OP-AR02350</v>
      </c>
      <c r="K2488" s="1" t="str">
        <f>"2202B032-001    TRW21 CABLE ASSY"</f>
        <v>2202B032-001    TRW21 CABLE ASSY</v>
      </c>
      <c r="L2488">
        <v>2</v>
      </c>
      <c r="M2488" t="str">
        <f>"PR23000327"</f>
        <v>PR23000327</v>
      </c>
      <c r="N2488" t="str">
        <f>"E000394557"</f>
        <v>E000394557</v>
      </c>
      <c r="O2488">
        <v>158.83000000000001</v>
      </c>
      <c r="P2488" t="str">
        <f>"$"</f>
        <v>$</v>
      </c>
      <c r="Q2488" t="str">
        <f>"117"</f>
        <v>117</v>
      </c>
      <c r="R2488" t="str">
        <f>"רתמות"</f>
        <v>רתמות</v>
      </c>
      <c r="S2488" t="str">
        <f>"040"</f>
        <v>040</v>
      </c>
      <c r="T2488" t="str">
        <f>"גנם הודיה"</f>
        <v>גנם הודיה</v>
      </c>
      <c r="U2488">
        <v>0</v>
      </c>
      <c r="V2488">
        <v>0</v>
      </c>
      <c r="W2488">
        <v>158.83000000000001</v>
      </c>
      <c r="X2488">
        <v>317.66000000000003</v>
      </c>
      <c r="Z2488" t="str">
        <f>"Y"</f>
        <v>Y</v>
      </c>
      <c r="AA2488">
        <v>0</v>
      </c>
      <c r="AC2488">
        <v>0</v>
      </c>
      <c r="AE2488">
        <v>0</v>
      </c>
      <c r="AF2488">
        <v>0</v>
      </c>
      <c r="AG2488">
        <v>579.41</v>
      </c>
      <c r="AH2488">
        <v>0</v>
      </c>
      <c r="AI2488" s="2">
        <v>1158.82</v>
      </c>
      <c r="AJ2488">
        <v>317.66000000000003</v>
      </c>
      <c r="AK2488">
        <v>317.66000000000003</v>
      </c>
      <c r="AL2488" t="str">
        <f>"$"</f>
        <v>$</v>
      </c>
    </row>
    <row r="2489" spans="1:38" x14ac:dyDescent="0.3">
      <c r="A2489" t="str">
        <f>"SO23000233"</f>
        <v>SO23000233</v>
      </c>
      <c r="B2489" t="str">
        <f>"E000394557"</f>
        <v>E000394557</v>
      </c>
      <c r="C2489" t="str">
        <f>"בוצעה"</f>
        <v>בוצעה</v>
      </c>
      <c r="E2489" s="3">
        <v>45061</v>
      </c>
      <c r="F2489" s="3">
        <v>45061</v>
      </c>
      <c r="G2489" t="str">
        <f>"700065"</f>
        <v>700065</v>
      </c>
      <c r="H2489" t="str">
        <f>"אלתא מערכות בע""מ"</f>
        <v>אלתא מערכות בע"מ</v>
      </c>
      <c r="I2489" t="str">
        <f>"רחמים זרוק"</f>
        <v>רחמים זרוק</v>
      </c>
      <c r="J2489" t="str">
        <f>"OP-AR02351"</f>
        <v>OP-AR02351</v>
      </c>
      <c r="K2489" s="1" t="str">
        <f>"2202B034-001    TRW22 CABLE ASSY"</f>
        <v>2202B034-001    TRW22 CABLE ASSY</v>
      </c>
      <c r="L2489">
        <v>2</v>
      </c>
      <c r="M2489" t="str">
        <f>"PR23000327"</f>
        <v>PR23000327</v>
      </c>
      <c r="N2489" t="str">
        <f>"E000394557"</f>
        <v>E000394557</v>
      </c>
      <c r="O2489">
        <v>132.6</v>
      </c>
      <c r="P2489" t="str">
        <f>"$"</f>
        <v>$</v>
      </c>
      <c r="Q2489" t="str">
        <f>"117"</f>
        <v>117</v>
      </c>
      <c r="R2489" t="str">
        <f>"רתמות"</f>
        <v>רתמות</v>
      </c>
      <c r="S2489" t="str">
        <f>"040"</f>
        <v>040</v>
      </c>
      <c r="T2489" t="str">
        <f>"גנם הודיה"</f>
        <v>גנם הודיה</v>
      </c>
      <c r="U2489">
        <v>0</v>
      </c>
      <c r="V2489">
        <v>0</v>
      </c>
      <c r="W2489">
        <v>132.6</v>
      </c>
      <c r="X2489">
        <v>265.2</v>
      </c>
      <c r="Z2489" t="str">
        <f>"Y"</f>
        <v>Y</v>
      </c>
      <c r="AA2489">
        <v>0</v>
      </c>
      <c r="AC2489">
        <v>0</v>
      </c>
      <c r="AE2489">
        <v>0</v>
      </c>
      <c r="AF2489">
        <v>0</v>
      </c>
      <c r="AG2489">
        <v>483.72</v>
      </c>
      <c r="AH2489">
        <v>0</v>
      </c>
      <c r="AI2489">
        <v>967.45</v>
      </c>
      <c r="AJ2489">
        <v>265.2</v>
      </c>
      <c r="AK2489">
        <v>265.2</v>
      </c>
      <c r="AL2489" t="str">
        <f>"$"</f>
        <v>$</v>
      </c>
    </row>
    <row r="2490" spans="1:38" x14ac:dyDescent="0.3">
      <c r="A2490" t="str">
        <f>"SO23000233"</f>
        <v>SO23000233</v>
      </c>
      <c r="B2490" t="str">
        <f>"E000394557"</f>
        <v>E000394557</v>
      </c>
      <c r="C2490" t="str">
        <f>"בוצעה"</f>
        <v>בוצעה</v>
      </c>
      <c r="E2490" s="3">
        <v>45061</v>
      </c>
      <c r="F2490" s="3">
        <v>45061</v>
      </c>
      <c r="G2490" t="str">
        <f>"700065"</f>
        <v>700065</v>
      </c>
      <c r="H2490" t="str">
        <f>"אלתא מערכות בע""מ"</f>
        <v>אלתא מערכות בע"מ</v>
      </c>
      <c r="I2490" t="str">
        <f>"רחמים זרוק"</f>
        <v>רחמים זרוק</v>
      </c>
      <c r="J2490" t="str">
        <f>"OP-AR02352"</f>
        <v>OP-AR02352</v>
      </c>
      <c r="K2490" s="1" t="str">
        <f>"2202B036-001    TRW23 CABLE ASSY"</f>
        <v>2202B036-001    TRW23 CABLE ASSY</v>
      </c>
      <c r="L2490">
        <v>2</v>
      </c>
      <c r="M2490" t="str">
        <f>"PR23000327"</f>
        <v>PR23000327</v>
      </c>
      <c r="N2490" t="str">
        <f>"E000394557"</f>
        <v>E000394557</v>
      </c>
      <c r="O2490">
        <v>80.069999999999993</v>
      </c>
      <c r="P2490" t="str">
        <f>"$"</f>
        <v>$</v>
      </c>
      <c r="Q2490" t="str">
        <f>"117"</f>
        <v>117</v>
      </c>
      <c r="R2490" t="str">
        <f>"רתמות"</f>
        <v>רתמות</v>
      </c>
      <c r="S2490" t="str">
        <f>"040"</f>
        <v>040</v>
      </c>
      <c r="T2490" t="str">
        <f>"גנם הודיה"</f>
        <v>גנם הודיה</v>
      </c>
      <c r="U2490">
        <v>0</v>
      </c>
      <c r="V2490">
        <v>0</v>
      </c>
      <c r="W2490">
        <v>80.069999999999993</v>
      </c>
      <c r="X2490">
        <v>160.13999999999999</v>
      </c>
      <c r="Z2490" t="str">
        <f>"Y"</f>
        <v>Y</v>
      </c>
      <c r="AA2490">
        <v>0</v>
      </c>
      <c r="AC2490">
        <v>0</v>
      </c>
      <c r="AE2490">
        <v>0</v>
      </c>
      <c r="AF2490">
        <v>0</v>
      </c>
      <c r="AG2490">
        <v>292.10000000000002</v>
      </c>
      <c r="AH2490">
        <v>0</v>
      </c>
      <c r="AI2490">
        <v>584.19000000000005</v>
      </c>
      <c r="AJ2490">
        <v>160.13999999999999</v>
      </c>
      <c r="AK2490">
        <v>160.13999999999999</v>
      </c>
      <c r="AL2490" t="str">
        <f>"$"</f>
        <v>$</v>
      </c>
    </row>
    <row r="2491" spans="1:38" x14ac:dyDescent="0.3">
      <c r="A2491" t="str">
        <f>"SO23000233"</f>
        <v>SO23000233</v>
      </c>
      <c r="B2491" t="str">
        <f>"E000394557"</f>
        <v>E000394557</v>
      </c>
      <c r="C2491" t="str">
        <f>"בוצעה"</f>
        <v>בוצעה</v>
      </c>
      <c r="E2491" s="3">
        <v>45061</v>
      </c>
      <c r="F2491" s="3">
        <v>45061</v>
      </c>
      <c r="G2491" t="str">
        <f>"700065"</f>
        <v>700065</v>
      </c>
      <c r="H2491" t="str">
        <f>"אלתא מערכות בע""מ"</f>
        <v>אלתא מערכות בע"מ</v>
      </c>
      <c r="I2491" t="str">
        <f>"רחמים זרוק"</f>
        <v>רחמים זרוק</v>
      </c>
      <c r="J2491" t="str">
        <f>"OP-AR02353"</f>
        <v>OP-AR02353</v>
      </c>
      <c r="K2491" s="1" t="str">
        <f>"2203B026-001    FIO CABLE ASSY"</f>
        <v>2203B026-001    FIO CABLE ASSY</v>
      </c>
      <c r="L2491">
        <v>1</v>
      </c>
      <c r="M2491" t="str">
        <f>"PR23000327"</f>
        <v>PR23000327</v>
      </c>
      <c r="N2491" t="str">
        <f>"E000394557"</f>
        <v>E000394557</v>
      </c>
      <c r="O2491">
        <v>528.19000000000005</v>
      </c>
      <c r="P2491" t="str">
        <f>"$"</f>
        <v>$</v>
      </c>
      <c r="Q2491" t="str">
        <f>"117"</f>
        <v>117</v>
      </c>
      <c r="R2491" t="str">
        <f>"רתמות"</f>
        <v>רתמות</v>
      </c>
      <c r="S2491" t="str">
        <f>"040"</f>
        <v>040</v>
      </c>
      <c r="T2491" t="str">
        <f>"גנם הודיה"</f>
        <v>גנם הודיה</v>
      </c>
      <c r="U2491">
        <v>0</v>
      </c>
      <c r="V2491">
        <v>0</v>
      </c>
      <c r="W2491">
        <v>528.19000000000005</v>
      </c>
      <c r="X2491">
        <v>528.19000000000005</v>
      </c>
      <c r="Z2491" t="str">
        <f>"Y"</f>
        <v>Y</v>
      </c>
      <c r="AA2491">
        <v>0</v>
      </c>
      <c r="AC2491">
        <v>0</v>
      </c>
      <c r="AE2491">
        <v>0</v>
      </c>
      <c r="AF2491">
        <v>0</v>
      </c>
      <c r="AG2491" s="2">
        <v>1926.84</v>
      </c>
      <c r="AH2491">
        <v>0</v>
      </c>
      <c r="AI2491" s="2">
        <v>1926.84</v>
      </c>
      <c r="AJ2491">
        <v>528.19000000000005</v>
      </c>
      <c r="AK2491">
        <v>528.19000000000005</v>
      </c>
      <c r="AL2491" t="str">
        <f>"$"</f>
        <v>$</v>
      </c>
    </row>
    <row r="2492" spans="1:38" x14ac:dyDescent="0.3">
      <c r="A2492" t="str">
        <f>"SO23000233"</f>
        <v>SO23000233</v>
      </c>
      <c r="B2492" t="str">
        <f>"E000394557"</f>
        <v>E000394557</v>
      </c>
      <c r="C2492" t="str">
        <f>"בוצעה"</f>
        <v>בוצעה</v>
      </c>
      <c r="E2492" s="3">
        <v>45061</v>
      </c>
      <c r="F2492" s="3">
        <v>45061</v>
      </c>
      <c r="G2492" t="str">
        <f>"700065"</f>
        <v>700065</v>
      </c>
      <c r="H2492" t="str">
        <f>"אלתא מערכות בע""מ"</f>
        <v>אלתא מערכות בע"מ</v>
      </c>
      <c r="I2492" t="str">
        <f>"רחמים זרוק"</f>
        <v>רחמים זרוק</v>
      </c>
      <c r="J2492" t="str">
        <f>"OP-AR03016"</f>
        <v>OP-AR03016</v>
      </c>
      <c r="K2492" s="1" t="str">
        <f>"2203B860-001   POWER TO UUT CABLE ASSY"</f>
        <v>2203B860-001   POWER TO UUT CABLE ASSY</v>
      </c>
      <c r="L2492">
        <v>2</v>
      </c>
      <c r="M2492" t="str">
        <f>"PR23000327"</f>
        <v>PR23000327</v>
      </c>
      <c r="N2492" t="str">
        <f>"E000394557"</f>
        <v>E000394557</v>
      </c>
      <c r="O2492">
        <v>879.83</v>
      </c>
      <c r="P2492" t="str">
        <f>"$"</f>
        <v>$</v>
      </c>
      <c r="Q2492" t="str">
        <f>"117"</f>
        <v>117</v>
      </c>
      <c r="R2492" t="str">
        <f>"רתמות"</f>
        <v>רתמות</v>
      </c>
      <c r="S2492" t="str">
        <f>"040"</f>
        <v>040</v>
      </c>
      <c r="T2492" t="str">
        <f>"גנם הודיה"</f>
        <v>גנם הודיה</v>
      </c>
      <c r="U2492">
        <v>0</v>
      </c>
      <c r="V2492">
        <v>0</v>
      </c>
      <c r="W2492">
        <v>879.83</v>
      </c>
      <c r="X2492" s="2">
        <v>1759.66</v>
      </c>
      <c r="Z2492" t="str">
        <f>"Y"</f>
        <v>Y</v>
      </c>
      <c r="AA2492">
        <v>0</v>
      </c>
      <c r="AC2492">
        <v>0</v>
      </c>
      <c r="AE2492">
        <v>0</v>
      </c>
      <c r="AF2492">
        <v>0</v>
      </c>
      <c r="AG2492" s="2">
        <v>3209.62</v>
      </c>
      <c r="AH2492">
        <v>0</v>
      </c>
      <c r="AI2492" s="2">
        <v>6419.24</v>
      </c>
      <c r="AJ2492" s="2">
        <v>1759.66</v>
      </c>
      <c r="AK2492" s="2">
        <v>1759.66</v>
      </c>
      <c r="AL2492" t="str">
        <f>"$"</f>
        <v>$</v>
      </c>
    </row>
    <row r="2493" spans="1:38" x14ac:dyDescent="0.3">
      <c r="A2493" t="str">
        <f>"SO23000233"</f>
        <v>SO23000233</v>
      </c>
      <c r="B2493" t="str">
        <f>"E000394557"</f>
        <v>E000394557</v>
      </c>
      <c r="C2493" t="str">
        <f>"בוצעה"</f>
        <v>בוצעה</v>
      </c>
      <c r="E2493" s="3">
        <v>45061</v>
      </c>
      <c r="F2493" s="3">
        <v>45061</v>
      </c>
      <c r="G2493" t="str">
        <f>"700065"</f>
        <v>700065</v>
      </c>
      <c r="H2493" t="str">
        <f>"אלתא מערכות בע""מ"</f>
        <v>אלתא מערכות בע"מ</v>
      </c>
      <c r="I2493" t="str">
        <f>"רחמים זרוק"</f>
        <v>רחמים זרוק</v>
      </c>
      <c r="J2493" t="str">
        <f>"OP-AR03017"</f>
        <v>OP-AR03017</v>
      </c>
      <c r="K2493" s="1" t="str">
        <f>"2203B862-001   POWER TO JIG CABLE ASSY"</f>
        <v>2203B862-001   POWER TO JIG CABLE ASSY</v>
      </c>
      <c r="L2493">
        <v>4</v>
      </c>
      <c r="M2493" t="str">
        <f>"PR23000327"</f>
        <v>PR23000327</v>
      </c>
      <c r="N2493" t="str">
        <f>"E000394557"</f>
        <v>E000394557</v>
      </c>
      <c r="O2493">
        <v>194.56</v>
      </c>
      <c r="P2493" t="str">
        <f>"$"</f>
        <v>$</v>
      </c>
      <c r="Q2493" t="str">
        <f>"117"</f>
        <v>117</v>
      </c>
      <c r="R2493" t="str">
        <f>"רתמות"</f>
        <v>רתמות</v>
      </c>
      <c r="S2493" t="str">
        <f>"040"</f>
        <v>040</v>
      </c>
      <c r="T2493" t="str">
        <f>"גנם הודיה"</f>
        <v>גנם הודיה</v>
      </c>
      <c r="U2493">
        <v>0</v>
      </c>
      <c r="V2493">
        <v>0</v>
      </c>
      <c r="W2493">
        <v>194.56</v>
      </c>
      <c r="X2493">
        <v>778.24</v>
      </c>
      <c r="Z2493" t="str">
        <f>"Y"</f>
        <v>Y</v>
      </c>
      <c r="AA2493">
        <v>0</v>
      </c>
      <c r="AC2493">
        <v>0</v>
      </c>
      <c r="AE2493">
        <v>0</v>
      </c>
      <c r="AF2493">
        <v>0</v>
      </c>
      <c r="AG2493">
        <v>709.75</v>
      </c>
      <c r="AH2493">
        <v>0</v>
      </c>
      <c r="AI2493" s="2">
        <v>2839.02</v>
      </c>
      <c r="AJ2493">
        <v>778.24</v>
      </c>
      <c r="AK2493">
        <v>778.24</v>
      </c>
      <c r="AL2493" t="str">
        <f>"$"</f>
        <v>$</v>
      </c>
    </row>
    <row r="2494" spans="1:38" x14ac:dyDescent="0.3">
      <c r="A2494" t="str">
        <f>"SO23000234"</f>
        <v>SO23000234</v>
      </c>
      <c r="B2494" t="str">
        <f>"E000393611"</f>
        <v>E000393611</v>
      </c>
      <c r="C2494" t="str">
        <f>"הרכבה חלקית"</f>
        <v>הרכבה חלקית</v>
      </c>
      <c r="E2494" s="3">
        <v>45061</v>
      </c>
      <c r="F2494" s="3">
        <v>45204</v>
      </c>
      <c r="G2494" t="str">
        <f>"700065"</f>
        <v>700065</v>
      </c>
      <c r="H2494" t="str">
        <f>"אלתא מערכות בע""מ"</f>
        <v>אלתא מערכות בע"מ</v>
      </c>
      <c r="I2494" t="str">
        <f>"רחמים זרוק"</f>
        <v>רחמים זרוק</v>
      </c>
      <c r="J2494" t="str">
        <f>"OP-AR03642"</f>
        <v>OP-AR03642</v>
      </c>
      <c r="K2494" s="1" t="str">
        <f>"2024E105-001    DCS TEST CABLE"</f>
        <v>2024E105-001    DCS TEST CABLE</v>
      </c>
      <c r="L2494">
        <v>2</v>
      </c>
      <c r="M2494" t="str">
        <f>"PR23000328"</f>
        <v>PR23000328</v>
      </c>
      <c r="N2494" t="str">
        <f>"E000393611"</f>
        <v>E000393611</v>
      </c>
      <c r="O2494">
        <v>362.11</v>
      </c>
      <c r="P2494" t="str">
        <f>"$"</f>
        <v>$</v>
      </c>
      <c r="Q2494" t="str">
        <f>"117"</f>
        <v>117</v>
      </c>
      <c r="R2494" t="str">
        <f>"רתמות"</f>
        <v>רתמות</v>
      </c>
      <c r="S2494" t="str">
        <f>"040"</f>
        <v>040</v>
      </c>
      <c r="T2494" t="str">
        <f>"גנם הודיה"</f>
        <v>גנם הודיה</v>
      </c>
      <c r="U2494">
        <v>0</v>
      </c>
      <c r="V2494">
        <v>0</v>
      </c>
      <c r="W2494">
        <v>362.11</v>
      </c>
      <c r="X2494">
        <v>724.22</v>
      </c>
      <c r="Z2494" t="str">
        <f>"Y"</f>
        <v>Y</v>
      </c>
      <c r="AA2494">
        <v>0</v>
      </c>
      <c r="AC2494">
        <v>0</v>
      </c>
      <c r="AE2494">
        <v>0</v>
      </c>
      <c r="AF2494">
        <v>0</v>
      </c>
      <c r="AG2494" s="2">
        <v>1320.98</v>
      </c>
      <c r="AH2494">
        <v>0</v>
      </c>
      <c r="AI2494" s="2">
        <v>2641.95</v>
      </c>
      <c r="AJ2494">
        <v>724.22</v>
      </c>
      <c r="AK2494">
        <v>724.22</v>
      </c>
      <c r="AL2494" t="str">
        <f>"$"</f>
        <v>$</v>
      </c>
    </row>
    <row r="2495" spans="1:38" x14ac:dyDescent="0.3">
      <c r="A2495" t="str">
        <f>"SO23000234"</f>
        <v>SO23000234</v>
      </c>
      <c r="B2495" t="str">
        <f>"E000393611"</f>
        <v>E000393611</v>
      </c>
      <c r="C2495" t="str">
        <f>"הרכבה חלקית"</f>
        <v>הרכבה חלקית</v>
      </c>
      <c r="E2495" s="3">
        <v>45061</v>
      </c>
      <c r="F2495" s="3">
        <v>45204</v>
      </c>
      <c r="G2495" t="str">
        <f>"700065"</f>
        <v>700065</v>
      </c>
      <c r="H2495" t="str">
        <f>"אלתא מערכות בע""מ"</f>
        <v>אלתא מערכות בע"מ</v>
      </c>
      <c r="I2495" t="str">
        <f>"רחמים זרוק"</f>
        <v>רחמים זרוק</v>
      </c>
      <c r="J2495" t="str">
        <f>"OP-AR03643"</f>
        <v>OP-AR03643</v>
      </c>
      <c r="K2495" s="1" t="str">
        <f>"4043B337-001    HARNESS W237 - FAN COOLING TRAY ASSY"</f>
        <v>4043B337-001    HARNESS W237 - FAN COOLING TRAY ASSY</v>
      </c>
      <c r="L2495">
        <v>2</v>
      </c>
      <c r="M2495" t="str">
        <f>"PR23000328"</f>
        <v>PR23000328</v>
      </c>
      <c r="N2495" t="str">
        <f>"E000393611"</f>
        <v>E000393611</v>
      </c>
      <c r="O2495">
        <v>177.2</v>
      </c>
      <c r="P2495" t="str">
        <f>"$"</f>
        <v>$</v>
      </c>
      <c r="Q2495" t="str">
        <f>"117"</f>
        <v>117</v>
      </c>
      <c r="R2495" t="str">
        <f>"רתמות"</f>
        <v>רתמות</v>
      </c>
      <c r="S2495" t="str">
        <f>"040"</f>
        <v>040</v>
      </c>
      <c r="T2495" t="str">
        <f>"גנם הודיה"</f>
        <v>גנם הודיה</v>
      </c>
      <c r="U2495">
        <v>0</v>
      </c>
      <c r="V2495">
        <v>0</v>
      </c>
      <c r="W2495">
        <v>177.2</v>
      </c>
      <c r="X2495">
        <v>354.4</v>
      </c>
      <c r="Z2495" t="str">
        <f>"Y"</f>
        <v>Y</v>
      </c>
      <c r="AA2495">
        <v>0</v>
      </c>
      <c r="AC2495">
        <v>0</v>
      </c>
      <c r="AE2495">
        <v>0</v>
      </c>
      <c r="AF2495">
        <v>0</v>
      </c>
      <c r="AG2495">
        <v>646.42999999999995</v>
      </c>
      <c r="AH2495">
        <v>0</v>
      </c>
      <c r="AI2495" s="2">
        <v>1292.8499999999999</v>
      </c>
      <c r="AJ2495">
        <v>354.4</v>
      </c>
      <c r="AK2495">
        <v>354.4</v>
      </c>
      <c r="AL2495" t="str">
        <f>"$"</f>
        <v>$</v>
      </c>
    </row>
    <row r="2496" spans="1:38" x14ac:dyDescent="0.3">
      <c r="A2496" t="str">
        <f>"SO23000234"</f>
        <v>SO23000234</v>
      </c>
      <c r="B2496" t="str">
        <f>"E000393611"</f>
        <v>E000393611</v>
      </c>
      <c r="C2496" t="str">
        <f>"הרכבה חלקית"</f>
        <v>הרכבה חלקית</v>
      </c>
      <c r="E2496" s="3">
        <v>45061</v>
      </c>
      <c r="F2496" s="3">
        <v>45204</v>
      </c>
      <c r="G2496" t="str">
        <f>"700065"</f>
        <v>700065</v>
      </c>
      <c r="H2496" t="str">
        <f>"אלתא מערכות בע""מ"</f>
        <v>אלתא מערכות בע"מ</v>
      </c>
      <c r="I2496" t="str">
        <f>"רחמים זרוק"</f>
        <v>רחמים זרוק</v>
      </c>
      <c r="J2496" t="str">
        <f>"OP-AR03644"</f>
        <v>OP-AR03644</v>
      </c>
      <c r="K2496" s="1" t="str">
        <f>"4043B628-001    CABLE TRU KEY LOADER"</f>
        <v>4043B628-001    CABLE TRU KEY LOADER</v>
      </c>
      <c r="L2496">
        <v>5</v>
      </c>
      <c r="M2496" t="str">
        <f>"PR23000328"</f>
        <v>PR23000328</v>
      </c>
      <c r="N2496" t="str">
        <f>"E000393611"</f>
        <v>E000393611</v>
      </c>
      <c r="O2496">
        <v>270.01</v>
      </c>
      <c r="P2496" t="str">
        <f>"$"</f>
        <v>$</v>
      </c>
      <c r="Q2496" t="str">
        <f>"117"</f>
        <v>117</v>
      </c>
      <c r="R2496" t="str">
        <f>"רתמות"</f>
        <v>רתמות</v>
      </c>
      <c r="S2496" t="str">
        <f>"040"</f>
        <v>040</v>
      </c>
      <c r="T2496" t="str">
        <f>"גנם הודיה"</f>
        <v>גנם הודיה</v>
      </c>
      <c r="U2496">
        <v>0</v>
      </c>
      <c r="V2496">
        <v>0</v>
      </c>
      <c r="W2496">
        <v>270.01</v>
      </c>
      <c r="X2496" s="2">
        <v>1350.05</v>
      </c>
      <c r="Z2496" t="str">
        <f>"Y"</f>
        <v>Y</v>
      </c>
      <c r="AA2496">
        <v>0</v>
      </c>
      <c r="AC2496">
        <v>0</v>
      </c>
      <c r="AE2496">
        <v>0</v>
      </c>
      <c r="AF2496">
        <v>0</v>
      </c>
      <c r="AG2496">
        <v>985</v>
      </c>
      <c r="AH2496">
        <v>0</v>
      </c>
      <c r="AI2496" s="2">
        <v>4924.9799999999996</v>
      </c>
      <c r="AJ2496" s="2">
        <v>1350.05</v>
      </c>
      <c r="AK2496" s="2">
        <v>1350.05</v>
      </c>
      <c r="AL2496" t="str">
        <f>"$"</f>
        <v>$</v>
      </c>
    </row>
    <row r="2497" spans="1:38" x14ac:dyDescent="0.3">
      <c r="A2497" t="str">
        <f>"SO23000235"</f>
        <v>SO23000235</v>
      </c>
      <c r="B2497" t="str">
        <f>"E000392546"</f>
        <v>E000392546</v>
      </c>
      <c r="C2497" t="str">
        <f>"בוצעה"</f>
        <v>בוצעה</v>
      </c>
      <c r="E2497" s="3">
        <v>45061</v>
      </c>
      <c r="F2497" s="3">
        <v>45280</v>
      </c>
      <c r="G2497" t="str">
        <f>"700065"</f>
        <v>700065</v>
      </c>
      <c r="H2497" t="str">
        <f>"אלתא מערכות בע""מ"</f>
        <v>אלתא מערכות בע"מ</v>
      </c>
      <c r="I2497" t="str">
        <f>"רחמים זרוק"</f>
        <v>רחמים זרוק</v>
      </c>
      <c r="J2497" t="str">
        <f>"OP-AR03634"</f>
        <v>OP-AR03634</v>
      </c>
      <c r="K2497" s="1" t="str">
        <f>"1021M770-001    CABLE ASSY W1"</f>
        <v>1021M770-001    CABLE ASSY W1</v>
      </c>
      <c r="L2497">
        <v>1</v>
      </c>
      <c r="M2497" t="str">
        <f>"PR23000329"</f>
        <v>PR23000329</v>
      </c>
      <c r="N2497" t="str">
        <f>"E000392546"</f>
        <v>E000392546</v>
      </c>
      <c r="O2497">
        <v>247.3</v>
      </c>
      <c r="P2497" t="str">
        <f>"$"</f>
        <v>$</v>
      </c>
      <c r="Q2497" t="str">
        <f>"117"</f>
        <v>117</v>
      </c>
      <c r="R2497" t="str">
        <f>"רתמות"</f>
        <v>רתמות</v>
      </c>
      <c r="S2497" t="str">
        <f>"040"</f>
        <v>040</v>
      </c>
      <c r="T2497" t="str">
        <f>"גנם הודיה"</f>
        <v>גנם הודיה</v>
      </c>
      <c r="U2497">
        <v>0</v>
      </c>
      <c r="V2497">
        <v>0</v>
      </c>
      <c r="W2497">
        <v>247.3</v>
      </c>
      <c r="X2497">
        <v>247.3</v>
      </c>
      <c r="Z2497" t="str">
        <f>"Y"</f>
        <v>Y</v>
      </c>
      <c r="AA2497">
        <v>0</v>
      </c>
      <c r="AC2497">
        <v>0</v>
      </c>
      <c r="AE2497">
        <v>0</v>
      </c>
      <c r="AF2497">
        <v>0</v>
      </c>
      <c r="AG2497">
        <v>902.15</v>
      </c>
      <c r="AH2497">
        <v>0</v>
      </c>
      <c r="AI2497">
        <v>902.15</v>
      </c>
      <c r="AJ2497">
        <v>247.3</v>
      </c>
      <c r="AK2497">
        <v>247.3</v>
      </c>
      <c r="AL2497" t="str">
        <f>"$"</f>
        <v>$</v>
      </c>
    </row>
    <row r="2498" spans="1:38" x14ac:dyDescent="0.3">
      <c r="A2498" t="str">
        <f>"SO23000235"</f>
        <v>SO23000235</v>
      </c>
      <c r="B2498" t="str">
        <f>"E000392546"</f>
        <v>E000392546</v>
      </c>
      <c r="C2498" t="str">
        <f>"בוצעה"</f>
        <v>בוצעה</v>
      </c>
      <c r="E2498" s="3">
        <v>45061</v>
      </c>
      <c r="F2498" s="3">
        <v>45280</v>
      </c>
      <c r="G2498" t="str">
        <f>"700065"</f>
        <v>700065</v>
      </c>
      <c r="H2498" t="str">
        <f>"אלתא מערכות בע""מ"</f>
        <v>אלתא מערכות בע"מ</v>
      </c>
      <c r="I2498" t="str">
        <f>"רחמים זרוק"</f>
        <v>רחמים זרוק</v>
      </c>
      <c r="J2498" t="str">
        <f>"OP-AR03634"</f>
        <v>OP-AR03634</v>
      </c>
      <c r="K2498" s="1" t="str">
        <f>"1021M770-001    CABLE ASSY W1"</f>
        <v>1021M770-001    CABLE ASSY W1</v>
      </c>
      <c r="L2498">
        <v>4</v>
      </c>
      <c r="M2498" t="str">
        <f>"PR23000329"</f>
        <v>PR23000329</v>
      </c>
      <c r="N2498" t="str">
        <f>"E000392546"</f>
        <v>E000392546</v>
      </c>
      <c r="O2498">
        <v>247.3</v>
      </c>
      <c r="P2498" t="str">
        <f>"$"</f>
        <v>$</v>
      </c>
      <c r="Q2498" t="str">
        <f>"117"</f>
        <v>117</v>
      </c>
      <c r="R2498" t="str">
        <f>"רתמות"</f>
        <v>רתמות</v>
      </c>
      <c r="S2498" t="str">
        <f>"040"</f>
        <v>040</v>
      </c>
      <c r="T2498" t="str">
        <f>"גנם הודיה"</f>
        <v>גנם הודיה</v>
      </c>
      <c r="U2498">
        <v>0</v>
      </c>
      <c r="V2498">
        <v>0</v>
      </c>
      <c r="W2498">
        <v>247.3</v>
      </c>
      <c r="X2498">
        <v>989.2</v>
      </c>
      <c r="Z2498" t="str">
        <f>"Y"</f>
        <v>Y</v>
      </c>
      <c r="AA2498">
        <v>0</v>
      </c>
      <c r="AC2498">
        <v>0</v>
      </c>
      <c r="AE2498">
        <v>0</v>
      </c>
      <c r="AF2498">
        <v>0</v>
      </c>
      <c r="AG2498">
        <v>902.15</v>
      </c>
      <c r="AH2498">
        <v>0</v>
      </c>
      <c r="AI2498" s="2">
        <v>3608.6</v>
      </c>
      <c r="AJ2498">
        <v>989.2</v>
      </c>
      <c r="AK2498">
        <v>989.2</v>
      </c>
      <c r="AL2498" t="str">
        <f>"$"</f>
        <v>$</v>
      </c>
    </row>
    <row r="2499" spans="1:38" x14ac:dyDescent="0.3">
      <c r="A2499" t="str">
        <f>"SO23000235"</f>
        <v>SO23000235</v>
      </c>
      <c r="B2499" t="str">
        <f>"E000392546"</f>
        <v>E000392546</v>
      </c>
      <c r="C2499" t="str">
        <f>"בוצעה"</f>
        <v>בוצעה</v>
      </c>
      <c r="E2499" s="3">
        <v>45061</v>
      </c>
      <c r="F2499" s="3">
        <v>45280</v>
      </c>
      <c r="G2499" t="str">
        <f>"700065"</f>
        <v>700065</v>
      </c>
      <c r="H2499" t="str">
        <f>"אלתא מערכות בע""מ"</f>
        <v>אלתא מערכות בע"מ</v>
      </c>
      <c r="I2499" t="str">
        <f>"רחמים זרוק"</f>
        <v>רחמים זרוק</v>
      </c>
      <c r="J2499" t="str">
        <f>"OP-AR03634"</f>
        <v>OP-AR03634</v>
      </c>
      <c r="K2499" s="1" t="str">
        <f>"1021M770-001    CABLE ASSY W1"</f>
        <v>1021M770-001    CABLE ASSY W1</v>
      </c>
      <c r="L2499">
        <v>1</v>
      </c>
      <c r="M2499" t="str">
        <f>"PR23000329"</f>
        <v>PR23000329</v>
      </c>
      <c r="N2499" t="str">
        <f>"E000392546"</f>
        <v>E000392546</v>
      </c>
      <c r="O2499">
        <v>247.3</v>
      </c>
      <c r="P2499" t="str">
        <f>"$"</f>
        <v>$</v>
      </c>
      <c r="Q2499" t="str">
        <f>"117"</f>
        <v>117</v>
      </c>
      <c r="R2499" t="str">
        <f>"רתמות"</f>
        <v>רתמות</v>
      </c>
      <c r="S2499" t="str">
        <f>"040"</f>
        <v>040</v>
      </c>
      <c r="T2499" t="str">
        <f>"גנם הודיה"</f>
        <v>גנם הודיה</v>
      </c>
      <c r="U2499">
        <v>0</v>
      </c>
      <c r="V2499">
        <v>0</v>
      </c>
      <c r="W2499">
        <v>247.3</v>
      </c>
      <c r="X2499">
        <v>247.3</v>
      </c>
      <c r="Z2499" t="str">
        <f>"Y"</f>
        <v>Y</v>
      </c>
      <c r="AA2499">
        <v>0</v>
      </c>
      <c r="AC2499">
        <v>0</v>
      </c>
      <c r="AE2499">
        <v>0</v>
      </c>
      <c r="AF2499">
        <v>0</v>
      </c>
      <c r="AG2499">
        <v>902.15</v>
      </c>
      <c r="AH2499">
        <v>0</v>
      </c>
      <c r="AI2499">
        <v>902.15</v>
      </c>
      <c r="AJ2499">
        <v>247.3</v>
      </c>
      <c r="AK2499">
        <v>247.3</v>
      </c>
      <c r="AL2499" t="str">
        <f>"$"</f>
        <v>$</v>
      </c>
    </row>
    <row r="2500" spans="1:38" x14ac:dyDescent="0.3">
      <c r="A2500" t="str">
        <f>"SO23000235"</f>
        <v>SO23000235</v>
      </c>
      <c r="B2500" t="str">
        <f>"E000392546"</f>
        <v>E000392546</v>
      </c>
      <c r="C2500" t="str">
        <f>"בוצעה"</f>
        <v>בוצעה</v>
      </c>
      <c r="E2500" s="3">
        <v>45061</v>
      </c>
      <c r="F2500" s="3">
        <v>45280</v>
      </c>
      <c r="G2500" t="str">
        <f>"700065"</f>
        <v>700065</v>
      </c>
      <c r="H2500" t="str">
        <f>"אלתא מערכות בע""מ"</f>
        <v>אלתא מערכות בע"מ</v>
      </c>
      <c r="I2500" t="str">
        <f>"רחמים זרוק"</f>
        <v>רחמים זרוק</v>
      </c>
      <c r="J2500" t="str">
        <f>"OP-AR03635"</f>
        <v>OP-AR03635</v>
      </c>
      <c r="K2500" s="1" t="str">
        <f>"1021M771-001    CABLE ASSY W2"</f>
        <v>1021M771-001    CABLE ASSY W2</v>
      </c>
      <c r="L2500">
        <v>1</v>
      </c>
      <c r="M2500" t="str">
        <f>"PR23000329"</f>
        <v>PR23000329</v>
      </c>
      <c r="N2500" t="str">
        <f>"E000392546"</f>
        <v>E000392546</v>
      </c>
      <c r="O2500">
        <v>265.51</v>
      </c>
      <c r="P2500" t="str">
        <f>"$"</f>
        <v>$</v>
      </c>
      <c r="Q2500" t="str">
        <f>"117"</f>
        <v>117</v>
      </c>
      <c r="R2500" t="str">
        <f>"רתמות"</f>
        <v>רתמות</v>
      </c>
      <c r="S2500" t="str">
        <f>"040"</f>
        <v>040</v>
      </c>
      <c r="T2500" t="str">
        <f>"גנם הודיה"</f>
        <v>גנם הודיה</v>
      </c>
      <c r="U2500">
        <v>0</v>
      </c>
      <c r="V2500">
        <v>0</v>
      </c>
      <c r="W2500">
        <v>265.51</v>
      </c>
      <c r="X2500">
        <v>265.51</v>
      </c>
      <c r="Z2500" t="str">
        <f>"Y"</f>
        <v>Y</v>
      </c>
      <c r="AA2500">
        <v>0</v>
      </c>
      <c r="AC2500">
        <v>0</v>
      </c>
      <c r="AE2500">
        <v>0</v>
      </c>
      <c r="AF2500">
        <v>0</v>
      </c>
      <c r="AG2500">
        <v>968.58</v>
      </c>
      <c r="AH2500">
        <v>0</v>
      </c>
      <c r="AI2500">
        <v>968.58</v>
      </c>
      <c r="AJ2500">
        <v>265.51</v>
      </c>
      <c r="AK2500">
        <v>265.51</v>
      </c>
      <c r="AL2500" t="str">
        <f>"$"</f>
        <v>$</v>
      </c>
    </row>
    <row r="2501" spans="1:38" x14ac:dyDescent="0.3">
      <c r="A2501" t="str">
        <f>"SO23000235"</f>
        <v>SO23000235</v>
      </c>
      <c r="B2501" t="str">
        <f>"E000392546"</f>
        <v>E000392546</v>
      </c>
      <c r="C2501" t="str">
        <f>"בוצעה"</f>
        <v>בוצעה</v>
      </c>
      <c r="E2501" s="3">
        <v>45061</v>
      </c>
      <c r="F2501" s="3">
        <v>45280</v>
      </c>
      <c r="G2501" t="str">
        <f>"700065"</f>
        <v>700065</v>
      </c>
      <c r="H2501" t="str">
        <f>"אלתא מערכות בע""מ"</f>
        <v>אלתא מערכות בע"מ</v>
      </c>
      <c r="I2501" t="str">
        <f>"רחמים זרוק"</f>
        <v>רחמים זרוק</v>
      </c>
      <c r="J2501" t="str">
        <f>"OP-AR03635"</f>
        <v>OP-AR03635</v>
      </c>
      <c r="K2501" s="1" t="str">
        <f>"1021M771-001    CABLE ASSY W2"</f>
        <v>1021M771-001    CABLE ASSY W2</v>
      </c>
      <c r="L2501">
        <v>4</v>
      </c>
      <c r="M2501" t="str">
        <f>"PR23000329"</f>
        <v>PR23000329</v>
      </c>
      <c r="N2501" t="str">
        <f>"E000392546"</f>
        <v>E000392546</v>
      </c>
      <c r="O2501">
        <v>265.51</v>
      </c>
      <c r="P2501" t="str">
        <f>"$"</f>
        <v>$</v>
      </c>
      <c r="Q2501" t="str">
        <f>"117"</f>
        <v>117</v>
      </c>
      <c r="R2501" t="str">
        <f>"רתמות"</f>
        <v>רתמות</v>
      </c>
      <c r="S2501" t="str">
        <f>"040"</f>
        <v>040</v>
      </c>
      <c r="T2501" t="str">
        <f>"גנם הודיה"</f>
        <v>גנם הודיה</v>
      </c>
      <c r="U2501">
        <v>0</v>
      </c>
      <c r="V2501">
        <v>0</v>
      </c>
      <c r="W2501">
        <v>265.51</v>
      </c>
      <c r="X2501" s="2">
        <v>1062.04</v>
      </c>
      <c r="Z2501" t="str">
        <f>"Y"</f>
        <v>Y</v>
      </c>
      <c r="AA2501">
        <v>0</v>
      </c>
      <c r="AC2501">
        <v>0</v>
      </c>
      <c r="AE2501">
        <v>0</v>
      </c>
      <c r="AF2501">
        <v>0</v>
      </c>
      <c r="AG2501">
        <v>968.58</v>
      </c>
      <c r="AH2501">
        <v>0</v>
      </c>
      <c r="AI2501" s="2">
        <v>3874.32</v>
      </c>
      <c r="AJ2501" s="2">
        <v>1062.04</v>
      </c>
      <c r="AK2501" s="2">
        <v>1062.04</v>
      </c>
      <c r="AL2501" t="str">
        <f>"$"</f>
        <v>$</v>
      </c>
    </row>
    <row r="2502" spans="1:38" x14ac:dyDescent="0.3">
      <c r="A2502" t="str">
        <f>"SO23000235"</f>
        <v>SO23000235</v>
      </c>
      <c r="B2502" t="str">
        <f>"E000392546"</f>
        <v>E000392546</v>
      </c>
      <c r="C2502" t="str">
        <f>"בוצעה"</f>
        <v>בוצעה</v>
      </c>
      <c r="E2502" s="3">
        <v>45061</v>
      </c>
      <c r="F2502" s="3">
        <v>45280</v>
      </c>
      <c r="G2502" t="str">
        <f>"700065"</f>
        <v>700065</v>
      </c>
      <c r="H2502" t="str">
        <f>"אלתא מערכות בע""מ"</f>
        <v>אלתא מערכות בע"מ</v>
      </c>
      <c r="I2502" t="str">
        <f>"רחמים זרוק"</f>
        <v>רחמים זרוק</v>
      </c>
      <c r="J2502" t="str">
        <f>"OP-AR03635"</f>
        <v>OP-AR03635</v>
      </c>
      <c r="K2502" s="1" t="str">
        <f>"1021M771-001    CABLE ASSY W2"</f>
        <v>1021M771-001    CABLE ASSY W2</v>
      </c>
      <c r="L2502">
        <v>1</v>
      </c>
      <c r="M2502" t="str">
        <f>"PR23000329"</f>
        <v>PR23000329</v>
      </c>
      <c r="N2502" t="str">
        <f>"E000392546"</f>
        <v>E000392546</v>
      </c>
      <c r="O2502">
        <v>265.51</v>
      </c>
      <c r="P2502" t="str">
        <f>"$"</f>
        <v>$</v>
      </c>
      <c r="Q2502" t="str">
        <f>"117"</f>
        <v>117</v>
      </c>
      <c r="R2502" t="str">
        <f>"רתמות"</f>
        <v>רתמות</v>
      </c>
      <c r="S2502" t="str">
        <f>"040"</f>
        <v>040</v>
      </c>
      <c r="T2502" t="str">
        <f>"גנם הודיה"</f>
        <v>גנם הודיה</v>
      </c>
      <c r="U2502">
        <v>0</v>
      </c>
      <c r="V2502">
        <v>0</v>
      </c>
      <c r="W2502">
        <v>265.51</v>
      </c>
      <c r="X2502">
        <v>265.51</v>
      </c>
      <c r="Z2502" t="str">
        <f>"Y"</f>
        <v>Y</v>
      </c>
      <c r="AA2502">
        <v>0</v>
      </c>
      <c r="AC2502">
        <v>0</v>
      </c>
      <c r="AE2502">
        <v>0</v>
      </c>
      <c r="AF2502">
        <v>0</v>
      </c>
      <c r="AG2502">
        <v>968.58</v>
      </c>
      <c r="AH2502">
        <v>0</v>
      </c>
      <c r="AI2502">
        <v>968.58</v>
      </c>
      <c r="AJ2502">
        <v>265.51</v>
      </c>
      <c r="AK2502">
        <v>265.51</v>
      </c>
      <c r="AL2502" t="str">
        <f>"$"</f>
        <v>$</v>
      </c>
    </row>
    <row r="2503" spans="1:38" x14ac:dyDescent="0.3">
      <c r="A2503" t="str">
        <f>"SO23000235"</f>
        <v>SO23000235</v>
      </c>
      <c r="B2503" t="str">
        <f>"E000392546"</f>
        <v>E000392546</v>
      </c>
      <c r="C2503" t="str">
        <f>"בוצעה"</f>
        <v>בוצעה</v>
      </c>
      <c r="E2503" s="3">
        <v>45061</v>
      </c>
      <c r="F2503" s="3">
        <v>45280</v>
      </c>
      <c r="G2503" t="str">
        <f>"700065"</f>
        <v>700065</v>
      </c>
      <c r="H2503" t="str">
        <f>"אלתא מערכות בע""מ"</f>
        <v>אלתא מערכות בע"מ</v>
      </c>
      <c r="I2503" t="str">
        <f>"רחמים זרוק"</f>
        <v>רחמים זרוק</v>
      </c>
      <c r="J2503" t="str">
        <f>"OP-AR03636"</f>
        <v>OP-AR03636</v>
      </c>
      <c r="K2503" s="1" t="str">
        <f>"1021M772-001    CABLE ASSY W3"</f>
        <v>1021M772-001    CABLE ASSY W3</v>
      </c>
      <c r="L2503">
        <v>1</v>
      </c>
      <c r="M2503" t="str">
        <f>"PR23000329"</f>
        <v>PR23000329</v>
      </c>
      <c r="N2503" t="str">
        <f>"E000392546"</f>
        <v>E000392546</v>
      </c>
      <c r="O2503">
        <v>184.09</v>
      </c>
      <c r="P2503" t="str">
        <f>"$"</f>
        <v>$</v>
      </c>
      <c r="Q2503" t="str">
        <f>"117"</f>
        <v>117</v>
      </c>
      <c r="R2503" t="str">
        <f>"רתמות"</f>
        <v>רתמות</v>
      </c>
      <c r="S2503" t="str">
        <f>"040"</f>
        <v>040</v>
      </c>
      <c r="T2503" t="str">
        <f>"גנם הודיה"</f>
        <v>גנם הודיה</v>
      </c>
      <c r="U2503">
        <v>0</v>
      </c>
      <c r="V2503">
        <v>0</v>
      </c>
      <c r="W2503">
        <v>184.09</v>
      </c>
      <c r="X2503">
        <v>184.09</v>
      </c>
      <c r="Z2503" t="str">
        <f>"Y"</f>
        <v>Y</v>
      </c>
      <c r="AA2503">
        <v>0</v>
      </c>
      <c r="AC2503">
        <v>0</v>
      </c>
      <c r="AE2503">
        <v>0</v>
      </c>
      <c r="AF2503">
        <v>0</v>
      </c>
      <c r="AG2503">
        <v>671.56</v>
      </c>
      <c r="AH2503">
        <v>0</v>
      </c>
      <c r="AI2503">
        <v>671.56</v>
      </c>
      <c r="AJ2503">
        <v>184.09</v>
      </c>
      <c r="AK2503">
        <v>184.09</v>
      </c>
      <c r="AL2503" t="str">
        <f>"$"</f>
        <v>$</v>
      </c>
    </row>
    <row r="2504" spans="1:38" x14ac:dyDescent="0.3">
      <c r="A2504" t="str">
        <f>"SO23000235"</f>
        <v>SO23000235</v>
      </c>
      <c r="B2504" t="str">
        <f>"E000392546"</f>
        <v>E000392546</v>
      </c>
      <c r="C2504" t="str">
        <f>"בוצעה"</f>
        <v>בוצעה</v>
      </c>
      <c r="E2504" s="3">
        <v>45061</v>
      </c>
      <c r="F2504" s="3">
        <v>45280</v>
      </c>
      <c r="G2504" t="str">
        <f>"700065"</f>
        <v>700065</v>
      </c>
      <c r="H2504" t="str">
        <f>"אלתא מערכות בע""מ"</f>
        <v>אלתא מערכות בע"מ</v>
      </c>
      <c r="I2504" t="str">
        <f>"רחמים זרוק"</f>
        <v>רחמים זרוק</v>
      </c>
      <c r="J2504" t="str">
        <f>"OP-AR03636"</f>
        <v>OP-AR03636</v>
      </c>
      <c r="K2504" s="1" t="str">
        <f>"1021M772-001    CABLE ASSY W3"</f>
        <v>1021M772-001    CABLE ASSY W3</v>
      </c>
      <c r="L2504">
        <v>4</v>
      </c>
      <c r="M2504" t="str">
        <f>"PR23000329"</f>
        <v>PR23000329</v>
      </c>
      <c r="N2504" t="str">
        <f>"E000392546"</f>
        <v>E000392546</v>
      </c>
      <c r="O2504">
        <v>184.09</v>
      </c>
      <c r="P2504" t="str">
        <f>"$"</f>
        <v>$</v>
      </c>
      <c r="Q2504" t="str">
        <f>"117"</f>
        <v>117</v>
      </c>
      <c r="R2504" t="str">
        <f>"רתמות"</f>
        <v>רתמות</v>
      </c>
      <c r="S2504" t="str">
        <f>"040"</f>
        <v>040</v>
      </c>
      <c r="T2504" t="str">
        <f>"גנם הודיה"</f>
        <v>גנם הודיה</v>
      </c>
      <c r="U2504">
        <v>0</v>
      </c>
      <c r="V2504">
        <v>0</v>
      </c>
      <c r="W2504">
        <v>184.09</v>
      </c>
      <c r="X2504">
        <v>736.36</v>
      </c>
      <c r="Z2504" t="str">
        <f>"Y"</f>
        <v>Y</v>
      </c>
      <c r="AA2504">
        <v>0</v>
      </c>
      <c r="AC2504">
        <v>0</v>
      </c>
      <c r="AE2504">
        <v>0</v>
      </c>
      <c r="AF2504">
        <v>0</v>
      </c>
      <c r="AG2504">
        <v>671.56</v>
      </c>
      <c r="AH2504">
        <v>0</v>
      </c>
      <c r="AI2504" s="2">
        <v>2686.24</v>
      </c>
      <c r="AJ2504">
        <v>736.36</v>
      </c>
      <c r="AK2504">
        <v>736.36</v>
      </c>
      <c r="AL2504" t="str">
        <f>"$"</f>
        <v>$</v>
      </c>
    </row>
    <row r="2505" spans="1:38" x14ac:dyDescent="0.3">
      <c r="A2505" t="str">
        <f>"SO23000235"</f>
        <v>SO23000235</v>
      </c>
      <c r="B2505" t="str">
        <f>"E000392546"</f>
        <v>E000392546</v>
      </c>
      <c r="C2505" t="str">
        <f>"בוצעה"</f>
        <v>בוצעה</v>
      </c>
      <c r="E2505" s="3">
        <v>45061</v>
      </c>
      <c r="F2505" s="3">
        <v>45280</v>
      </c>
      <c r="G2505" t="str">
        <f>"700065"</f>
        <v>700065</v>
      </c>
      <c r="H2505" t="str">
        <f>"אלתא מערכות בע""מ"</f>
        <v>אלתא מערכות בע"מ</v>
      </c>
      <c r="I2505" t="str">
        <f>"רחמים זרוק"</f>
        <v>רחמים זרוק</v>
      </c>
      <c r="J2505" t="str">
        <f>"OP-AR03636"</f>
        <v>OP-AR03636</v>
      </c>
      <c r="K2505" s="1" t="str">
        <f>"1021M772-001    CABLE ASSY W3"</f>
        <v>1021M772-001    CABLE ASSY W3</v>
      </c>
      <c r="L2505">
        <v>1</v>
      </c>
      <c r="M2505" t="str">
        <f>"PR23000329"</f>
        <v>PR23000329</v>
      </c>
      <c r="N2505" t="str">
        <f>"E000392546"</f>
        <v>E000392546</v>
      </c>
      <c r="O2505">
        <v>184.09</v>
      </c>
      <c r="P2505" t="str">
        <f>"$"</f>
        <v>$</v>
      </c>
      <c r="Q2505" t="str">
        <f>"117"</f>
        <v>117</v>
      </c>
      <c r="R2505" t="str">
        <f>"רתמות"</f>
        <v>רתמות</v>
      </c>
      <c r="S2505" t="str">
        <f>"040"</f>
        <v>040</v>
      </c>
      <c r="T2505" t="str">
        <f>"גנם הודיה"</f>
        <v>גנם הודיה</v>
      </c>
      <c r="U2505">
        <v>0</v>
      </c>
      <c r="V2505">
        <v>0</v>
      </c>
      <c r="W2505">
        <v>184.09</v>
      </c>
      <c r="X2505">
        <v>184.09</v>
      </c>
      <c r="Z2505" t="str">
        <f>"Y"</f>
        <v>Y</v>
      </c>
      <c r="AA2505">
        <v>0</v>
      </c>
      <c r="AC2505">
        <v>0</v>
      </c>
      <c r="AE2505">
        <v>0</v>
      </c>
      <c r="AF2505">
        <v>0</v>
      </c>
      <c r="AG2505">
        <v>671.56</v>
      </c>
      <c r="AH2505">
        <v>0</v>
      </c>
      <c r="AI2505">
        <v>671.56</v>
      </c>
      <c r="AJ2505">
        <v>184.09</v>
      </c>
      <c r="AK2505">
        <v>184.09</v>
      </c>
      <c r="AL2505" t="str">
        <f>"$"</f>
        <v>$</v>
      </c>
    </row>
    <row r="2506" spans="1:38" x14ac:dyDescent="0.3">
      <c r="A2506" t="str">
        <f>"SO23000235"</f>
        <v>SO23000235</v>
      </c>
      <c r="B2506" t="str">
        <f>"E000392546"</f>
        <v>E000392546</v>
      </c>
      <c r="C2506" t="str">
        <f>"בוצעה"</f>
        <v>בוצעה</v>
      </c>
      <c r="E2506" s="3">
        <v>45061</v>
      </c>
      <c r="F2506" s="3">
        <v>45280</v>
      </c>
      <c r="G2506" t="str">
        <f>"700065"</f>
        <v>700065</v>
      </c>
      <c r="H2506" t="str">
        <f>"אלתא מערכות בע""מ"</f>
        <v>אלתא מערכות בע"מ</v>
      </c>
      <c r="I2506" t="str">
        <f>"רחמים זרוק"</f>
        <v>רחמים זרוק</v>
      </c>
      <c r="J2506" t="str">
        <f>"OP-AR03637"</f>
        <v>OP-AR03637</v>
      </c>
      <c r="K2506" s="1" t="str">
        <f>"1021M773-001    CABLE ASSY W4"</f>
        <v>1021M773-001    CABLE ASSY W4</v>
      </c>
      <c r="L2506">
        <v>1</v>
      </c>
      <c r="M2506" t="str">
        <f>"PR23000329"</f>
        <v>PR23000329</v>
      </c>
      <c r="N2506" t="str">
        <f>"E000392546"</f>
        <v>E000392546</v>
      </c>
      <c r="O2506">
        <v>267.99</v>
      </c>
      <c r="P2506" t="str">
        <f>"$"</f>
        <v>$</v>
      </c>
      <c r="Q2506" t="str">
        <f>"117"</f>
        <v>117</v>
      </c>
      <c r="R2506" t="str">
        <f>"רתמות"</f>
        <v>רתמות</v>
      </c>
      <c r="S2506" t="str">
        <f>"040"</f>
        <v>040</v>
      </c>
      <c r="T2506" t="str">
        <f>"גנם הודיה"</f>
        <v>גנם הודיה</v>
      </c>
      <c r="U2506">
        <v>0</v>
      </c>
      <c r="V2506">
        <v>0</v>
      </c>
      <c r="W2506">
        <v>267.99</v>
      </c>
      <c r="X2506">
        <v>267.99</v>
      </c>
      <c r="Z2506" t="str">
        <f>"Y"</f>
        <v>Y</v>
      </c>
      <c r="AA2506">
        <v>0</v>
      </c>
      <c r="AC2506">
        <v>0</v>
      </c>
      <c r="AE2506">
        <v>0</v>
      </c>
      <c r="AF2506">
        <v>0</v>
      </c>
      <c r="AG2506">
        <v>977.63</v>
      </c>
      <c r="AH2506">
        <v>0</v>
      </c>
      <c r="AI2506">
        <v>977.63</v>
      </c>
      <c r="AJ2506">
        <v>267.99</v>
      </c>
      <c r="AK2506">
        <v>267.99</v>
      </c>
      <c r="AL2506" t="str">
        <f>"$"</f>
        <v>$</v>
      </c>
    </row>
    <row r="2507" spans="1:38" x14ac:dyDescent="0.3">
      <c r="A2507" t="str">
        <f>"SO23000235"</f>
        <v>SO23000235</v>
      </c>
      <c r="B2507" t="str">
        <f>"E000392546"</f>
        <v>E000392546</v>
      </c>
      <c r="C2507" t="str">
        <f>"בוצעה"</f>
        <v>בוצעה</v>
      </c>
      <c r="E2507" s="3">
        <v>45061</v>
      </c>
      <c r="F2507" s="3">
        <v>45280</v>
      </c>
      <c r="G2507" t="str">
        <f>"700065"</f>
        <v>700065</v>
      </c>
      <c r="H2507" t="str">
        <f>"אלתא מערכות בע""מ"</f>
        <v>אלתא מערכות בע"מ</v>
      </c>
      <c r="I2507" t="str">
        <f>"רחמים זרוק"</f>
        <v>רחמים זרוק</v>
      </c>
      <c r="J2507" t="str">
        <f>"OP-AR03637"</f>
        <v>OP-AR03637</v>
      </c>
      <c r="K2507" s="1" t="str">
        <f>"1021M773-001    CABLE ASSY W4"</f>
        <v>1021M773-001    CABLE ASSY W4</v>
      </c>
      <c r="L2507">
        <v>4</v>
      </c>
      <c r="M2507" t="str">
        <f>"PR23000329"</f>
        <v>PR23000329</v>
      </c>
      <c r="N2507" t="str">
        <f>"E000392546"</f>
        <v>E000392546</v>
      </c>
      <c r="O2507">
        <v>267.99</v>
      </c>
      <c r="P2507" t="str">
        <f>"$"</f>
        <v>$</v>
      </c>
      <c r="Q2507" t="str">
        <f>"117"</f>
        <v>117</v>
      </c>
      <c r="R2507" t="str">
        <f>"רתמות"</f>
        <v>רתמות</v>
      </c>
      <c r="S2507" t="str">
        <f>"040"</f>
        <v>040</v>
      </c>
      <c r="T2507" t="str">
        <f>"גנם הודיה"</f>
        <v>גנם הודיה</v>
      </c>
      <c r="U2507">
        <v>0</v>
      </c>
      <c r="V2507">
        <v>0</v>
      </c>
      <c r="W2507">
        <v>267.99</v>
      </c>
      <c r="X2507" s="2">
        <v>1071.96</v>
      </c>
      <c r="Z2507" t="str">
        <f>"Y"</f>
        <v>Y</v>
      </c>
      <c r="AA2507">
        <v>0</v>
      </c>
      <c r="AC2507">
        <v>0</v>
      </c>
      <c r="AE2507">
        <v>0</v>
      </c>
      <c r="AF2507">
        <v>0</v>
      </c>
      <c r="AG2507">
        <v>977.63</v>
      </c>
      <c r="AH2507">
        <v>0</v>
      </c>
      <c r="AI2507" s="2">
        <v>3910.51</v>
      </c>
      <c r="AJ2507" s="2">
        <v>1071.96</v>
      </c>
      <c r="AK2507" s="2">
        <v>1071.96</v>
      </c>
      <c r="AL2507" t="str">
        <f>"$"</f>
        <v>$</v>
      </c>
    </row>
    <row r="2508" spans="1:38" x14ac:dyDescent="0.3">
      <c r="A2508" t="str">
        <f>"SO23000235"</f>
        <v>SO23000235</v>
      </c>
      <c r="B2508" t="str">
        <f>"E000392546"</f>
        <v>E000392546</v>
      </c>
      <c r="C2508" t="str">
        <f>"בוצעה"</f>
        <v>בוצעה</v>
      </c>
      <c r="E2508" s="3">
        <v>45061</v>
      </c>
      <c r="F2508" s="3">
        <v>45280</v>
      </c>
      <c r="G2508" t="str">
        <f>"700065"</f>
        <v>700065</v>
      </c>
      <c r="H2508" t="str">
        <f>"אלתא מערכות בע""מ"</f>
        <v>אלתא מערכות בע"מ</v>
      </c>
      <c r="I2508" t="str">
        <f>"רחמים זרוק"</f>
        <v>רחמים זרוק</v>
      </c>
      <c r="J2508" t="str">
        <f>"OP-AR03637"</f>
        <v>OP-AR03637</v>
      </c>
      <c r="K2508" s="1" t="str">
        <f>"1021M773-001    CABLE ASSY W4"</f>
        <v>1021M773-001    CABLE ASSY W4</v>
      </c>
      <c r="L2508">
        <v>1</v>
      </c>
      <c r="M2508" t="str">
        <f>"PR23000329"</f>
        <v>PR23000329</v>
      </c>
      <c r="N2508" t="str">
        <f>"E000392546"</f>
        <v>E000392546</v>
      </c>
      <c r="O2508">
        <v>267.99</v>
      </c>
      <c r="P2508" t="str">
        <f>"$"</f>
        <v>$</v>
      </c>
      <c r="Q2508" t="str">
        <f>"117"</f>
        <v>117</v>
      </c>
      <c r="R2508" t="str">
        <f>"רתמות"</f>
        <v>רתמות</v>
      </c>
      <c r="S2508" t="str">
        <f>"040"</f>
        <v>040</v>
      </c>
      <c r="T2508" t="str">
        <f>"גנם הודיה"</f>
        <v>גנם הודיה</v>
      </c>
      <c r="U2508">
        <v>0</v>
      </c>
      <c r="V2508">
        <v>0</v>
      </c>
      <c r="W2508">
        <v>267.99</v>
      </c>
      <c r="X2508">
        <v>267.99</v>
      </c>
      <c r="Z2508" t="str">
        <f>"Y"</f>
        <v>Y</v>
      </c>
      <c r="AA2508">
        <v>0</v>
      </c>
      <c r="AC2508">
        <v>0</v>
      </c>
      <c r="AE2508">
        <v>0</v>
      </c>
      <c r="AF2508">
        <v>0</v>
      </c>
      <c r="AG2508">
        <v>977.63</v>
      </c>
      <c r="AH2508">
        <v>0</v>
      </c>
      <c r="AI2508">
        <v>977.63</v>
      </c>
      <c r="AJ2508">
        <v>267.99</v>
      </c>
      <c r="AK2508">
        <v>267.99</v>
      </c>
      <c r="AL2508" t="str">
        <f>"$"</f>
        <v>$</v>
      </c>
    </row>
    <row r="2509" spans="1:38" x14ac:dyDescent="0.3">
      <c r="A2509" t="str">
        <f>"SO23000235"</f>
        <v>SO23000235</v>
      </c>
      <c r="B2509" t="str">
        <f>"E000392546"</f>
        <v>E000392546</v>
      </c>
      <c r="C2509" t="str">
        <f>"בוצעה"</f>
        <v>בוצעה</v>
      </c>
      <c r="E2509" s="3">
        <v>45061</v>
      </c>
      <c r="F2509" s="3">
        <v>45280</v>
      </c>
      <c r="G2509" t="str">
        <f>"700065"</f>
        <v>700065</v>
      </c>
      <c r="H2509" t="str">
        <f>"אלתא מערכות בע""מ"</f>
        <v>אלתא מערכות בע"מ</v>
      </c>
      <c r="I2509" t="str">
        <f>"רחמים זרוק"</f>
        <v>רחמים זרוק</v>
      </c>
      <c r="J2509" t="str">
        <f>"OP-AR03638"</f>
        <v>OP-AR03638</v>
      </c>
      <c r="K2509" s="1" t="str">
        <f>"1021M774-001    CABLE ASSY W5"</f>
        <v>1021M774-001    CABLE ASSY W5</v>
      </c>
      <c r="L2509">
        <v>1</v>
      </c>
      <c r="M2509" t="str">
        <f>"PR23000329"</f>
        <v>PR23000329</v>
      </c>
      <c r="N2509" t="str">
        <f>"E000392546"</f>
        <v>E000392546</v>
      </c>
      <c r="O2509">
        <v>181.82</v>
      </c>
      <c r="P2509" t="str">
        <f>"$"</f>
        <v>$</v>
      </c>
      <c r="Q2509" t="str">
        <f>"117"</f>
        <v>117</v>
      </c>
      <c r="R2509" t="str">
        <f>"רתמות"</f>
        <v>רתמות</v>
      </c>
      <c r="S2509" t="str">
        <f>"040"</f>
        <v>040</v>
      </c>
      <c r="T2509" t="str">
        <f>"גנם הודיה"</f>
        <v>גנם הודיה</v>
      </c>
      <c r="U2509">
        <v>0</v>
      </c>
      <c r="V2509">
        <v>0</v>
      </c>
      <c r="W2509">
        <v>181.82</v>
      </c>
      <c r="X2509">
        <v>181.82</v>
      </c>
      <c r="Z2509" t="str">
        <f>"Y"</f>
        <v>Y</v>
      </c>
      <c r="AA2509">
        <v>0</v>
      </c>
      <c r="AC2509">
        <v>0</v>
      </c>
      <c r="AE2509">
        <v>0</v>
      </c>
      <c r="AF2509">
        <v>0</v>
      </c>
      <c r="AG2509">
        <v>663.28</v>
      </c>
      <c r="AH2509">
        <v>0</v>
      </c>
      <c r="AI2509">
        <v>663.28</v>
      </c>
      <c r="AJ2509">
        <v>181.82</v>
      </c>
      <c r="AK2509">
        <v>181.82</v>
      </c>
      <c r="AL2509" t="str">
        <f>"$"</f>
        <v>$</v>
      </c>
    </row>
    <row r="2510" spans="1:38" x14ac:dyDescent="0.3">
      <c r="A2510" t="str">
        <f>"SO23000235"</f>
        <v>SO23000235</v>
      </c>
      <c r="B2510" t="str">
        <f>"E000392546"</f>
        <v>E000392546</v>
      </c>
      <c r="C2510" t="str">
        <f>"בוצעה"</f>
        <v>בוצעה</v>
      </c>
      <c r="E2510" s="3">
        <v>45061</v>
      </c>
      <c r="F2510" s="3">
        <v>45280</v>
      </c>
      <c r="G2510" t="str">
        <f>"700065"</f>
        <v>700065</v>
      </c>
      <c r="H2510" t="str">
        <f>"אלתא מערכות בע""מ"</f>
        <v>אלתא מערכות בע"מ</v>
      </c>
      <c r="I2510" t="str">
        <f>"רחמים זרוק"</f>
        <v>רחמים זרוק</v>
      </c>
      <c r="J2510" t="str">
        <f>"OP-AR03638"</f>
        <v>OP-AR03638</v>
      </c>
      <c r="K2510" s="1" t="str">
        <f>"1021M774-001    CABLE ASSY W5"</f>
        <v>1021M774-001    CABLE ASSY W5</v>
      </c>
      <c r="L2510">
        <v>1</v>
      </c>
      <c r="M2510" t="str">
        <f>"PR23000329"</f>
        <v>PR23000329</v>
      </c>
      <c r="N2510" t="str">
        <f>"E000392546"</f>
        <v>E000392546</v>
      </c>
      <c r="O2510">
        <v>181.82</v>
      </c>
      <c r="P2510" t="str">
        <f>"$"</f>
        <v>$</v>
      </c>
      <c r="Q2510" t="str">
        <f>"117"</f>
        <v>117</v>
      </c>
      <c r="R2510" t="str">
        <f>"רתמות"</f>
        <v>רתמות</v>
      </c>
      <c r="S2510" t="str">
        <f>"040"</f>
        <v>040</v>
      </c>
      <c r="T2510" t="str">
        <f>"גנם הודיה"</f>
        <v>גנם הודיה</v>
      </c>
      <c r="U2510">
        <v>0</v>
      </c>
      <c r="V2510">
        <v>0</v>
      </c>
      <c r="W2510">
        <v>181.82</v>
      </c>
      <c r="X2510">
        <v>181.82</v>
      </c>
      <c r="Z2510" t="str">
        <f>"Y"</f>
        <v>Y</v>
      </c>
      <c r="AA2510">
        <v>0</v>
      </c>
      <c r="AC2510">
        <v>0</v>
      </c>
      <c r="AE2510">
        <v>0</v>
      </c>
      <c r="AF2510">
        <v>0</v>
      </c>
      <c r="AG2510">
        <v>663.28</v>
      </c>
      <c r="AH2510">
        <v>0</v>
      </c>
      <c r="AI2510">
        <v>663.28</v>
      </c>
      <c r="AJ2510">
        <v>181.82</v>
      </c>
      <c r="AK2510">
        <v>181.82</v>
      </c>
      <c r="AL2510" t="str">
        <f>"$"</f>
        <v>$</v>
      </c>
    </row>
    <row r="2511" spans="1:38" x14ac:dyDescent="0.3">
      <c r="A2511" t="str">
        <f>"SO23000235"</f>
        <v>SO23000235</v>
      </c>
      <c r="B2511" t="str">
        <f>"E000392546"</f>
        <v>E000392546</v>
      </c>
      <c r="C2511" t="str">
        <f>"בוצעה"</f>
        <v>בוצעה</v>
      </c>
      <c r="E2511" s="3">
        <v>45061</v>
      </c>
      <c r="F2511" s="3">
        <v>45280</v>
      </c>
      <c r="G2511" t="str">
        <f>"700065"</f>
        <v>700065</v>
      </c>
      <c r="H2511" t="str">
        <f>"אלתא מערכות בע""מ"</f>
        <v>אלתא מערכות בע"מ</v>
      </c>
      <c r="I2511" t="str">
        <f>"רחמים זרוק"</f>
        <v>רחמים זרוק</v>
      </c>
      <c r="J2511" t="str">
        <f>"OP-AR03638"</f>
        <v>OP-AR03638</v>
      </c>
      <c r="K2511" s="1" t="str">
        <f>"1021M774-001    CABLE ASSY W5"</f>
        <v>1021M774-001    CABLE ASSY W5</v>
      </c>
      <c r="L2511">
        <v>4</v>
      </c>
      <c r="M2511" t="str">
        <f>"PR23000329"</f>
        <v>PR23000329</v>
      </c>
      <c r="N2511" t="str">
        <f>"E000392546"</f>
        <v>E000392546</v>
      </c>
      <c r="O2511">
        <v>181.82</v>
      </c>
      <c r="P2511" t="str">
        <f>"$"</f>
        <v>$</v>
      </c>
      <c r="Q2511" t="str">
        <f>"117"</f>
        <v>117</v>
      </c>
      <c r="R2511" t="str">
        <f>"רתמות"</f>
        <v>רתמות</v>
      </c>
      <c r="S2511" t="str">
        <f>"040"</f>
        <v>040</v>
      </c>
      <c r="T2511" t="str">
        <f>"גנם הודיה"</f>
        <v>גנם הודיה</v>
      </c>
      <c r="U2511">
        <v>0</v>
      </c>
      <c r="V2511">
        <v>0</v>
      </c>
      <c r="W2511">
        <v>181.82</v>
      </c>
      <c r="X2511">
        <v>727.28</v>
      </c>
      <c r="Z2511" t="str">
        <f>"Y"</f>
        <v>Y</v>
      </c>
      <c r="AA2511">
        <v>0</v>
      </c>
      <c r="AC2511">
        <v>0</v>
      </c>
      <c r="AE2511">
        <v>0</v>
      </c>
      <c r="AF2511">
        <v>0</v>
      </c>
      <c r="AG2511">
        <v>663.28</v>
      </c>
      <c r="AH2511">
        <v>0</v>
      </c>
      <c r="AI2511" s="2">
        <v>2653.12</v>
      </c>
      <c r="AJ2511">
        <v>727.28</v>
      </c>
      <c r="AK2511">
        <v>727.28</v>
      </c>
      <c r="AL2511" t="str">
        <f>"$"</f>
        <v>$</v>
      </c>
    </row>
    <row r="2512" spans="1:38" x14ac:dyDescent="0.3">
      <c r="A2512" t="str">
        <f>"SO23000235"</f>
        <v>SO23000235</v>
      </c>
      <c r="B2512" t="str">
        <f>"E000392546"</f>
        <v>E000392546</v>
      </c>
      <c r="C2512" t="str">
        <f>"בוצעה"</f>
        <v>בוצעה</v>
      </c>
      <c r="E2512" s="3">
        <v>45061</v>
      </c>
      <c r="F2512" s="3">
        <v>45280</v>
      </c>
      <c r="G2512" t="str">
        <f>"700065"</f>
        <v>700065</v>
      </c>
      <c r="H2512" t="str">
        <f>"אלתא מערכות בע""מ"</f>
        <v>אלתא מערכות בע"מ</v>
      </c>
      <c r="I2512" t="str">
        <f>"רחמים זרוק"</f>
        <v>רחמים זרוק</v>
      </c>
      <c r="J2512" t="str">
        <f>"OP-AR03639"</f>
        <v>OP-AR03639</v>
      </c>
      <c r="K2512" s="1" t="str">
        <f>"1021M775-001    CABLE ASSY W6"</f>
        <v>1021M775-001    CABLE ASSY W6</v>
      </c>
      <c r="L2512">
        <v>1</v>
      </c>
      <c r="M2512" t="str">
        <f>"PR23000329"</f>
        <v>PR23000329</v>
      </c>
      <c r="N2512" t="str">
        <f>"E000392546"</f>
        <v>E000392546</v>
      </c>
      <c r="O2512">
        <v>299.87</v>
      </c>
      <c r="P2512" t="str">
        <f>"$"</f>
        <v>$</v>
      </c>
      <c r="Q2512" t="str">
        <f>"117"</f>
        <v>117</v>
      </c>
      <c r="R2512" t="str">
        <f>"רתמות"</f>
        <v>רתמות</v>
      </c>
      <c r="S2512" t="str">
        <f>"040"</f>
        <v>040</v>
      </c>
      <c r="T2512" t="str">
        <f>"גנם הודיה"</f>
        <v>גנם הודיה</v>
      </c>
      <c r="U2512">
        <v>0</v>
      </c>
      <c r="V2512">
        <v>0</v>
      </c>
      <c r="W2512">
        <v>299.87</v>
      </c>
      <c r="X2512">
        <v>299.87</v>
      </c>
      <c r="Z2512" t="str">
        <f>"Y"</f>
        <v>Y</v>
      </c>
      <c r="AA2512">
        <v>0</v>
      </c>
      <c r="AC2512">
        <v>0</v>
      </c>
      <c r="AE2512">
        <v>0</v>
      </c>
      <c r="AF2512">
        <v>0</v>
      </c>
      <c r="AG2512" s="2">
        <v>1093.93</v>
      </c>
      <c r="AH2512">
        <v>0</v>
      </c>
      <c r="AI2512" s="2">
        <v>1093.93</v>
      </c>
      <c r="AJ2512">
        <v>299.87</v>
      </c>
      <c r="AK2512">
        <v>299.87</v>
      </c>
      <c r="AL2512" t="str">
        <f>"$"</f>
        <v>$</v>
      </c>
    </row>
    <row r="2513" spans="1:38" x14ac:dyDescent="0.3">
      <c r="A2513" t="str">
        <f>"SO23000235"</f>
        <v>SO23000235</v>
      </c>
      <c r="B2513" t="str">
        <f>"E000392546"</f>
        <v>E000392546</v>
      </c>
      <c r="C2513" t="str">
        <f>"בוצעה"</f>
        <v>בוצעה</v>
      </c>
      <c r="E2513" s="3">
        <v>45061</v>
      </c>
      <c r="F2513" s="3">
        <v>45280</v>
      </c>
      <c r="G2513" t="str">
        <f>"700065"</f>
        <v>700065</v>
      </c>
      <c r="H2513" t="str">
        <f>"אלתא מערכות בע""מ"</f>
        <v>אלתא מערכות בע"מ</v>
      </c>
      <c r="I2513" t="str">
        <f>"רחמים זרוק"</f>
        <v>רחמים זרוק</v>
      </c>
      <c r="J2513" t="str">
        <f>"OP-AR03639"</f>
        <v>OP-AR03639</v>
      </c>
      <c r="K2513" s="1" t="str">
        <f>"1021M775-001    CABLE ASSY W6"</f>
        <v>1021M775-001    CABLE ASSY W6</v>
      </c>
      <c r="L2513">
        <v>4</v>
      </c>
      <c r="M2513" t="str">
        <f>"PR23000329"</f>
        <v>PR23000329</v>
      </c>
      <c r="N2513" t="str">
        <f>"E000392546"</f>
        <v>E000392546</v>
      </c>
      <c r="O2513">
        <v>299.87</v>
      </c>
      <c r="P2513" t="str">
        <f>"$"</f>
        <v>$</v>
      </c>
      <c r="Q2513" t="str">
        <f>"117"</f>
        <v>117</v>
      </c>
      <c r="R2513" t="str">
        <f>"רתמות"</f>
        <v>רתמות</v>
      </c>
      <c r="S2513" t="str">
        <f>"040"</f>
        <v>040</v>
      </c>
      <c r="T2513" t="str">
        <f>"גנם הודיה"</f>
        <v>גנם הודיה</v>
      </c>
      <c r="U2513">
        <v>0</v>
      </c>
      <c r="V2513">
        <v>0</v>
      </c>
      <c r="W2513">
        <v>299.87</v>
      </c>
      <c r="X2513" s="2">
        <v>1199.48</v>
      </c>
      <c r="Z2513" t="str">
        <f>"Y"</f>
        <v>Y</v>
      </c>
      <c r="AA2513">
        <v>0</v>
      </c>
      <c r="AC2513">
        <v>0</v>
      </c>
      <c r="AE2513">
        <v>0</v>
      </c>
      <c r="AF2513">
        <v>0</v>
      </c>
      <c r="AG2513" s="2">
        <v>1093.93</v>
      </c>
      <c r="AH2513">
        <v>0</v>
      </c>
      <c r="AI2513" s="2">
        <v>4375.7</v>
      </c>
      <c r="AJ2513" s="2">
        <v>1199.48</v>
      </c>
      <c r="AK2513" s="2">
        <v>1199.48</v>
      </c>
      <c r="AL2513" t="str">
        <f>"$"</f>
        <v>$</v>
      </c>
    </row>
    <row r="2514" spans="1:38" x14ac:dyDescent="0.3">
      <c r="A2514" t="str">
        <f>"SO23000235"</f>
        <v>SO23000235</v>
      </c>
      <c r="B2514" t="str">
        <f>"E000392546"</f>
        <v>E000392546</v>
      </c>
      <c r="C2514" t="str">
        <f>"בוצעה"</f>
        <v>בוצעה</v>
      </c>
      <c r="E2514" s="3">
        <v>45061</v>
      </c>
      <c r="F2514" s="3">
        <v>45280</v>
      </c>
      <c r="G2514" t="str">
        <f>"700065"</f>
        <v>700065</v>
      </c>
      <c r="H2514" t="str">
        <f>"אלתא מערכות בע""מ"</f>
        <v>אלתא מערכות בע"מ</v>
      </c>
      <c r="I2514" t="str">
        <f>"רחמים זרוק"</f>
        <v>רחמים זרוק</v>
      </c>
      <c r="J2514" t="str">
        <f>"OP-AR03640"</f>
        <v>OP-AR03640</v>
      </c>
      <c r="K2514" s="1" t="str">
        <f>"1021M776-001    CABLE ASSY W7"</f>
        <v>1021M776-001    CABLE ASSY W7</v>
      </c>
      <c r="L2514">
        <v>4</v>
      </c>
      <c r="M2514" t="str">
        <f>"PR23000329"</f>
        <v>PR23000329</v>
      </c>
      <c r="N2514" t="str">
        <f>"E000392546"</f>
        <v>E000392546</v>
      </c>
      <c r="O2514">
        <v>298.93</v>
      </c>
      <c r="P2514" t="str">
        <f>"$"</f>
        <v>$</v>
      </c>
      <c r="Q2514" t="str">
        <f>"117"</f>
        <v>117</v>
      </c>
      <c r="R2514" t="str">
        <f>"רתמות"</f>
        <v>רתמות</v>
      </c>
      <c r="S2514" t="str">
        <f>"040"</f>
        <v>040</v>
      </c>
      <c r="T2514" t="str">
        <f>"גנם הודיה"</f>
        <v>גנם הודיה</v>
      </c>
      <c r="U2514">
        <v>0</v>
      </c>
      <c r="V2514">
        <v>0</v>
      </c>
      <c r="W2514">
        <v>298.93</v>
      </c>
      <c r="X2514" s="2">
        <v>1195.72</v>
      </c>
      <c r="Z2514" t="str">
        <f>"Y"</f>
        <v>Y</v>
      </c>
      <c r="AA2514">
        <v>0</v>
      </c>
      <c r="AC2514">
        <v>0</v>
      </c>
      <c r="AE2514">
        <v>0</v>
      </c>
      <c r="AF2514">
        <v>0</v>
      </c>
      <c r="AG2514" s="2">
        <v>1090.5</v>
      </c>
      <c r="AH2514">
        <v>0</v>
      </c>
      <c r="AI2514" s="2">
        <v>4361.99</v>
      </c>
      <c r="AJ2514" s="2">
        <v>1195.72</v>
      </c>
      <c r="AK2514" s="2">
        <v>1195.72</v>
      </c>
      <c r="AL2514" t="str">
        <f>"$"</f>
        <v>$</v>
      </c>
    </row>
    <row r="2515" spans="1:38" x14ac:dyDescent="0.3">
      <c r="A2515" t="str">
        <f>"SO23000235"</f>
        <v>SO23000235</v>
      </c>
      <c r="B2515" t="str">
        <f>"E000392546"</f>
        <v>E000392546</v>
      </c>
      <c r="C2515" t="str">
        <f>"בוצעה"</f>
        <v>בוצעה</v>
      </c>
      <c r="E2515" s="3">
        <v>45061</v>
      </c>
      <c r="F2515" s="3">
        <v>45280</v>
      </c>
      <c r="G2515" t="str">
        <f>"700065"</f>
        <v>700065</v>
      </c>
      <c r="H2515" t="str">
        <f>"אלתא מערכות בע""מ"</f>
        <v>אלתא מערכות בע"מ</v>
      </c>
      <c r="I2515" t="str">
        <f>"רחמים זרוק"</f>
        <v>רחמים זרוק</v>
      </c>
      <c r="J2515" t="str">
        <f>"OP-AR03640"</f>
        <v>OP-AR03640</v>
      </c>
      <c r="K2515" s="1" t="str">
        <f>"1021M776-001    CABLE ASSY W7"</f>
        <v>1021M776-001    CABLE ASSY W7</v>
      </c>
      <c r="L2515">
        <v>1</v>
      </c>
      <c r="M2515" t="str">
        <f>"PR23000329"</f>
        <v>PR23000329</v>
      </c>
      <c r="N2515" t="str">
        <f>"E000392546"</f>
        <v>E000392546</v>
      </c>
      <c r="O2515">
        <v>298.93</v>
      </c>
      <c r="P2515" t="str">
        <f>"$"</f>
        <v>$</v>
      </c>
      <c r="Q2515" t="str">
        <f>"117"</f>
        <v>117</v>
      </c>
      <c r="R2515" t="str">
        <f>"רתמות"</f>
        <v>רתמות</v>
      </c>
      <c r="S2515" t="str">
        <f>"040"</f>
        <v>040</v>
      </c>
      <c r="T2515" t="str">
        <f>"גנם הודיה"</f>
        <v>גנם הודיה</v>
      </c>
      <c r="U2515">
        <v>0</v>
      </c>
      <c r="V2515">
        <v>0</v>
      </c>
      <c r="W2515">
        <v>298.93</v>
      </c>
      <c r="X2515">
        <v>298.93</v>
      </c>
      <c r="Z2515" t="str">
        <f>"Y"</f>
        <v>Y</v>
      </c>
      <c r="AA2515">
        <v>0</v>
      </c>
      <c r="AC2515">
        <v>0</v>
      </c>
      <c r="AE2515">
        <v>0</v>
      </c>
      <c r="AF2515">
        <v>0</v>
      </c>
      <c r="AG2515" s="2">
        <v>1090.5</v>
      </c>
      <c r="AH2515">
        <v>0</v>
      </c>
      <c r="AI2515" s="2">
        <v>1090.5</v>
      </c>
      <c r="AJ2515">
        <v>298.93</v>
      </c>
      <c r="AK2515">
        <v>298.93</v>
      </c>
      <c r="AL2515" t="str">
        <f>"$"</f>
        <v>$</v>
      </c>
    </row>
    <row r="2516" spans="1:38" x14ac:dyDescent="0.3">
      <c r="A2516" t="str">
        <f>"SO23000235"</f>
        <v>SO23000235</v>
      </c>
      <c r="B2516" t="str">
        <f>"E000392546"</f>
        <v>E000392546</v>
      </c>
      <c r="C2516" t="str">
        <f>"בוצעה"</f>
        <v>בוצעה</v>
      </c>
      <c r="E2516" s="3">
        <v>45061</v>
      </c>
      <c r="F2516" s="3">
        <v>45280</v>
      </c>
      <c r="G2516" t="str">
        <f>"700065"</f>
        <v>700065</v>
      </c>
      <c r="H2516" t="str">
        <f>"אלתא מערכות בע""מ"</f>
        <v>אלתא מערכות בע"מ</v>
      </c>
      <c r="I2516" t="str">
        <f>"רחמים זרוק"</f>
        <v>רחמים זרוק</v>
      </c>
      <c r="J2516" t="str">
        <f>"OP-AR03640"</f>
        <v>OP-AR03640</v>
      </c>
      <c r="K2516" s="1" t="str">
        <f>"1021M776-001    CABLE ASSY W7"</f>
        <v>1021M776-001    CABLE ASSY W7</v>
      </c>
      <c r="L2516">
        <v>1</v>
      </c>
      <c r="M2516" t="str">
        <f>"PR23000329"</f>
        <v>PR23000329</v>
      </c>
      <c r="N2516" t="str">
        <f>"E000392546"</f>
        <v>E000392546</v>
      </c>
      <c r="O2516">
        <v>298.93</v>
      </c>
      <c r="P2516" t="str">
        <f>"$"</f>
        <v>$</v>
      </c>
      <c r="Q2516" t="str">
        <f>"117"</f>
        <v>117</v>
      </c>
      <c r="R2516" t="str">
        <f>"רתמות"</f>
        <v>רתמות</v>
      </c>
      <c r="S2516" t="str">
        <f>"040"</f>
        <v>040</v>
      </c>
      <c r="T2516" t="str">
        <f>"גנם הודיה"</f>
        <v>גנם הודיה</v>
      </c>
      <c r="U2516">
        <v>0</v>
      </c>
      <c r="V2516">
        <v>0</v>
      </c>
      <c r="W2516">
        <v>298.93</v>
      </c>
      <c r="X2516">
        <v>298.93</v>
      </c>
      <c r="Z2516" t="str">
        <f>"Y"</f>
        <v>Y</v>
      </c>
      <c r="AA2516">
        <v>0</v>
      </c>
      <c r="AC2516">
        <v>0</v>
      </c>
      <c r="AE2516">
        <v>0</v>
      </c>
      <c r="AF2516">
        <v>0</v>
      </c>
      <c r="AG2516" s="2">
        <v>1090.5</v>
      </c>
      <c r="AH2516">
        <v>0</v>
      </c>
      <c r="AI2516" s="2">
        <v>1090.5</v>
      </c>
      <c r="AJ2516">
        <v>298.93</v>
      </c>
      <c r="AK2516">
        <v>298.93</v>
      </c>
      <c r="AL2516" t="str">
        <f>"$"</f>
        <v>$</v>
      </c>
    </row>
    <row r="2517" spans="1:38" x14ac:dyDescent="0.3">
      <c r="A2517" t="str">
        <f>"SO23000235"</f>
        <v>SO23000235</v>
      </c>
      <c r="B2517" t="str">
        <f>"E000392546"</f>
        <v>E000392546</v>
      </c>
      <c r="C2517" t="str">
        <f>"בוצעה"</f>
        <v>בוצעה</v>
      </c>
      <c r="E2517" s="3">
        <v>45061</v>
      </c>
      <c r="F2517" s="3">
        <v>45280</v>
      </c>
      <c r="G2517" t="str">
        <f>"700065"</f>
        <v>700065</v>
      </c>
      <c r="H2517" t="str">
        <f>"אלתא מערכות בע""מ"</f>
        <v>אלתא מערכות בע"מ</v>
      </c>
      <c r="I2517" t="str">
        <f>"רחמים זרוק"</f>
        <v>רחמים זרוק</v>
      </c>
      <c r="J2517" t="str">
        <f>"OP-AR03155"</f>
        <v>OP-AR03155</v>
      </c>
      <c r="K2517" s="1" t="str">
        <f>"1021M777-002    CABLE ASSY W8"</f>
        <v>1021M777-002    CABLE ASSY W8</v>
      </c>
      <c r="L2517">
        <v>2</v>
      </c>
      <c r="M2517" t="str">
        <f>"PR23000329"</f>
        <v>PR23000329</v>
      </c>
      <c r="N2517" t="str">
        <f>"E000392546"</f>
        <v>E000392546</v>
      </c>
      <c r="O2517">
        <v>247.76</v>
      </c>
      <c r="P2517" t="str">
        <f>"$"</f>
        <v>$</v>
      </c>
      <c r="Q2517" t="str">
        <f>"117"</f>
        <v>117</v>
      </c>
      <c r="R2517" t="str">
        <f>"רתמות"</f>
        <v>רתמות</v>
      </c>
      <c r="S2517" t="str">
        <f>"040"</f>
        <v>040</v>
      </c>
      <c r="T2517" t="str">
        <f>"גנם הודיה"</f>
        <v>גנם הודיה</v>
      </c>
      <c r="U2517">
        <v>0</v>
      </c>
      <c r="V2517">
        <v>0</v>
      </c>
      <c r="W2517">
        <v>247.76</v>
      </c>
      <c r="X2517">
        <v>495.52</v>
      </c>
      <c r="Z2517" t="str">
        <f>"Y"</f>
        <v>Y</v>
      </c>
      <c r="AA2517">
        <v>0</v>
      </c>
      <c r="AC2517">
        <v>0</v>
      </c>
      <c r="AE2517">
        <v>0</v>
      </c>
      <c r="AF2517">
        <v>0</v>
      </c>
      <c r="AG2517">
        <v>903.83</v>
      </c>
      <c r="AH2517">
        <v>0</v>
      </c>
      <c r="AI2517" s="2">
        <v>1807.66</v>
      </c>
      <c r="AJ2517">
        <v>495.52</v>
      </c>
      <c r="AK2517">
        <v>495.52</v>
      </c>
      <c r="AL2517" t="str">
        <f>"$"</f>
        <v>$</v>
      </c>
    </row>
    <row r="2518" spans="1:38" x14ac:dyDescent="0.3">
      <c r="A2518" t="str">
        <f>"SO23000235"</f>
        <v>SO23000235</v>
      </c>
      <c r="B2518" t="str">
        <f>"E000392546"</f>
        <v>E000392546</v>
      </c>
      <c r="C2518" t="str">
        <f>"בוצעה"</f>
        <v>בוצעה</v>
      </c>
      <c r="E2518" s="3">
        <v>45061</v>
      </c>
      <c r="F2518" s="3">
        <v>45280</v>
      </c>
      <c r="G2518" t="str">
        <f>"700065"</f>
        <v>700065</v>
      </c>
      <c r="H2518" t="str">
        <f>"אלתא מערכות בע""מ"</f>
        <v>אלתא מערכות בע"מ</v>
      </c>
      <c r="I2518" t="str">
        <f>"רחמים זרוק"</f>
        <v>רחמים זרוק</v>
      </c>
      <c r="J2518" t="str">
        <f>"OP-AR03155"</f>
        <v>OP-AR03155</v>
      </c>
      <c r="K2518" s="1" t="str">
        <f>"1021M777-002    CABLE ASSY W8"</f>
        <v>1021M777-002    CABLE ASSY W8</v>
      </c>
      <c r="L2518">
        <v>4</v>
      </c>
      <c r="M2518" t="str">
        <f>"PR23000329"</f>
        <v>PR23000329</v>
      </c>
      <c r="N2518" t="str">
        <f>"E000392546"</f>
        <v>E000392546</v>
      </c>
      <c r="O2518">
        <v>247.76</v>
      </c>
      <c r="P2518" t="str">
        <f>"$"</f>
        <v>$</v>
      </c>
      <c r="Q2518" t="str">
        <f>"117"</f>
        <v>117</v>
      </c>
      <c r="R2518" t="str">
        <f>"רתמות"</f>
        <v>רתמות</v>
      </c>
      <c r="S2518" t="str">
        <f>"040"</f>
        <v>040</v>
      </c>
      <c r="T2518" t="str">
        <f>"גנם הודיה"</f>
        <v>גנם הודיה</v>
      </c>
      <c r="U2518">
        <v>0</v>
      </c>
      <c r="V2518">
        <v>0</v>
      </c>
      <c r="W2518">
        <v>247.76</v>
      </c>
      <c r="X2518">
        <v>991.04</v>
      </c>
      <c r="Z2518" t="str">
        <f>"Y"</f>
        <v>Y</v>
      </c>
      <c r="AA2518">
        <v>0</v>
      </c>
      <c r="AC2518">
        <v>0</v>
      </c>
      <c r="AE2518">
        <v>0</v>
      </c>
      <c r="AF2518">
        <v>0</v>
      </c>
      <c r="AG2518">
        <v>903.83</v>
      </c>
      <c r="AH2518">
        <v>0</v>
      </c>
      <c r="AI2518" s="2">
        <v>3615.31</v>
      </c>
      <c r="AJ2518">
        <v>991.04</v>
      </c>
      <c r="AK2518">
        <v>991.04</v>
      </c>
      <c r="AL2518" t="str">
        <f>"$"</f>
        <v>$</v>
      </c>
    </row>
    <row r="2519" spans="1:38" x14ac:dyDescent="0.3">
      <c r="A2519" t="str">
        <f>"SO23000235"</f>
        <v>SO23000235</v>
      </c>
      <c r="B2519" t="str">
        <f>"E000392546"</f>
        <v>E000392546</v>
      </c>
      <c r="C2519" t="str">
        <f>"בוצעה"</f>
        <v>בוצעה</v>
      </c>
      <c r="E2519" s="3">
        <v>45061</v>
      </c>
      <c r="F2519" s="3">
        <v>45280</v>
      </c>
      <c r="G2519" t="str">
        <f>"700065"</f>
        <v>700065</v>
      </c>
      <c r="H2519" t="str">
        <f>"אלתא מערכות בע""מ"</f>
        <v>אלתא מערכות בע"מ</v>
      </c>
      <c r="I2519" t="str">
        <f>"רחמים זרוק"</f>
        <v>רחמים זרוק</v>
      </c>
      <c r="J2519" t="str">
        <f>"OP-AR03155"</f>
        <v>OP-AR03155</v>
      </c>
      <c r="K2519" s="1" t="str">
        <f>"1021M777-002    CABLE ASSY W8"</f>
        <v>1021M777-002    CABLE ASSY W8</v>
      </c>
      <c r="L2519">
        <v>1</v>
      </c>
      <c r="M2519" t="str">
        <f>"PR23000329"</f>
        <v>PR23000329</v>
      </c>
      <c r="N2519" t="str">
        <f>"E000392546"</f>
        <v>E000392546</v>
      </c>
      <c r="O2519">
        <v>247.76</v>
      </c>
      <c r="P2519" t="str">
        <f>"$"</f>
        <v>$</v>
      </c>
      <c r="Q2519" t="str">
        <f>"117"</f>
        <v>117</v>
      </c>
      <c r="R2519" t="str">
        <f>"רתמות"</f>
        <v>רתמות</v>
      </c>
      <c r="S2519" t="str">
        <f>"040"</f>
        <v>040</v>
      </c>
      <c r="T2519" t="str">
        <f>"גנם הודיה"</f>
        <v>גנם הודיה</v>
      </c>
      <c r="U2519">
        <v>0</v>
      </c>
      <c r="V2519">
        <v>0</v>
      </c>
      <c r="W2519">
        <v>247.76</v>
      </c>
      <c r="X2519">
        <v>247.76</v>
      </c>
      <c r="Z2519" t="str">
        <f>"Y"</f>
        <v>Y</v>
      </c>
      <c r="AA2519">
        <v>0</v>
      </c>
      <c r="AC2519">
        <v>0</v>
      </c>
      <c r="AE2519">
        <v>0</v>
      </c>
      <c r="AF2519">
        <v>0</v>
      </c>
      <c r="AG2519">
        <v>903.83</v>
      </c>
      <c r="AH2519">
        <v>0</v>
      </c>
      <c r="AI2519">
        <v>903.83</v>
      </c>
      <c r="AJ2519">
        <v>247.76</v>
      </c>
      <c r="AK2519">
        <v>247.76</v>
      </c>
      <c r="AL2519" t="str">
        <f>"$"</f>
        <v>$</v>
      </c>
    </row>
    <row r="2520" spans="1:38" x14ac:dyDescent="0.3">
      <c r="A2520" t="str">
        <f>"SO23000236"</f>
        <v>SO23000236</v>
      </c>
      <c r="B2520" t="str">
        <f>"E000393939"</f>
        <v>E000393939</v>
      </c>
      <c r="C2520" t="str">
        <f>"הרכבה חלקית"</f>
        <v>הרכבה חלקית</v>
      </c>
      <c r="E2520" s="3">
        <v>45062</v>
      </c>
      <c r="F2520" s="3">
        <v>45260</v>
      </c>
      <c r="G2520" t="str">
        <f>"700065"</f>
        <v>700065</v>
      </c>
      <c r="H2520" t="str">
        <f>"אלתא מערכות בע""מ"</f>
        <v>אלתא מערכות בע"מ</v>
      </c>
      <c r="I2520" t="str">
        <f>"רחמים זרוק"</f>
        <v>רחמים זרוק</v>
      </c>
      <c r="J2520" t="str">
        <f>"OP-AR03645"</f>
        <v>OP-AR03645</v>
      </c>
      <c r="K2520" s="1" t="str">
        <f>"3034F650-001    HARNESS W650 - MTX TO FRONT END LEFT"</f>
        <v>3034F650-001    HARNESS W650 - MTX TO FRONT END LEFT</v>
      </c>
      <c r="L2520">
        <v>6</v>
      </c>
      <c r="M2520" t="str">
        <f>"PR23000330"</f>
        <v>PR23000330</v>
      </c>
      <c r="N2520" t="str">
        <f>"E000393939"</f>
        <v>E000393939</v>
      </c>
      <c r="O2520">
        <v>607.65</v>
      </c>
      <c r="P2520" t="str">
        <f>"$"</f>
        <v>$</v>
      </c>
      <c r="Q2520" t="str">
        <f>"117"</f>
        <v>117</v>
      </c>
      <c r="R2520" t="str">
        <f>"רתמות"</f>
        <v>רתמות</v>
      </c>
      <c r="S2520" t="str">
        <f>"040"</f>
        <v>040</v>
      </c>
      <c r="T2520" t="str">
        <f>"גנם הודיה"</f>
        <v>גנם הודיה</v>
      </c>
      <c r="U2520">
        <v>0</v>
      </c>
      <c r="V2520">
        <v>0</v>
      </c>
      <c r="W2520">
        <v>607.65</v>
      </c>
      <c r="X2520" s="2">
        <v>3645.9</v>
      </c>
      <c r="Z2520" t="str">
        <f>"Y"</f>
        <v>Y</v>
      </c>
      <c r="AA2520">
        <v>0</v>
      </c>
      <c r="AC2520">
        <v>0</v>
      </c>
      <c r="AE2520">
        <v>0</v>
      </c>
      <c r="AF2520">
        <v>0</v>
      </c>
      <c r="AG2520" s="2">
        <v>2224.61</v>
      </c>
      <c r="AH2520">
        <v>0</v>
      </c>
      <c r="AI2520" s="2">
        <v>13347.64</v>
      </c>
      <c r="AJ2520" s="2">
        <v>3645.9</v>
      </c>
      <c r="AK2520" s="2">
        <v>3645.9</v>
      </c>
      <c r="AL2520" t="str">
        <f>"$"</f>
        <v>$</v>
      </c>
    </row>
    <row r="2521" spans="1:38" x14ac:dyDescent="0.3">
      <c r="A2521" t="str">
        <f>"SO23000236"</f>
        <v>SO23000236</v>
      </c>
      <c r="B2521" t="str">
        <f>"E000393939"</f>
        <v>E000393939</v>
      </c>
      <c r="C2521" t="str">
        <f>"הרכבה חלקית"</f>
        <v>הרכבה חלקית</v>
      </c>
      <c r="E2521" s="3">
        <v>45062</v>
      </c>
      <c r="F2521" s="3">
        <v>45260</v>
      </c>
      <c r="G2521" t="str">
        <f>"700065"</f>
        <v>700065</v>
      </c>
      <c r="H2521" t="str">
        <f>"אלתא מערכות בע""מ"</f>
        <v>אלתא מערכות בע"מ</v>
      </c>
      <c r="I2521" t="str">
        <f>"רחמים זרוק"</f>
        <v>רחמים זרוק</v>
      </c>
      <c r="J2521" t="str">
        <f>"OP-AR03646"</f>
        <v>OP-AR03646</v>
      </c>
      <c r="K2521" s="1" t="str">
        <f>"3034F660-001    HARNESS W660 - MTX TO FRONT END RIGHT"</f>
        <v>3034F660-001    HARNESS W660 - MTX TO FRONT END RIGHT</v>
      </c>
      <c r="L2521">
        <v>6</v>
      </c>
      <c r="M2521" t="str">
        <f>"PR23000330"</f>
        <v>PR23000330</v>
      </c>
      <c r="N2521" t="str">
        <f>"E000393939"</f>
        <v>E000393939</v>
      </c>
      <c r="O2521">
        <v>607.65</v>
      </c>
      <c r="P2521" t="str">
        <f>"$"</f>
        <v>$</v>
      </c>
      <c r="Q2521" t="str">
        <f>"117"</f>
        <v>117</v>
      </c>
      <c r="R2521" t="str">
        <f>"רתמות"</f>
        <v>רתמות</v>
      </c>
      <c r="S2521" t="str">
        <f>"040"</f>
        <v>040</v>
      </c>
      <c r="T2521" t="str">
        <f>"גנם הודיה"</f>
        <v>גנם הודיה</v>
      </c>
      <c r="U2521">
        <v>0</v>
      </c>
      <c r="V2521">
        <v>0</v>
      </c>
      <c r="W2521">
        <v>607.65</v>
      </c>
      <c r="X2521" s="2">
        <v>3645.9</v>
      </c>
      <c r="AA2521">
        <v>4</v>
      </c>
      <c r="AC2521">
        <v>0</v>
      </c>
      <c r="AE2521">
        <v>0</v>
      </c>
      <c r="AF2521">
        <v>0</v>
      </c>
      <c r="AG2521" s="2">
        <v>2224.61</v>
      </c>
      <c r="AH2521">
        <v>0</v>
      </c>
      <c r="AI2521" s="2">
        <v>13347.64</v>
      </c>
      <c r="AJ2521" s="2">
        <v>3645.9</v>
      </c>
      <c r="AK2521" s="2">
        <v>3645.9</v>
      </c>
      <c r="AL2521" t="str">
        <f>"$"</f>
        <v>$</v>
      </c>
    </row>
    <row r="2522" spans="1:38" x14ac:dyDescent="0.3">
      <c r="A2522" t="str">
        <f>"SO23000236"</f>
        <v>SO23000236</v>
      </c>
      <c r="B2522" t="str">
        <f>"E000393939"</f>
        <v>E000393939</v>
      </c>
      <c r="C2522" t="str">
        <f>"הרכבה חלקית"</f>
        <v>הרכבה חלקית</v>
      </c>
      <c r="E2522" s="3">
        <v>45062</v>
      </c>
      <c r="F2522" s="3">
        <v>45260</v>
      </c>
      <c r="G2522" t="str">
        <f>"700065"</f>
        <v>700065</v>
      </c>
      <c r="H2522" t="str">
        <f>"אלתא מערכות בע""מ"</f>
        <v>אלתא מערכות בע"מ</v>
      </c>
      <c r="I2522" t="str">
        <f>"רחמים זרוק"</f>
        <v>רחמים זרוק</v>
      </c>
      <c r="J2522" t="str">
        <f>"OP-AR03647"</f>
        <v>OP-AR03647</v>
      </c>
      <c r="K2522" s="1" t="str">
        <f>"3034F670-001    HARNESS W670 - MTX TO FRONT END FWD"</f>
        <v>3034F670-001    HARNESS W670 - MTX TO FRONT END FWD</v>
      </c>
      <c r="L2522">
        <v>6</v>
      </c>
      <c r="M2522" t="str">
        <f>"PR23000330"</f>
        <v>PR23000330</v>
      </c>
      <c r="N2522" t="str">
        <f>"E000393939"</f>
        <v>E000393939</v>
      </c>
      <c r="O2522">
        <v>607.65</v>
      </c>
      <c r="P2522" t="str">
        <f>"$"</f>
        <v>$</v>
      </c>
      <c r="Q2522" t="str">
        <f>"117"</f>
        <v>117</v>
      </c>
      <c r="R2522" t="str">
        <f>"רתמות"</f>
        <v>רתמות</v>
      </c>
      <c r="S2522" t="str">
        <f>"040"</f>
        <v>040</v>
      </c>
      <c r="T2522" t="str">
        <f>"גנם הודיה"</f>
        <v>גנם הודיה</v>
      </c>
      <c r="U2522">
        <v>0</v>
      </c>
      <c r="V2522">
        <v>0</v>
      </c>
      <c r="W2522">
        <v>607.65</v>
      </c>
      <c r="X2522" s="2">
        <v>3645.9</v>
      </c>
      <c r="Z2522" t="str">
        <f>"Y"</f>
        <v>Y</v>
      </c>
      <c r="AA2522">
        <v>0</v>
      </c>
      <c r="AC2522">
        <v>0</v>
      </c>
      <c r="AE2522">
        <v>0</v>
      </c>
      <c r="AF2522">
        <v>0</v>
      </c>
      <c r="AG2522" s="2">
        <v>2224.61</v>
      </c>
      <c r="AH2522">
        <v>0</v>
      </c>
      <c r="AI2522" s="2">
        <v>13347.64</v>
      </c>
      <c r="AJ2522" s="2">
        <v>3645.9</v>
      </c>
      <c r="AK2522" s="2">
        <v>3645.9</v>
      </c>
      <c r="AL2522" t="str">
        <f>"$"</f>
        <v>$</v>
      </c>
    </row>
    <row r="2523" spans="1:38" x14ac:dyDescent="0.3">
      <c r="A2523" t="str">
        <f>"SO23000236"</f>
        <v>SO23000236</v>
      </c>
      <c r="B2523" t="str">
        <f>"E000393939"</f>
        <v>E000393939</v>
      </c>
      <c r="C2523" t="str">
        <f>"הרכבה חלקית"</f>
        <v>הרכבה חלקית</v>
      </c>
      <c r="E2523" s="3">
        <v>45062</v>
      </c>
      <c r="F2523" s="3">
        <v>45260</v>
      </c>
      <c r="G2523" t="str">
        <f>"700065"</f>
        <v>700065</v>
      </c>
      <c r="H2523" t="str">
        <f>"אלתא מערכות בע""מ"</f>
        <v>אלתא מערכות בע"מ</v>
      </c>
      <c r="I2523" t="str">
        <f>"רחמים זרוק"</f>
        <v>רחמים זרוק</v>
      </c>
      <c r="J2523" t="str">
        <f>"OP-AR03648"</f>
        <v>OP-AR03648</v>
      </c>
      <c r="K2523" s="1" t="str">
        <f>"3034F680-001    HARNESS W680 - MTX TO FRONT END AFT"</f>
        <v>3034F680-001    HARNESS W680 - MTX TO FRONT END AFT</v>
      </c>
      <c r="L2523">
        <v>6</v>
      </c>
      <c r="M2523" t="str">
        <f>"PR23000330"</f>
        <v>PR23000330</v>
      </c>
      <c r="N2523" t="str">
        <f>"E000393939"</f>
        <v>E000393939</v>
      </c>
      <c r="O2523">
        <v>607.65</v>
      </c>
      <c r="P2523" t="str">
        <f>"$"</f>
        <v>$</v>
      </c>
      <c r="Q2523" t="str">
        <f>"117"</f>
        <v>117</v>
      </c>
      <c r="R2523" t="str">
        <f>"רתמות"</f>
        <v>רתמות</v>
      </c>
      <c r="S2523" t="str">
        <f>"040"</f>
        <v>040</v>
      </c>
      <c r="T2523" t="str">
        <f>"גנם הודיה"</f>
        <v>גנם הודיה</v>
      </c>
      <c r="U2523">
        <v>0</v>
      </c>
      <c r="V2523">
        <v>0</v>
      </c>
      <c r="W2523">
        <v>607.65</v>
      </c>
      <c r="X2523" s="2">
        <v>3645.9</v>
      </c>
      <c r="AA2523">
        <v>4</v>
      </c>
      <c r="AC2523">
        <v>0</v>
      </c>
      <c r="AE2523">
        <v>0</v>
      </c>
      <c r="AF2523">
        <v>0</v>
      </c>
      <c r="AG2523" s="2">
        <v>2224.61</v>
      </c>
      <c r="AH2523">
        <v>0</v>
      </c>
      <c r="AI2523" s="2">
        <v>13347.64</v>
      </c>
      <c r="AJ2523" s="2">
        <v>3645.9</v>
      </c>
      <c r="AK2523" s="2">
        <v>3645.9</v>
      </c>
      <c r="AL2523" t="str">
        <f>"$"</f>
        <v>$</v>
      </c>
    </row>
    <row r="2524" spans="1:38" x14ac:dyDescent="0.3">
      <c r="A2524" t="str">
        <f>"SO23000236"</f>
        <v>SO23000236</v>
      </c>
      <c r="B2524" t="str">
        <f>"E000393939"</f>
        <v>E000393939</v>
      </c>
      <c r="C2524" t="str">
        <f>"הרכבה חלקית"</f>
        <v>הרכבה חלקית</v>
      </c>
      <c r="E2524" s="3">
        <v>45062</v>
      </c>
      <c r="F2524" s="3">
        <v>45260</v>
      </c>
      <c r="G2524" t="str">
        <f>"700065"</f>
        <v>700065</v>
      </c>
      <c r="H2524" t="str">
        <f>"אלתא מערכות בע""מ"</f>
        <v>אלתא מערכות בע"מ</v>
      </c>
      <c r="I2524" t="str">
        <f>"רחמים זרוק"</f>
        <v>רחמים זרוק</v>
      </c>
      <c r="J2524" t="str">
        <f>"OP-AR03649"</f>
        <v>OP-AR03649</v>
      </c>
      <c r="K2524" s="1" t="str">
        <f>"3034F690-001    HARNESS W690 - MTX TO CONNECTION BOX"</f>
        <v>3034F690-001    HARNESS W690 - MTX TO CONNECTION BOX</v>
      </c>
      <c r="L2524">
        <v>6</v>
      </c>
      <c r="M2524" t="str">
        <f>"PR23000330"</f>
        <v>PR23000330</v>
      </c>
      <c r="N2524" t="str">
        <f>"E000393939"</f>
        <v>E000393939</v>
      </c>
      <c r="O2524">
        <v>471.19</v>
      </c>
      <c r="P2524" t="str">
        <f>"$"</f>
        <v>$</v>
      </c>
      <c r="Q2524" t="str">
        <f>"117"</f>
        <v>117</v>
      </c>
      <c r="R2524" t="str">
        <f>"רתמות"</f>
        <v>רתמות</v>
      </c>
      <c r="S2524" t="str">
        <f>"040"</f>
        <v>040</v>
      </c>
      <c r="T2524" t="str">
        <f>"גנם הודיה"</f>
        <v>גנם הודיה</v>
      </c>
      <c r="U2524">
        <v>0</v>
      </c>
      <c r="V2524">
        <v>0</v>
      </c>
      <c r="W2524">
        <v>471.19</v>
      </c>
      <c r="X2524" s="2">
        <v>2827.14</v>
      </c>
      <c r="Z2524" t="str">
        <f>"Y"</f>
        <v>Y</v>
      </c>
      <c r="AA2524">
        <v>0</v>
      </c>
      <c r="AC2524">
        <v>0</v>
      </c>
      <c r="AE2524">
        <v>0</v>
      </c>
      <c r="AF2524">
        <v>0</v>
      </c>
      <c r="AG2524" s="2">
        <v>1725.03</v>
      </c>
      <c r="AH2524">
        <v>0</v>
      </c>
      <c r="AI2524" s="2">
        <v>10350.16</v>
      </c>
      <c r="AJ2524" s="2">
        <v>2827.14</v>
      </c>
      <c r="AK2524" s="2">
        <v>2827.14</v>
      </c>
      <c r="AL2524" t="str">
        <f>"$"</f>
        <v>$</v>
      </c>
    </row>
    <row r="2525" spans="1:38" x14ac:dyDescent="0.3">
      <c r="A2525" t="str">
        <f>"SO23000236"</f>
        <v>SO23000236</v>
      </c>
      <c r="B2525" t="str">
        <f>"E000393939"</f>
        <v>E000393939</v>
      </c>
      <c r="C2525" t="str">
        <f>"הרכבה חלקית"</f>
        <v>הרכבה חלקית</v>
      </c>
      <c r="E2525" s="3">
        <v>45062</v>
      </c>
      <c r="F2525" s="3">
        <v>45260</v>
      </c>
      <c r="G2525" t="str">
        <f>"700065"</f>
        <v>700065</v>
      </c>
      <c r="H2525" t="str">
        <f>"אלתא מערכות בע""מ"</f>
        <v>אלתא מערכות בע"מ</v>
      </c>
      <c r="I2525" t="str">
        <f>"רחמים זרוק"</f>
        <v>רחמים זרוק</v>
      </c>
      <c r="J2525" t="str">
        <f>"OP-AR03650"</f>
        <v>OP-AR03650</v>
      </c>
      <c r="K2525" s="1" t="str">
        <f>"3034F730-001    HARNESS W730 - QMDC TP MMW FE LEFT"</f>
        <v>3034F730-001    HARNESS W730 - QMDC TP MMW FE LEFT</v>
      </c>
      <c r="L2525">
        <v>6</v>
      </c>
      <c r="M2525" t="str">
        <f>"PR23000330"</f>
        <v>PR23000330</v>
      </c>
      <c r="N2525" t="str">
        <f>"E000393939"</f>
        <v>E000393939</v>
      </c>
      <c r="O2525">
        <v>469.11</v>
      </c>
      <c r="P2525" t="str">
        <f>"$"</f>
        <v>$</v>
      </c>
      <c r="Q2525" t="str">
        <f>"117"</f>
        <v>117</v>
      </c>
      <c r="R2525" t="str">
        <f>"רתמות"</f>
        <v>רתמות</v>
      </c>
      <c r="S2525" t="str">
        <f>"040"</f>
        <v>040</v>
      </c>
      <c r="T2525" t="str">
        <f>"גנם הודיה"</f>
        <v>גנם הודיה</v>
      </c>
      <c r="U2525">
        <v>0</v>
      </c>
      <c r="V2525">
        <v>0</v>
      </c>
      <c r="W2525">
        <v>469.11</v>
      </c>
      <c r="X2525" s="2">
        <v>2814.66</v>
      </c>
      <c r="Z2525" t="str">
        <f>"Y"</f>
        <v>Y</v>
      </c>
      <c r="AA2525">
        <v>0</v>
      </c>
      <c r="AC2525">
        <v>0</v>
      </c>
      <c r="AE2525">
        <v>0</v>
      </c>
      <c r="AF2525">
        <v>0</v>
      </c>
      <c r="AG2525" s="2">
        <v>1717.41</v>
      </c>
      <c r="AH2525">
        <v>0</v>
      </c>
      <c r="AI2525" s="2">
        <v>10304.469999999999</v>
      </c>
      <c r="AJ2525" s="2">
        <v>2814.66</v>
      </c>
      <c r="AK2525" s="2">
        <v>2814.66</v>
      </c>
      <c r="AL2525" t="str">
        <f>"$"</f>
        <v>$</v>
      </c>
    </row>
    <row r="2526" spans="1:38" x14ac:dyDescent="0.3">
      <c r="A2526" t="str">
        <f>"SO23000236"</f>
        <v>SO23000236</v>
      </c>
      <c r="B2526" t="str">
        <f>"E000393939"</f>
        <v>E000393939</v>
      </c>
      <c r="C2526" t="str">
        <f>"הרכבה חלקית"</f>
        <v>הרכבה חלקית</v>
      </c>
      <c r="E2526" s="3">
        <v>45062</v>
      </c>
      <c r="F2526" s="3">
        <v>45260</v>
      </c>
      <c r="G2526" t="str">
        <f>"700065"</f>
        <v>700065</v>
      </c>
      <c r="H2526" t="str">
        <f>"אלתא מערכות בע""מ"</f>
        <v>אלתא מערכות בע"מ</v>
      </c>
      <c r="I2526" t="str">
        <f>"רחמים זרוק"</f>
        <v>רחמים זרוק</v>
      </c>
      <c r="J2526" t="str">
        <f>"OP-AR03651"</f>
        <v>OP-AR03651</v>
      </c>
      <c r="K2526" s="1" t="str">
        <f>"3034F740-001    HARNESS W740 - QMDC TO MMW FE RIGHT"</f>
        <v>3034F740-001    HARNESS W740 - QMDC TO MMW FE RIGHT</v>
      </c>
      <c r="L2526">
        <v>6</v>
      </c>
      <c r="M2526" t="str">
        <f>"PR23000330"</f>
        <v>PR23000330</v>
      </c>
      <c r="N2526" t="str">
        <f>"E000393939"</f>
        <v>E000393939</v>
      </c>
      <c r="O2526">
        <v>469.11</v>
      </c>
      <c r="P2526" t="str">
        <f>"$"</f>
        <v>$</v>
      </c>
      <c r="Q2526" t="str">
        <f>"117"</f>
        <v>117</v>
      </c>
      <c r="R2526" t="str">
        <f>"רתמות"</f>
        <v>רתמות</v>
      </c>
      <c r="S2526" t="str">
        <f>"040"</f>
        <v>040</v>
      </c>
      <c r="T2526" t="str">
        <f>"גנם הודיה"</f>
        <v>גנם הודיה</v>
      </c>
      <c r="U2526">
        <v>0</v>
      </c>
      <c r="V2526">
        <v>0</v>
      </c>
      <c r="W2526">
        <v>469.11</v>
      </c>
      <c r="X2526" s="2">
        <v>2814.66</v>
      </c>
      <c r="Z2526" t="str">
        <f>"Y"</f>
        <v>Y</v>
      </c>
      <c r="AA2526">
        <v>0</v>
      </c>
      <c r="AC2526">
        <v>0</v>
      </c>
      <c r="AE2526">
        <v>0</v>
      </c>
      <c r="AF2526">
        <v>0</v>
      </c>
      <c r="AG2526" s="2">
        <v>1717.41</v>
      </c>
      <c r="AH2526">
        <v>0</v>
      </c>
      <c r="AI2526" s="2">
        <v>10304.469999999999</v>
      </c>
      <c r="AJ2526" s="2">
        <v>2814.66</v>
      </c>
      <c r="AK2526" s="2">
        <v>2814.66</v>
      </c>
      <c r="AL2526" t="str">
        <f>"$"</f>
        <v>$</v>
      </c>
    </row>
    <row r="2527" spans="1:38" x14ac:dyDescent="0.3">
      <c r="A2527" t="str">
        <f>"SO23000236"</f>
        <v>SO23000236</v>
      </c>
      <c r="B2527" t="str">
        <f>"E000393939"</f>
        <v>E000393939</v>
      </c>
      <c r="C2527" t="str">
        <f>"הרכבה חלקית"</f>
        <v>הרכבה חלקית</v>
      </c>
      <c r="E2527" s="3">
        <v>45062</v>
      </c>
      <c r="F2527" s="3">
        <v>45260</v>
      </c>
      <c r="G2527" t="str">
        <f>"700065"</f>
        <v>700065</v>
      </c>
      <c r="H2527" t="str">
        <f>"אלתא מערכות בע""מ"</f>
        <v>אלתא מערכות בע"מ</v>
      </c>
      <c r="I2527" t="str">
        <f>"רחמים זרוק"</f>
        <v>רחמים זרוק</v>
      </c>
      <c r="J2527" t="str">
        <f>"OP-AR03652"</f>
        <v>OP-AR03652</v>
      </c>
      <c r="K2527" s="1" t="str">
        <f>"3034F750-001    HARNESS W750 - QMDC / mmW FE"</f>
        <v>3034F750-001    HARNESS W750 - QMDC / mmW FE</v>
      </c>
      <c r="L2527">
        <v>6</v>
      </c>
      <c r="M2527" t="str">
        <f>"PR23000330"</f>
        <v>PR23000330</v>
      </c>
      <c r="N2527" t="str">
        <f>"E000393939"</f>
        <v>E000393939</v>
      </c>
      <c r="O2527">
        <v>486.02</v>
      </c>
      <c r="P2527" t="str">
        <f>"$"</f>
        <v>$</v>
      </c>
      <c r="Q2527" t="str">
        <f>"117"</f>
        <v>117</v>
      </c>
      <c r="R2527" t="str">
        <f>"רתמות"</f>
        <v>רתמות</v>
      </c>
      <c r="S2527" t="str">
        <f>"040"</f>
        <v>040</v>
      </c>
      <c r="T2527" t="str">
        <f>"גנם הודיה"</f>
        <v>גנם הודיה</v>
      </c>
      <c r="U2527">
        <v>0</v>
      </c>
      <c r="V2527">
        <v>0</v>
      </c>
      <c r="W2527">
        <v>486.02</v>
      </c>
      <c r="X2527" s="2">
        <v>2916.12</v>
      </c>
      <c r="Z2527" t="str">
        <f>"Y"</f>
        <v>Y</v>
      </c>
      <c r="AA2527">
        <v>0</v>
      </c>
      <c r="AC2527">
        <v>0</v>
      </c>
      <c r="AE2527">
        <v>0</v>
      </c>
      <c r="AF2527">
        <v>0</v>
      </c>
      <c r="AG2527" s="2">
        <v>1779.32</v>
      </c>
      <c r="AH2527">
        <v>0</v>
      </c>
      <c r="AI2527" s="2">
        <v>10675.92</v>
      </c>
      <c r="AJ2527" s="2">
        <v>2916.12</v>
      </c>
      <c r="AK2527" s="2">
        <v>2916.12</v>
      </c>
      <c r="AL2527" t="str">
        <f>"$"</f>
        <v>$</v>
      </c>
    </row>
    <row r="2528" spans="1:38" x14ac:dyDescent="0.3">
      <c r="A2528" t="str">
        <f>"SO23000236"</f>
        <v>SO23000236</v>
      </c>
      <c r="B2528" t="str">
        <f>"E000393939"</f>
        <v>E000393939</v>
      </c>
      <c r="C2528" t="str">
        <f>"הרכבה חלקית"</f>
        <v>הרכבה חלקית</v>
      </c>
      <c r="E2528" s="3">
        <v>45062</v>
      </c>
      <c r="F2528" s="3">
        <v>45260</v>
      </c>
      <c r="G2528" t="str">
        <f>"700065"</f>
        <v>700065</v>
      </c>
      <c r="H2528" t="str">
        <f>"אלתא מערכות בע""מ"</f>
        <v>אלתא מערכות בע"מ</v>
      </c>
      <c r="I2528" t="str">
        <f>"רחמים זרוק"</f>
        <v>רחמים זרוק</v>
      </c>
      <c r="J2528" t="str">
        <f>"OP-AR03653"</f>
        <v>OP-AR03653</v>
      </c>
      <c r="K2528" s="1" t="str">
        <f>"3034F760-001    HARNESS W760 - QMDC TO MMW FE BACK"</f>
        <v>3034F760-001    HARNESS W760 - QMDC TO MMW FE BACK</v>
      </c>
      <c r="L2528">
        <v>6</v>
      </c>
      <c r="M2528" t="str">
        <f>"PR23000330"</f>
        <v>PR23000330</v>
      </c>
      <c r="N2528" t="str">
        <f>"E000393939"</f>
        <v>E000393939</v>
      </c>
      <c r="O2528">
        <v>469.11</v>
      </c>
      <c r="P2528" t="str">
        <f>"$"</f>
        <v>$</v>
      </c>
      <c r="Q2528" t="str">
        <f>"117"</f>
        <v>117</v>
      </c>
      <c r="R2528" t="str">
        <f>"רתמות"</f>
        <v>רתמות</v>
      </c>
      <c r="S2528" t="str">
        <f>"040"</f>
        <v>040</v>
      </c>
      <c r="T2528" t="str">
        <f>"גנם הודיה"</f>
        <v>גנם הודיה</v>
      </c>
      <c r="U2528">
        <v>0</v>
      </c>
      <c r="V2528">
        <v>0</v>
      </c>
      <c r="W2528">
        <v>469.11</v>
      </c>
      <c r="X2528" s="2">
        <v>2814.66</v>
      </c>
      <c r="Z2528" t="str">
        <f>"Y"</f>
        <v>Y</v>
      </c>
      <c r="AA2528">
        <v>0</v>
      </c>
      <c r="AC2528">
        <v>0</v>
      </c>
      <c r="AE2528">
        <v>0</v>
      </c>
      <c r="AF2528">
        <v>0</v>
      </c>
      <c r="AG2528" s="2">
        <v>1717.41</v>
      </c>
      <c r="AH2528">
        <v>0</v>
      </c>
      <c r="AI2528" s="2">
        <v>10304.469999999999</v>
      </c>
      <c r="AJ2528" s="2">
        <v>2814.66</v>
      </c>
      <c r="AK2528" s="2">
        <v>2814.66</v>
      </c>
      <c r="AL2528" t="str">
        <f>"$"</f>
        <v>$</v>
      </c>
    </row>
    <row r="2529" spans="1:38" x14ac:dyDescent="0.3">
      <c r="A2529" t="str">
        <f>"SO23000236"</f>
        <v>SO23000236</v>
      </c>
      <c r="B2529" t="str">
        <f>"E000393939"</f>
        <v>E000393939</v>
      </c>
      <c r="C2529" t="str">
        <f>"הרכבה חלקית"</f>
        <v>הרכבה חלקית</v>
      </c>
      <c r="E2529" s="3">
        <v>45062</v>
      </c>
      <c r="F2529" s="3">
        <v>45260</v>
      </c>
      <c r="G2529" t="str">
        <f>"700065"</f>
        <v>700065</v>
      </c>
      <c r="H2529" t="str">
        <f>"אלתא מערכות בע""מ"</f>
        <v>אלתא מערכות בע"מ</v>
      </c>
      <c r="I2529" t="str">
        <f>"רחמים זרוק"</f>
        <v>רחמים זרוק</v>
      </c>
      <c r="J2529" t="str">
        <f>"OP-AR03654"</f>
        <v>OP-AR03654</v>
      </c>
      <c r="K2529" s="1" t="str">
        <f>"3034F770-001    HARNESS W770 - CONNECTION BOX TO MDRP B"</f>
        <v>3034F770-001    HARNESS W770 - CONNECTION BOX TO MDRP B</v>
      </c>
      <c r="L2529">
        <v>6</v>
      </c>
      <c r="M2529" t="str">
        <f>"PR23000330"</f>
        <v>PR23000330</v>
      </c>
      <c r="N2529" t="str">
        <f>"E000393939"</f>
        <v>E000393939</v>
      </c>
      <c r="O2529">
        <v>958.71</v>
      </c>
      <c r="P2529" t="str">
        <f>"$"</f>
        <v>$</v>
      </c>
      <c r="Q2529" t="str">
        <f>"117"</f>
        <v>117</v>
      </c>
      <c r="R2529" t="str">
        <f>"רתמות"</f>
        <v>רתמות</v>
      </c>
      <c r="S2529" t="str">
        <f>"040"</f>
        <v>040</v>
      </c>
      <c r="T2529" t="str">
        <f>"גנם הודיה"</f>
        <v>גנם הודיה</v>
      </c>
      <c r="U2529">
        <v>0</v>
      </c>
      <c r="V2529">
        <v>0</v>
      </c>
      <c r="W2529">
        <v>958.71</v>
      </c>
      <c r="X2529" s="2">
        <v>5752.26</v>
      </c>
      <c r="Z2529" t="str">
        <f>"Y"</f>
        <v>Y</v>
      </c>
      <c r="AA2529">
        <v>0</v>
      </c>
      <c r="AC2529">
        <v>0</v>
      </c>
      <c r="AE2529">
        <v>0</v>
      </c>
      <c r="AF2529">
        <v>0</v>
      </c>
      <c r="AG2529" s="2">
        <v>3509.84</v>
      </c>
      <c r="AH2529">
        <v>0</v>
      </c>
      <c r="AI2529" s="2">
        <v>21059.02</v>
      </c>
      <c r="AJ2529" s="2">
        <v>5752.26</v>
      </c>
      <c r="AK2529" s="2">
        <v>5752.26</v>
      </c>
      <c r="AL2529" t="str">
        <f>"$"</f>
        <v>$</v>
      </c>
    </row>
    <row r="2530" spans="1:38" x14ac:dyDescent="0.3">
      <c r="A2530" t="str">
        <f>"SO23000236"</f>
        <v>SO23000236</v>
      </c>
      <c r="B2530" t="str">
        <f>"E000393939"</f>
        <v>E000393939</v>
      </c>
      <c r="C2530" t="str">
        <f>"הרכבה חלקית"</f>
        <v>הרכבה חלקית</v>
      </c>
      <c r="E2530" s="3">
        <v>45062</v>
      </c>
      <c r="F2530" s="3">
        <v>45260</v>
      </c>
      <c r="G2530" t="str">
        <f>"700065"</f>
        <v>700065</v>
      </c>
      <c r="H2530" t="str">
        <f>"אלתא מערכות בע""מ"</f>
        <v>אלתא מערכות בע"מ</v>
      </c>
      <c r="I2530" t="str">
        <f>"רחמים זרוק"</f>
        <v>רחמים זרוק</v>
      </c>
      <c r="J2530" t="str">
        <f>"OP-AR03655"</f>
        <v>OP-AR03655</v>
      </c>
      <c r="K2530" s="1" t="str">
        <f>"3034F780-001    HARNESS W780 - CONNECTION BOX TO MDRP A"</f>
        <v>3034F780-001    HARNESS W780 - CONNECTION BOX TO MDRP A</v>
      </c>
      <c r="L2530">
        <v>6</v>
      </c>
      <c r="M2530" t="str">
        <f>"PR23000330"</f>
        <v>PR23000330</v>
      </c>
      <c r="N2530" t="str">
        <f>"E000393939"</f>
        <v>E000393939</v>
      </c>
      <c r="O2530">
        <v>958.71</v>
      </c>
      <c r="P2530" t="str">
        <f>"$"</f>
        <v>$</v>
      </c>
      <c r="Q2530" t="str">
        <f>"117"</f>
        <v>117</v>
      </c>
      <c r="R2530" t="str">
        <f>"רתמות"</f>
        <v>רתמות</v>
      </c>
      <c r="S2530" t="str">
        <f>"040"</f>
        <v>040</v>
      </c>
      <c r="T2530" t="str">
        <f>"גנם הודיה"</f>
        <v>גנם הודיה</v>
      </c>
      <c r="U2530">
        <v>0</v>
      </c>
      <c r="V2530">
        <v>0</v>
      </c>
      <c r="W2530">
        <v>958.71</v>
      </c>
      <c r="X2530" s="2">
        <v>5752.26</v>
      </c>
      <c r="Z2530" t="str">
        <f>"Y"</f>
        <v>Y</v>
      </c>
      <c r="AA2530">
        <v>0</v>
      </c>
      <c r="AC2530">
        <v>0</v>
      </c>
      <c r="AE2530">
        <v>0</v>
      </c>
      <c r="AF2530">
        <v>0</v>
      </c>
      <c r="AG2530" s="2">
        <v>3509.84</v>
      </c>
      <c r="AH2530">
        <v>0</v>
      </c>
      <c r="AI2530" s="2">
        <v>21059.02</v>
      </c>
      <c r="AJ2530" s="2">
        <v>5752.26</v>
      </c>
      <c r="AK2530" s="2">
        <v>5752.26</v>
      </c>
      <c r="AL2530" t="str">
        <f>"$"</f>
        <v>$</v>
      </c>
    </row>
    <row r="2531" spans="1:38" x14ac:dyDescent="0.3">
      <c r="A2531" t="str">
        <f>"SO23000236"</f>
        <v>SO23000236</v>
      </c>
      <c r="B2531" t="str">
        <f>"E000393939"</f>
        <v>E000393939</v>
      </c>
      <c r="C2531" t="str">
        <f>"הרכבה חלקית"</f>
        <v>הרכבה חלקית</v>
      </c>
      <c r="E2531" s="3">
        <v>45062</v>
      </c>
      <c r="F2531" s="3">
        <v>45260</v>
      </c>
      <c r="G2531" t="str">
        <f>"700065"</f>
        <v>700065</v>
      </c>
      <c r="H2531" t="str">
        <f>"אלתא מערכות בע""מ"</f>
        <v>אלתא מערכות בע"מ</v>
      </c>
      <c r="I2531" t="str">
        <f>"רחמים זרוק"</f>
        <v>רחמים זרוק</v>
      </c>
      <c r="J2531" t="str">
        <f>"OP-AR03656"</f>
        <v>OP-AR03656</v>
      </c>
      <c r="K2531" s="1" t="str">
        <f>"3034F790-001    HARNESS W790 - CONNECTION BOX TO QMDC"</f>
        <v>3034F790-001    HARNESS W790 - CONNECTION BOX TO QMDC</v>
      </c>
      <c r="L2531">
        <v>6</v>
      </c>
      <c r="M2531" t="str">
        <f>"PR23000330"</f>
        <v>PR23000330</v>
      </c>
      <c r="N2531" t="str">
        <f>"E000393939"</f>
        <v>E000393939</v>
      </c>
      <c r="O2531">
        <v>372.18</v>
      </c>
      <c r="P2531" t="str">
        <f>"$"</f>
        <v>$</v>
      </c>
      <c r="Q2531" t="str">
        <f>"117"</f>
        <v>117</v>
      </c>
      <c r="R2531" t="str">
        <f>"רתמות"</f>
        <v>רתמות</v>
      </c>
      <c r="S2531" t="str">
        <f>"040"</f>
        <v>040</v>
      </c>
      <c r="T2531" t="str">
        <f>"גנם הודיה"</f>
        <v>גנם הודיה</v>
      </c>
      <c r="U2531">
        <v>0</v>
      </c>
      <c r="V2531">
        <v>0</v>
      </c>
      <c r="W2531">
        <v>372.18</v>
      </c>
      <c r="X2531" s="2">
        <v>2233.08</v>
      </c>
      <c r="Z2531" t="str">
        <f>"Y"</f>
        <v>Y</v>
      </c>
      <c r="AA2531">
        <v>0</v>
      </c>
      <c r="AC2531">
        <v>0</v>
      </c>
      <c r="AE2531">
        <v>0</v>
      </c>
      <c r="AF2531">
        <v>0</v>
      </c>
      <c r="AG2531" s="2">
        <v>1362.55</v>
      </c>
      <c r="AH2531">
        <v>0</v>
      </c>
      <c r="AI2531" s="2">
        <v>8175.31</v>
      </c>
      <c r="AJ2531" s="2">
        <v>2233.08</v>
      </c>
      <c r="AK2531" s="2">
        <v>2233.08</v>
      </c>
      <c r="AL2531" t="str">
        <f>"$"</f>
        <v>$</v>
      </c>
    </row>
    <row r="2532" spans="1:38" x14ac:dyDescent="0.3">
      <c r="A2532" t="str">
        <f>"SO23000236"</f>
        <v>SO23000236</v>
      </c>
      <c r="B2532" t="str">
        <f>"E000393939"</f>
        <v>E000393939</v>
      </c>
      <c r="C2532" t="str">
        <f>"הרכבה חלקית"</f>
        <v>הרכבה חלקית</v>
      </c>
      <c r="E2532" s="3">
        <v>45062</v>
      </c>
      <c r="F2532" s="3">
        <v>45260</v>
      </c>
      <c r="G2532" t="str">
        <f>"700065"</f>
        <v>700065</v>
      </c>
      <c r="H2532" t="str">
        <f>"אלתא מערכות בע""מ"</f>
        <v>אלתא מערכות בע"מ</v>
      </c>
      <c r="I2532" t="str">
        <f>"רחמים זרוק"</f>
        <v>רחמים זרוק</v>
      </c>
      <c r="J2532" t="str">
        <f>"OP-AR03657"</f>
        <v>OP-AR03657</v>
      </c>
      <c r="K2532" s="1" t="str">
        <f>"3034F910-001    HARNESS W910 - POWER SUPPLY TO MDRP"</f>
        <v>3034F910-001    HARNESS W910 - POWER SUPPLY TO MDRP</v>
      </c>
      <c r="L2532">
        <v>12</v>
      </c>
      <c r="M2532" t="str">
        <f>"PR23000330"</f>
        <v>PR23000330</v>
      </c>
      <c r="N2532" t="str">
        <f>"E000393939"</f>
        <v>E000393939</v>
      </c>
      <c r="O2532">
        <v>433.51</v>
      </c>
      <c r="P2532" t="str">
        <f>"$"</f>
        <v>$</v>
      </c>
      <c r="Q2532" t="str">
        <f>"117"</f>
        <v>117</v>
      </c>
      <c r="R2532" t="str">
        <f>"רתמות"</f>
        <v>רתמות</v>
      </c>
      <c r="S2532" t="str">
        <f>"040"</f>
        <v>040</v>
      </c>
      <c r="T2532" t="str">
        <f>"גנם הודיה"</f>
        <v>גנם הודיה</v>
      </c>
      <c r="U2532">
        <v>0</v>
      </c>
      <c r="V2532">
        <v>0</v>
      </c>
      <c r="W2532">
        <v>433.51</v>
      </c>
      <c r="X2532" s="2">
        <v>5202.12</v>
      </c>
      <c r="Z2532" t="str">
        <f>"Y"</f>
        <v>Y</v>
      </c>
      <c r="AA2532">
        <v>0</v>
      </c>
      <c r="AC2532">
        <v>0</v>
      </c>
      <c r="AE2532">
        <v>0</v>
      </c>
      <c r="AF2532">
        <v>0</v>
      </c>
      <c r="AG2532" s="2">
        <v>1587.08</v>
      </c>
      <c r="AH2532">
        <v>0</v>
      </c>
      <c r="AI2532" s="2">
        <v>19044.96</v>
      </c>
      <c r="AJ2532" s="2">
        <v>5202.12</v>
      </c>
      <c r="AK2532" s="2">
        <v>5202.12</v>
      </c>
      <c r="AL2532" t="str">
        <f>"$"</f>
        <v>$</v>
      </c>
    </row>
    <row r="2533" spans="1:38" x14ac:dyDescent="0.3">
      <c r="A2533" t="str">
        <f>"SO23000236"</f>
        <v>SO23000236</v>
      </c>
      <c r="B2533" t="str">
        <f>"E000393939"</f>
        <v>E000393939</v>
      </c>
      <c r="C2533" t="str">
        <f>"הרכבה חלקית"</f>
        <v>הרכבה חלקית</v>
      </c>
      <c r="E2533" s="3">
        <v>45062</v>
      </c>
      <c r="F2533" s="3">
        <v>45200</v>
      </c>
      <c r="G2533" t="str">
        <f>"700065"</f>
        <v>700065</v>
      </c>
      <c r="H2533" t="str">
        <f>"אלתא מערכות בע""מ"</f>
        <v>אלתא מערכות בע"מ</v>
      </c>
      <c r="I2533" t="str">
        <f>"רחמים זרוק"</f>
        <v>רחמים זרוק</v>
      </c>
      <c r="J2533" t="str">
        <f>"OP-AR03979"</f>
        <v>OP-AR03979</v>
      </c>
      <c r="K2533" s="1" t="str">
        <f>"3034F709-001     HARNESS W709 - LAN to BU"</f>
        <v>3034F709-001     HARNESS W709 - LAN to BU</v>
      </c>
      <c r="L2533">
        <v>7</v>
      </c>
      <c r="M2533" t="str">
        <f>"PR23000330"</f>
        <v>PR23000330</v>
      </c>
      <c r="N2533" t="str">
        <f>"E000393939"</f>
        <v>E000393939</v>
      </c>
      <c r="O2533">
        <v>285.63</v>
      </c>
      <c r="P2533" t="str">
        <f>"$"</f>
        <v>$</v>
      </c>
      <c r="Q2533" t="str">
        <f>"117"</f>
        <v>117</v>
      </c>
      <c r="R2533" t="str">
        <f>"רתמות"</f>
        <v>רתמות</v>
      </c>
      <c r="S2533" t="str">
        <f>"040"</f>
        <v>040</v>
      </c>
      <c r="T2533" t="str">
        <f>"גנם הודיה"</f>
        <v>גנם הודיה</v>
      </c>
      <c r="U2533">
        <v>0</v>
      </c>
      <c r="V2533">
        <v>0</v>
      </c>
      <c r="W2533">
        <v>285.63</v>
      </c>
      <c r="X2533" s="2">
        <v>1999.41</v>
      </c>
      <c r="AA2533">
        <v>7</v>
      </c>
      <c r="AC2533">
        <v>0</v>
      </c>
      <c r="AE2533">
        <v>0</v>
      </c>
      <c r="AF2533">
        <v>0</v>
      </c>
      <c r="AG2533" s="2">
        <v>1045.69</v>
      </c>
      <c r="AH2533">
        <v>0</v>
      </c>
      <c r="AI2533" s="2">
        <v>7319.84</v>
      </c>
      <c r="AJ2533" s="2">
        <v>1999.41</v>
      </c>
      <c r="AK2533" s="2">
        <v>1999.41</v>
      </c>
      <c r="AL2533" t="str">
        <f>"$"</f>
        <v>$</v>
      </c>
    </row>
    <row r="2534" spans="1:38" x14ac:dyDescent="0.3">
      <c r="A2534" t="str">
        <f>"SO23000239"</f>
        <v>SO23000239</v>
      </c>
      <c r="B2534" t="str">
        <f>"E000394184"</f>
        <v>E000394184</v>
      </c>
      <c r="C2534" t="str">
        <f>"מאושרת לחיוב"</f>
        <v>מאושרת לחיוב</v>
      </c>
      <c r="E2534" s="3">
        <v>45064</v>
      </c>
      <c r="F2534" s="3">
        <v>45064</v>
      </c>
      <c r="G2534" t="str">
        <f>"700065"</f>
        <v>700065</v>
      </c>
      <c r="H2534" t="str">
        <f>"אלתא מערכות בע""מ"</f>
        <v>אלתא מערכות בע"מ</v>
      </c>
      <c r="I2534" t="str">
        <f>"רחמים זרוק"</f>
        <v>רחמים זרוק</v>
      </c>
      <c r="J2534" t="str">
        <f>"000"</f>
        <v>000</v>
      </c>
      <c r="K2534" s="1" t="str">
        <f>"1026L310-002"</f>
        <v>1026L310-002</v>
      </c>
      <c r="L2534">
        <v>1</v>
      </c>
      <c r="M2534" t="str">
        <f>"PR23000319"</f>
        <v>PR23000319</v>
      </c>
      <c r="N2534" t="str">
        <f>"שיפוץ כללי 204 1026L310-002"</f>
        <v>שיפוץ כללי 204 1026L310-002</v>
      </c>
      <c r="O2534" s="2">
        <v>15095.46</v>
      </c>
      <c r="P2534" t="str">
        <f>"$"</f>
        <v>$</v>
      </c>
      <c r="Q2534" t="str">
        <f>"117"</f>
        <v>117</v>
      </c>
      <c r="R2534" t="str">
        <f>"רתמות"</f>
        <v>רתמות</v>
      </c>
      <c r="S2534" t="str">
        <f>"040"</f>
        <v>040</v>
      </c>
      <c r="T2534" t="str">
        <f>"גנם הודיה"</f>
        <v>גנם הודיה</v>
      </c>
      <c r="U2534">
        <v>0</v>
      </c>
      <c r="V2534">
        <v>0</v>
      </c>
      <c r="W2534" s="2">
        <v>15095.46</v>
      </c>
      <c r="X2534" s="2">
        <v>15095.46</v>
      </c>
      <c r="AA2534">
        <v>1</v>
      </c>
      <c r="AC2534">
        <v>0</v>
      </c>
      <c r="AE2534">
        <v>0</v>
      </c>
      <c r="AF2534">
        <v>0</v>
      </c>
      <c r="AG2534" s="2">
        <v>54932.38</v>
      </c>
      <c r="AH2534">
        <v>0</v>
      </c>
      <c r="AI2534" s="2">
        <v>54932.38</v>
      </c>
      <c r="AJ2534" s="2">
        <v>15095.46</v>
      </c>
      <c r="AK2534" s="2">
        <v>15095.46</v>
      </c>
      <c r="AL2534" t="str">
        <f>"$"</f>
        <v>$</v>
      </c>
    </row>
    <row r="2535" spans="1:38" x14ac:dyDescent="0.3">
      <c r="A2535" t="str">
        <f>"SO23000246"</f>
        <v>SO23000246</v>
      </c>
      <c r="B2535" t="str">
        <f>"E000391195"</f>
        <v>E000391195</v>
      </c>
      <c r="C2535" t="str">
        <f>"בוצעה"</f>
        <v>בוצעה</v>
      </c>
      <c r="E2535" s="3">
        <v>45070</v>
      </c>
      <c r="F2535" s="3">
        <v>45081</v>
      </c>
      <c r="G2535" t="str">
        <f>"700065"</f>
        <v>700065</v>
      </c>
      <c r="H2535" t="str">
        <f>"אלתא מערכות בע""מ"</f>
        <v>אלתא מערכות בע"מ</v>
      </c>
      <c r="I2535" t="str">
        <f>"רוני דידי"</f>
        <v>רוני דידי</v>
      </c>
      <c r="J2535" t="str">
        <f>"cust00914"</f>
        <v>cust00914</v>
      </c>
      <c r="K2535" s="1" t="str">
        <f>"AC SUPPLY CONTROL BOX אלתא"</f>
        <v>AC SUPPLY CONTROL BOX אלתא</v>
      </c>
      <c r="L2535">
        <v>1</v>
      </c>
      <c r="M2535" t="str">
        <f>"PR23000269"</f>
        <v>PR23000269</v>
      </c>
      <c r="N2535" t="str">
        <f>"AC SUPPLY CONTROL BOX"</f>
        <v>AC SUPPLY CONTROL BOX</v>
      </c>
      <c r="O2535">
        <v>850</v>
      </c>
      <c r="P2535" t="str">
        <f>"$"</f>
        <v>$</v>
      </c>
      <c r="Q2535" t="str">
        <f>"118"</f>
        <v>118</v>
      </c>
      <c r="R2535" t="str">
        <f>"מערכות"</f>
        <v>מערכות</v>
      </c>
      <c r="S2535" t="str">
        <f>"007"</f>
        <v>007</v>
      </c>
      <c r="T2535" t="str">
        <f>"גנם הודיה"</f>
        <v>גנם הודיה</v>
      </c>
      <c r="U2535">
        <v>0</v>
      </c>
      <c r="V2535">
        <v>0</v>
      </c>
      <c r="W2535">
        <v>850</v>
      </c>
      <c r="X2535">
        <v>850</v>
      </c>
      <c r="Z2535" t="str">
        <f>"Y"</f>
        <v>Y</v>
      </c>
      <c r="AA2535">
        <v>0</v>
      </c>
      <c r="AC2535">
        <v>0</v>
      </c>
      <c r="AE2535">
        <v>0</v>
      </c>
      <c r="AF2535">
        <v>0</v>
      </c>
      <c r="AG2535" s="2">
        <v>3171.35</v>
      </c>
      <c r="AH2535">
        <v>0</v>
      </c>
      <c r="AI2535" s="2">
        <v>3171.35</v>
      </c>
      <c r="AJ2535">
        <v>850</v>
      </c>
      <c r="AK2535">
        <v>850</v>
      </c>
      <c r="AL2535" t="str">
        <f>"$"</f>
        <v>$</v>
      </c>
    </row>
    <row r="2536" spans="1:38" x14ac:dyDescent="0.3">
      <c r="A2536" t="str">
        <f>"SO23000250"</f>
        <v>SO23000250</v>
      </c>
      <c r="B2536" t="str">
        <f>"E000395604"</f>
        <v>E000395604</v>
      </c>
      <c r="C2536" t="str">
        <f>"בוצעה"</f>
        <v>בוצעה</v>
      </c>
      <c r="E2536" s="3">
        <v>45076</v>
      </c>
      <c r="F2536" s="3">
        <v>45076</v>
      </c>
      <c r="G2536" t="str">
        <f>"700065"</f>
        <v>700065</v>
      </c>
      <c r="H2536" t="str">
        <f>"אלתא מערכות בע""מ"</f>
        <v>אלתא מערכות בע"מ</v>
      </c>
      <c r="I2536" t="str">
        <f>"רוני דידי"</f>
        <v>רוני דידי</v>
      </c>
      <c r="J2536" t="str">
        <f>"TL0700180"</f>
        <v>TL0700180</v>
      </c>
      <c r="K2536" s="1" t="str">
        <f>"פנס יד מקצועי נטען עם סוללה 1,000 לומן-ROHER-PRO"</f>
        <v>פנס יד מקצועי נטען עם סוללה 1,000 לומן-ROHER-PRO</v>
      </c>
      <c r="L2536">
        <v>1</v>
      </c>
      <c r="M2536" t="str">
        <f>"PR23000346"</f>
        <v>PR23000346</v>
      </c>
      <c r="N2536" t="str">
        <f>"פנס יד מקוצעי נטען עבור מערכת PU"</f>
        <v>פנס יד מקוצעי נטען עבור מערכת PU</v>
      </c>
      <c r="O2536">
        <v>68</v>
      </c>
      <c r="P2536" t="str">
        <f>"$"</f>
        <v>$</v>
      </c>
      <c r="Q2536" t="str">
        <f>"112"</f>
        <v>112</v>
      </c>
      <c r="R2536" t="str">
        <f>"תיקון תקלות"</f>
        <v>תיקון תקלות</v>
      </c>
      <c r="S2536" t="str">
        <f>"007"</f>
        <v>007</v>
      </c>
      <c r="T2536" t="str">
        <f>"גנם הודיה"</f>
        <v>גנם הודיה</v>
      </c>
      <c r="U2536">
        <v>0</v>
      </c>
      <c r="V2536">
        <v>0</v>
      </c>
      <c r="W2536">
        <v>68</v>
      </c>
      <c r="X2536">
        <v>68</v>
      </c>
      <c r="Z2536" t="str">
        <f>"Y"</f>
        <v>Y</v>
      </c>
      <c r="AA2536">
        <v>0</v>
      </c>
      <c r="AC2536">
        <v>0</v>
      </c>
      <c r="AE2536">
        <v>0</v>
      </c>
      <c r="AF2536">
        <v>0</v>
      </c>
      <c r="AG2536">
        <v>252.21</v>
      </c>
      <c r="AH2536">
        <v>0</v>
      </c>
      <c r="AI2536">
        <v>252.21</v>
      </c>
      <c r="AJ2536">
        <v>68</v>
      </c>
      <c r="AK2536">
        <v>68</v>
      </c>
      <c r="AL2536" t="str">
        <f>"$"</f>
        <v>$</v>
      </c>
    </row>
    <row r="2537" spans="1:38" x14ac:dyDescent="0.3">
      <c r="A2537" t="str">
        <f>"SO23000250"</f>
        <v>SO23000250</v>
      </c>
      <c r="B2537" t="str">
        <f>"E000395604"</f>
        <v>E000395604</v>
      </c>
      <c r="C2537" t="str">
        <f>"בוצעה"</f>
        <v>בוצעה</v>
      </c>
      <c r="E2537" s="3">
        <v>45076</v>
      </c>
      <c r="F2537" s="3">
        <v>45102</v>
      </c>
      <c r="G2537" t="str">
        <f>"700065"</f>
        <v>700065</v>
      </c>
      <c r="H2537" t="str">
        <f>"אלתא מערכות בע""מ"</f>
        <v>אלתא מערכות בע"מ</v>
      </c>
      <c r="I2537" t="str">
        <f>"רוני דידי"</f>
        <v>רוני דידי</v>
      </c>
      <c r="J2537" t="str">
        <f>"TL0700180"</f>
        <v>TL0700180</v>
      </c>
      <c r="K2537" s="1" t="str">
        <f>"פנס יד מקצועי נטען עם סוללה 1,000 לומן-ROHER-PRO"</f>
        <v>פנס יד מקצועי נטען עם סוללה 1,000 לומן-ROHER-PRO</v>
      </c>
      <c r="L2537">
        <v>1</v>
      </c>
      <c r="M2537" t="str">
        <f>"PR23000346"</f>
        <v>PR23000346</v>
      </c>
      <c r="N2537" t="str">
        <f>"פנס יד מקוצעי נטען עבור מערכת PU"</f>
        <v>פנס יד מקוצעי נטען עבור מערכת PU</v>
      </c>
      <c r="O2537">
        <v>68</v>
      </c>
      <c r="P2537" t="str">
        <f>"$"</f>
        <v>$</v>
      </c>
      <c r="Q2537" t="str">
        <f>"112"</f>
        <v>112</v>
      </c>
      <c r="R2537" t="str">
        <f>"תיקון תקלות"</f>
        <v>תיקון תקלות</v>
      </c>
      <c r="S2537" t="str">
        <f>"007"</f>
        <v>007</v>
      </c>
      <c r="T2537" t="str">
        <f>"גנם הודיה"</f>
        <v>גנם הודיה</v>
      </c>
      <c r="U2537">
        <v>0</v>
      </c>
      <c r="V2537">
        <v>0</v>
      </c>
      <c r="W2537">
        <v>68</v>
      </c>
      <c r="X2537">
        <v>68</v>
      </c>
      <c r="Z2537" t="str">
        <f>"Y"</f>
        <v>Y</v>
      </c>
      <c r="AA2537">
        <v>0</v>
      </c>
      <c r="AC2537">
        <v>0</v>
      </c>
      <c r="AE2537">
        <v>0</v>
      </c>
      <c r="AF2537">
        <v>0</v>
      </c>
      <c r="AG2537">
        <v>252.21</v>
      </c>
      <c r="AH2537">
        <v>0</v>
      </c>
      <c r="AI2537">
        <v>252.21</v>
      </c>
      <c r="AJ2537">
        <v>68</v>
      </c>
      <c r="AK2537">
        <v>68</v>
      </c>
      <c r="AL2537" t="str">
        <f>"$"</f>
        <v>$</v>
      </c>
    </row>
    <row r="2538" spans="1:38" x14ac:dyDescent="0.3">
      <c r="A2538" t="str">
        <f>"SO23000251"</f>
        <v>SO23000251</v>
      </c>
      <c r="B2538" t="str">
        <f>"E000395606"</f>
        <v>E000395606</v>
      </c>
      <c r="C2538" t="str">
        <f>"בוצעה"</f>
        <v>בוצעה</v>
      </c>
      <c r="E2538" s="3">
        <v>45076</v>
      </c>
      <c r="F2538" s="3">
        <v>45076</v>
      </c>
      <c r="G2538" t="str">
        <f>"700065"</f>
        <v>700065</v>
      </c>
      <c r="H2538" t="str">
        <f>"אלתא מערכות בע""מ"</f>
        <v>אלתא מערכות בע"מ</v>
      </c>
      <c r="I2538" t="str">
        <f>"רוני דידי"</f>
        <v>רוני דידי</v>
      </c>
      <c r="J2538" t="str">
        <f>"cust00891"</f>
        <v>cust00891</v>
      </c>
      <c r="K2538" s="1" t="str">
        <f>"1038H185-001 אלתא"</f>
        <v>1038H185-001 אלתא</v>
      </c>
      <c r="L2538">
        <v>1</v>
      </c>
      <c r="M2538" t="str">
        <f>"PR23000347"</f>
        <v>PR23000347</v>
      </c>
      <c r="N2538" t="str">
        <f>"תיקון 107  1038H185-001"</f>
        <v>תיקון 107  1038H185-001</v>
      </c>
      <c r="O2538" s="2">
        <v>5785</v>
      </c>
      <c r="P2538" t="str">
        <f>"$"</f>
        <v>$</v>
      </c>
      <c r="Q2538" t="str">
        <f>"118"</f>
        <v>118</v>
      </c>
      <c r="R2538" t="str">
        <f>"מערכות"</f>
        <v>מערכות</v>
      </c>
      <c r="S2538" t="str">
        <f>"007"</f>
        <v>007</v>
      </c>
      <c r="T2538" t="str">
        <f>"גנם הודיה"</f>
        <v>גנם הודיה</v>
      </c>
      <c r="U2538">
        <v>0</v>
      </c>
      <c r="V2538">
        <v>0</v>
      </c>
      <c r="W2538" s="2">
        <v>5785</v>
      </c>
      <c r="X2538" s="2">
        <v>5785</v>
      </c>
      <c r="Z2538" t="str">
        <f>"Y"</f>
        <v>Y</v>
      </c>
      <c r="AA2538">
        <v>0</v>
      </c>
      <c r="AC2538">
        <v>0</v>
      </c>
      <c r="AE2538">
        <v>0</v>
      </c>
      <c r="AF2538">
        <v>0</v>
      </c>
      <c r="AG2538" s="2">
        <v>21456.57</v>
      </c>
      <c r="AH2538">
        <v>0</v>
      </c>
      <c r="AI2538" s="2">
        <v>21456.57</v>
      </c>
      <c r="AJ2538" s="2">
        <v>5785</v>
      </c>
      <c r="AK2538" s="2">
        <v>5785</v>
      </c>
      <c r="AL2538" t="str">
        <f>"$"</f>
        <v>$</v>
      </c>
    </row>
    <row r="2539" spans="1:38" x14ac:dyDescent="0.3">
      <c r="A2539" t="str">
        <f>"SO23000252"</f>
        <v>SO23000252</v>
      </c>
      <c r="B2539" t="str">
        <f>"E000394729"</f>
        <v>E000394729</v>
      </c>
      <c r="C2539" t="str">
        <f>"מאושרת לבצוע"</f>
        <v>מאושרת לבצוע</v>
      </c>
      <c r="E2539" s="3">
        <v>45076</v>
      </c>
      <c r="F2539" s="3">
        <v>45076</v>
      </c>
      <c r="G2539" t="str">
        <f>"700065"</f>
        <v>700065</v>
      </c>
      <c r="H2539" t="str">
        <f>"אלתא מערכות בע""מ"</f>
        <v>אלתא מערכות בע"מ</v>
      </c>
      <c r="I2539" t="str">
        <f>"רוני דידי"</f>
        <v>רוני דידי</v>
      </c>
      <c r="J2539" t="str">
        <f>"PD0201111"</f>
        <v>PD0201111</v>
      </c>
      <c r="K2539" s="1" t="str">
        <f>"בורר וולטמטר 7 מצבים לפנל 194L-E12-8251"</f>
        <v>בורר וולטמטר 7 מצבים לפנל 194L-E12-8251</v>
      </c>
      <c r="L2539">
        <v>2</v>
      </c>
      <c r="M2539" t="str">
        <f>"PR23000348"</f>
        <v>PR23000348</v>
      </c>
      <c r="N2539" t="str">
        <f>"ח""ח"</f>
        <v>ח"ח</v>
      </c>
      <c r="O2539">
        <v>32</v>
      </c>
      <c r="P2539" t="str">
        <f>"$"</f>
        <v>$</v>
      </c>
      <c r="Q2539" t="str">
        <f>"112"</f>
        <v>112</v>
      </c>
      <c r="R2539" t="str">
        <f>"תיקון תקלות"</f>
        <v>תיקון תקלות</v>
      </c>
      <c r="S2539" t="str">
        <f>"007"</f>
        <v>007</v>
      </c>
      <c r="T2539" t="str">
        <f>"גנם הודיה"</f>
        <v>גנם הודיה</v>
      </c>
      <c r="U2539">
        <v>0</v>
      </c>
      <c r="V2539">
        <v>0</v>
      </c>
      <c r="W2539">
        <v>32</v>
      </c>
      <c r="X2539">
        <v>64</v>
      </c>
      <c r="AA2539">
        <v>2</v>
      </c>
      <c r="AC2539">
        <v>0</v>
      </c>
      <c r="AE2539">
        <v>0</v>
      </c>
      <c r="AF2539">
        <v>0</v>
      </c>
      <c r="AG2539">
        <v>118.69</v>
      </c>
      <c r="AH2539">
        <v>0</v>
      </c>
      <c r="AI2539">
        <v>237.38</v>
      </c>
      <c r="AJ2539">
        <v>64</v>
      </c>
      <c r="AK2539">
        <v>64</v>
      </c>
      <c r="AL2539" t="str">
        <f>"$"</f>
        <v>$</v>
      </c>
    </row>
    <row r="2540" spans="1:38" x14ac:dyDescent="0.3">
      <c r="A2540" t="str">
        <f>"SO23000252"</f>
        <v>SO23000252</v>
      </c>
      <c r="B2540" t="str">
        <f>"E000394729"</f>
        <v>E000394729</v>
      </c>
      <c r="C2540" t="str">
        <f>"מאושרת לבצוע"</f>
        <v>מאושרת לבצוע</v>
      </c>
      <c r="E2540" s="3">
        <v>45076</v>
      </c>
      <c r="F2540" s="3">
        <v>45076</v>
      </c>
      <c r="G2540" t="str">
        <f>"700065"</f>
        <v>700065</v>
      </c>
      <c r="H2540" t="str">
        <f>"אלתא מערכות בע""מ"</f>
        <v>אלתא מערכות בע"מ</v>
      </c>
      <c r="I2540" t="str">
        <f>"רוני דידי"</f>
        <v>רוני דידי</v>
      </c>
      <c r="J2540" t="str">
        <f>"PD0200240"</f>
        <v>PD0200240</v>
      </c>
      <c r="K2540" s="1" t="str">
        <f>"סליל הפסקה SOR XT1..XT4 24-30 Vac/dc"</f>
        <v>סליל הפסקה SOR XT1..XT4 24-30 Vac/dc</v>
      </c>
      <c r="L2540">
        <v>2</v>
      </c>
      <c r="M2540" t="str">
        <f>"PR23000348"</f>
        <v>PR23000348</v>
      </c>
      <c r="N2540" t="str">
        <f>"ח""ח"</f>
        <v>ח"ח</v>
      </c>
      <c r="O2540">
        <v>39</v>
      </c>
      <c r="P2540" t="str">
        <f>"$"</f>
        <v>$</v>
      </c>
      <c r="Q2540" t="str">
        <f>"112"</f>
        <v>112</v>
      </c>
      <c r="R2540" t="str">
        <f>"תיקון תקלות"</f>
        <v>תיקון תקלות</v>
      </c>
      <c r="S2540" t="str">
        <f>"007"</f>
        <v>007</v>
      </c>
      <c r="T2540" t="str">
        <f>"גנם הודיה"</f>
        <v>גנם הודיה</v>
      </c>
      <c r="U2540">
        <v>0</v>
      </c>
      <c r="V2540">
        <v>0</v>
      </c>
      <c r="W2540">
        <v>39</v>
      </c>
      <c r="X2540">
        <v>78</v>
      </c>
      <c r="AA2540">
        <v>2</v>
      </c>
      <c r="AC2540">
        <v>0</v>
      </c>
      <c r="AE2540">
        <v>0</v>
      </c>
      <c r="AF2540">
        <v>0</v>
      </c>
      <c r="AG2540">
        <v>144.65</v>
      </c>
      <c r="AH2540">
        <v>0</v>
      </c>
      <c r="AI2540">
        <v>289.3</v>
      </c>
      <c r="AJ2540">
        <v>78</v>
      </c>
      <c r="AK2540">
        <v>78</v>
      </c>
      <c r="AL2540" t="str">
        <f>"$"</f>
        <v>$</v>
      </c>
    </row>
    <row r="2541" spans="1:38" x14ac:dyDescent="0.3">
      <c r="A2541" t="str">
        <f>"SO23000252"</f>
        <v>SO23000252</v>
      </c>
      <c r="B2541" t="str">
        <f>"E000394729"</f>
        <v>E000394729</v>
      </c>
      <c r="C2541" t="str">
        <f>"מאושרת לבצוע"</f>
        <v>מאושרת לבצוע</v>
      </c>
      <c r="E2541" s="3">
        <v>45076</v>
      </c>
      <c r="F2541" s="3">
        <v>45076</v>
      </c>
      <c r="G2541" t="str">
        <f>"700065"</f>
        <v>700065</v>
      </c>
      <c r="H2541" t="str">
        <f>"אלתא מערכות בע""מ"</f>
        <v>אלתא מערכות בע"מ</v>
      </c>
      <c r="I2541" t="str">
        <f>"רוני דידי"</f>
        <v>רוני דידי</v>
      </c>
      <c r="J2541" t="str">
        <f>"PD0200097"</f>
        <v>PD0200097</v>
      </c>
      <c r="K2541" s="1" t="str">
        <f>"סט לד ירוק ABB CL-520G220V d.c. 220DC"</f>
        <v>סט לד ירוק ABB CL-520G220V d.c. 220DC</v>
      </c>
      <c r="L2541">
        <v>5</v>
      </c>
      <c r="M2541" t="str">
        <f>"PR23000348"</f>
        <v>PR23000348</v>
      </c>
      <c r="N2541" t="str">
        <f>"ח""ח"</f>
        <v>ח"ח</v>
      </c>
      <c r="O2541">
        <v>11</v>
      </c>
      <c r="P2541" t="str">
        <f>"$"</f>
        <v>$</v>
      </c>
      <c r="Q2541" t="str">
        <f>"112"</f>
        <v>112</v>
      </c>
      <c r="R2541" t="str">
        <f>"תיקון תקלות"</f>
        <v>תיקון תקלות</v>
      </c>
      <c r="S2541" t="str">
        <f>"007"</f>
        <v>007</v>
      </c>
      <c r="T2541" t="str">
        <f>"גנם הודיה"</f>
        <v>גנם הודיה</v>
      </c>
      <c r="U2541">
        <v>0</v>
      </c>
      <c r="V2541">
        <v>0</v>
      </c>
      <c r="W2541">
        <v>11</v>
      </c>
      <c r="X2541">
        <v>55</v>
      </c>
      <c r="AA2541">
        <v>5</v>
      </c>
      <c r="AC2541">
        <v>0</v>
      </c>
      <c r="AE2541">
        <v>0</v>
      </c>
      <c r="AF2541">
        <v>0</v>
      </c>
      <c r="AG2541">
        <v>40.799999999999997</v>
      </c>
      <c r="AH2541">
        <v>0</v>
      </c>
      <c r="AI2541">
        <v>204</v>
      </c>
      <c r="AJ2541">
        <v>55</v>
      </c>
      <c r="AK2541">
        <v>55</v>
      </c>
      <c r="AL2541" t="str">
        <f>"$"</f>
        <v>$</v>
      </c>
    </row>
    <row r="2542" spans="1:38" x14ac:dyDescent="0.3">
      <c r="A2542" t="str">
        <f>"SO23000252"</f>
        <v>SO23000252</v>
      </c>
      <c r="B2542" t="str">
        <f>"E000394729"</f>
        <v>E000394729</v>
      </c>
      <c r="C2542" t="str">
        <f>"מאושרת לבצוע"</f>
        <v>מאושרת לבצוע</v>
      </c>
      <c r="E2542" s="3">
        <v>45076</v>
      </c>
      <c r="F2542" s="3">
        <v>45076</v>
      </c>
      <c r="G2542" t="str">
        <f>"700065"</f>
        <v>700065</v>
      </c>
      <c r="H2542" t="str">
        <f>"אלתא מערכות בע""מ"</f>
        <v>אלתא מערכות בע"מ</v>
      </c>
      <c r="I2542" t="str">
        <f>"רוני דידי"</f>
        <v>רוני דידי</v>
      </c>
      <c r="J2542" t="str">
        <f>"PD0200347"</f>
        <v>PD0200347</v>
      </c>
      <c r="K2542" s="1" t="str">
        <f>"סט לד אדום ABB CL-502R24V a.c./d.c.    24AC/DC"</f>
        <v>סט לד אדום ABB CL-502R24V a.c./d.c.    24AC/DC</v>
      </c>
      <c r="L2542">
        <v>5</v>
      </c>
      <c r="M2542" t="str">
        <f>"PR23000348"</f>
        <v>PR23000348</v>
      </c>
      <c r="N2542" t="str">
        <f>"ח""ח"</f>
        <v>ח"ח</v>
      </c>
      <c r="O2542">
        <v>12</v>
      </c>
      <c r="P2542" t="str">
        <f>"$"</f>
        <v>$</v>
      </c>
      <c r="Q2542" t="str">
        <f>"112"</f>
        <v>112</v>
      </c>
      <c r="R2542" t="str">
        <f>"תיקון תקלות"</f>
        <v>תיקון תקלות</v>
      </c>
      <c r="S2542" t="str">
        <f>"007"</f>
        <v>007</v>
      </c>
      <c r="T2542" t="str">
        <f>"גנם הודיה"</f>
        <v>גנם הודיה</v>
      </c>
      <c r="U2542">
        <v>0</v>
      </c>
      <c r="V2542">
        <v>0</v>
      </c>
      <c r="W2542">
        <v>12</v>
      </c>
      <c r="X2542">
        <v>60</v>
      </c>
      <c r="AA2542">
        <v>5</v>
      </c>
      <c r="AC2542">
        <v>0</v>
      </c>
      <c r="AE2542">
        <v>0</v>
      </c>
      <c r="AF2542">
        <v>0</v>
      </c>
      <c r="AG2542">
        <v>44.51</v>
      </c>
      <c r="AH2542">
        <v>0</v>
      </c>
      <c r="AI2542">
        <v>222.54</v>
      </c>
      <c r="AJ2542">
        <v>60</v>
      </c>
      <c r="AK2542">
        <v>60</v>
      </c>
      <c r="AL2542" t="str">
        <f>"$"</f>
        <v>$</v>
      </c>
    </row>
    <row r="2543" spans="1:38" x14ac:dyDescent="0.3">
      <c r="A2543" t="str">
        <f>"SO23000252"</f>
        <v>SO23000252</v>
      </c>
      <c r="B2543" t="str">
        <f>"E000394729"</f>
        <v>E000394729</v>
      </c>
      <c r="C2543" t="str">
        <f>"מאושרת לבצוע"</f>
        <v>מאושרת לבצוע</v>
      </c>
      <c r="E2543" s="3">
        <v>45076</v>
      </c>
      <c r="F2543" s="3">
        <v>45076</v>
      </c>
      <c r="G2543" t="str">
        <f>"700065"</f>
        <v>700065</v>
      </c>
      <c r="H2543" t="str">
        <f>"אלתא מערכות בע""מ"</f>
        <v>אלתא מערכות בע"מ</v>
      </c>
      <c r="I2543" t="str">
        <f>"רוני דידי"</f>
        <v>רוני דידי</v>
      </c>
      <c r="J2543" t="str">
        <f>"PS0200144"</f>
        <v>PS0200144</v>
      </c>
      <c r="K2543" s="1" t="str">
        <f>"ספק כח PRO TOP3 960W 24V 2467120000 40A"</f>
        <v>ספק כח PRO TOP3 960W 24V 2467120000 40A</v>
      </c>
      <c r="L2543">
        <v>1</v>
      </c>
      <c r="M2543" t="str">
        <f>"PR23000348"</f>
        <v>PR23000348</v>
      </c>
      <c r="N2543" t="str">
        <f>"ח""ח"</f>
        <v>ח"ח</v>
      </c>
      <c r="O2543">
        <v>653</v>
      </c>
      <c r="P2543" t="str">
        <f>"$"</f>
        <v>$</v>
      </c>
      <c r="Q2543" t="str">
        <f>"112"</f>
        <v>112</v>
      </c>
      <c r="R2543" t="str">
        <f>"תיקון תקלות"</f>
        <v>תיקון תקלות</v>
      </c>
      <c r="S2543" t="str">
        <f>"007"</f>
        <v>007</v>
      </c>
      <c r="T2543" t="str">
        <f>"גנם הודיה"</f>
        <v>גנם הודיה</v>
      </c>
      <c r="U2543">
        <v>0</v>
      </c>
      <c r="V2543">
        <v>0</v>
      </c>
      <c r="W2543">
        <v>653</v>
      </c>
      <c r="X2543">
        <v>653</v>
      </c>
      <c r="AA2543">
        <v>1</v>
      </c>
      <c r="AC2543">
        <v>0</v>
      </c>
      <c r="AE2543">
        <v>0</v>
      </c>
      <c r="AF2543">
        <v>0</v>
      </c>
      <c r="AG2543" s="2">
        <v>2421.98</v>
      </c>
      <c r="AH2543">
        <v>0</v>
      </c>
      <c r="AI2543" s="2">
        <v>2421.98</v>
      </c>
      <c r="AJ2543">
        <v>653</v>
      </c>
      <c r="AK2543">
        <v>653</v>
      </c>
      <c r="AL2543" t="str">
        <f>"$"</f>
        <v>$</v>
      </c>
    </row>
    <row r="2544" spans="1:38" x14ac:dyDescent="0.3">
      <c r="A2544" t="str">
        <f>"SO23000252"</f>
        <v>SO23000252</v>
      </c>
      <c r="B2544" t="str">
        <f>"E000394729"</f>
        <v>E000394729</v>
      </c>
      <c r="C2544" t="str">
        <f>"מאושרת לבצוע"</f>
        <v>מאושרת לבצוע</v>
      </c>
      <c r="E2544" s="3">
        <v>45076</v>
      </c>
      <c r="F2544" s="3">
        <v>45076</v>
      </c>
      <c r="G2544" t="str">
        <f>"700065"</f>
        <v>700065</v>
      </c>
      <c r="H2544" t="str">
        <f>"אלתא מערכות בע""מ"</f>
        <v>אלתא מערכות בע"מ</v>
      </c>
      <c r="I2544" t="str">
        <f>"רוני דידי"</f>
        <v>רוני דידי</v>
      </c>
      <c r="J2544" t="str">
        <f>"PD0201485"</f>
        <v>PD0201485</v>
      </c>
      <c r="K2544" s="1" t="str">
        <f>"מגן ברק widmulle VPU AC II 4 R 480/50 2591280000"</f>
        <v>מגן ברק widmulle VPU AC II 4 R 480/50 2591280000</v>
      </c>
      <c r="L2544">
        <v>2</v>
      </c>
      <c r="M2544" t="str">
        <f>"PR23000348"</f>
        <v>PR23000348</v>
      </c>
      <c r="N2544" t="str">
        <f>"ח""ח"</f>
        <v>ח"ח</v>
      </c>
      <c r="O2544">
        <v>189</v>
      </c>
      <c r="P2544" t="str">
        <f>"$"</f>
        <v>$</v>
      </c>
      <c r="Q2544" t="str">
        <f>"112"</f>
        <v>112</v>
      </c>
      <c r="R2544" t="str">
        <f>"תיקון תקלות"</f>
        <v>תיקון תקלות</v>
      </c>
      <c r="S2544" t="str">
        <f>"007"</f>
        <v>007</v>
      </c>
      <c r="T2544" t="str">
        <f>"גנם הודיה"</f>
        <v>גנם הודיה</v>
      </c>
      <c r="U2544">
        <v>0</v>
      </c>
      <c r="V2544">
        <v>0</v>
      </c>
      <c r="W2544">
        <v>189</v>
      </c>
      <c r="X2544">
        <v>378</v>
      </c>
      <c r="AA2544">
        <v>2</v>
      </c>
      <c r="AC2544">
        <v>0</v>
      </c>
      <c r="AE2544">
        <v>0</v>
      </c>
      <c r="AF2544">
        <v>0</v>
      </c>
      <c r="AG2544">
        <v>701</v>
      </c>
      <c r="AH2544">
        <v>0</v>
      </c>
      <c r="AI2544" s="2">
        <v>1402</v>
      </c>
      <c r="AJ2544">
        <v>378</v>
      </c>
      <c r="AK2544">
        <v>378</v>
      </c>
      <c r="AL2544" t="str">
        <f>"$"</f>
        <v>$</v>
      </c>
    </row>
    <row r="2545" spans="1:38" x14ac:dyDescent="0.3">
      <c r="A2545" t="str">
        <f>"SO23000252"</f>
        <v>SO23000252</v>
      </c>
      <c r="B2545" t="str">
        <f>"E000394729"</f>
        <v>E000394729</v>
      </c>
      <c r="C2545" t="str">
        <f>"מאושרת לבצוע"</f>
        <v>מאושרת לבצוע</v>
      </c>
      <c r="E2545" s="3">
        <v>45076</v>
      </c>
      <c r="F2545" s="3">
        <v>45076</v>
      </c>
      <c r="G2545" t="str">
        <f>"700065"</f>
        <v>700065</v>
      </c>
      <c r="H2545" t="str">
        <f>"אלתא מערכות בע""מ"</f>
        <v>אלתא מערכות בע"מ</v>
      </c>
      <c r="I2545" t="str">
        <f>"רוני דידי"</f>
        <v>רוני דידי</v>
      </c>
      <c r="J2545" t="str">
        <f>"PA1001831"</f>
        <v>PA1001831</v>
      </c>
      <c r="K2545" s="1" t="str">
        <f>"נצנץ אדום 261.120.70 WERMA"</f>
        <v>נצנץ אדום 261.120.70 WERMA</v>
      </c>
      <c r="L2545">
        <v>2</v>
      </c>
      <c r="M2545" t="str">
        <f>"PR23000348"</f>
        <v>PR23000348</v>
      </c>
      <c r="N2545" t="str">
        <f>"ח""ח"</f>
        <v>ח"ח</v>
      </c>
      <c r="O2545">
        <v>190</v>
      </c>
      <c r="P2545" t="str">
        <f>"$"</f>
        <v>$</v>
      </c>
      <c r="Q2545" t="str">
        <f>"112"</f>
        <v>112</v>
      </c>
      <c r="R2545" t="str">
        <f>"תיקון תקלות"</f>
        <v>תיקון תקלות</v>
      </c>
      <c r="S2545" t="str">
        <f>"007"</f>
        <v>007</v>
      </c>
      <c r="T2545" t="str">
        <f>"גנם הודיה"</f>
        <v>גנם הודיה</v>
      </c>
      <c r="U2545">
        <v>0</v>
      </c>
      <c r="V2545">
        <v>0</v>
      </c>
      <c r="W2545">
        <v>190</v>
      </c>
      <c r="X2545">
        <v>380</v>
      </c>
      <c r="AA2545">
        <v>2</v>
      </c>
      <c r="AC2545">
        <v>0</v>
      </c>
      <c r="AE2545">
        <v>0</v>
      </c>
      <c r="AF2545">
        <v>0</v>
      </c>
      <c r="AG2545">
        <v>704.71</v>
      </c>
      <c r="AH2545">
        <v>0</v>
      </c>
      <c r="AI2545" s="2">
        <v>1409.42</v>
      </c>
      <c r="AJ2545">
        <v>380</v>
      </c>
      <c r="AK2545">
        <v>380</v>
      </c>
      <c r="AL2545" t="str">
        <f>"$"</f>
        <v>$</v>
      </c>
    </row>
    <row r="2546" spans="1:38" x14ac:dyDescent="0.3">
      <c r="A2546" t="str">
        <f>"SO23000252"</f>
        <v>SO23000252</v>
      </c>
      <c r="B2546" t="str">
        <f>"E000394729"</f>
        <v>E000394729</v>
      </c>
      <c r="C2546" t="str">
        <f>"מאושרת לבצוע"</f>
        <v>מאושרת לבצוע</v>
      </c>
      <c r="E2546" s="3">
        <v>45076</v>
      </c>
      <c r="F2546" s="3">
        <v>45076</v>
      </c>
      <c r="G2546" t="str">
        <f>"700065"</f>
        <v>700065</v>
      </c>
      <c r="H2546" t="str">
        <f>"אלתא מערכות בע""מ"</f>
        <v>אלתא מערכות בע"מ</v>
      </c>
      <c r="I2546" t="str">
        <f>"רוני דידי"</f>
        <v>רוני דידי</v>
      </c>
      <c r="J2546" t="str">
        <f>"PA1001830"</f>
        <v>PA1001830</v>
      </c>
      <c r="K2546" s="1" t="str">
        <f>"נצנץ כחול 261.520.70 WERMA"</f>
        <v>נצנץ כחול 261.520.70 WERMA</v>
      </c>
      <c r="L2546">
        <v>2</v>
      </c>
      <c r="M2546" t="str">
        <f>"PR23000348"</f>
        <v>PR23000348</v>
      </c>
      <c r="N2546" t="str">
        <f>"ח""ח"</f>
        <v>ח"ח</v>
      </c>
      <c r="O2546">
        <v>190</v>
      </c>
      <c r="P2546" t="str">
        <f>"$"</f>
        <v>$</v>
      </c>
      <c r="Q2546" t="str">
        <f>"112"</f>
        <v>112</v>
      </c>
      <c r="R2546" t="str">
        <f>"תיקון תקלות"</f>
        <v>תיקון תקלות</v>
      </c>
      <c r="S2546" t="str">
        <f>"007"</f>
        <v>007</v>
      </c>
      <c r="T2546" t="str">
        <f>"גנם הודיה"</f>
        <v>גנם הודיה</v>
      </c>
      <c r="U2546">
        <v>0</v>
      </c>
      <c r="V2546">
        <v>0</v>
      </c>
      <c r="W2546">
        <v>190</v>
      </c>
      <c r="X2546">
        <v>380</v>
      </c>
      <c r="AA2546">
        <v>2</v>
      </c>
      <c r="AC2546">
        <v>0</v>
      </c>
      <c r="AE2546">
        <v>0</v>
      </c>
      <c r="AF2546">
        <v>0</v>
      </c>
      <c r="AG2546">
        <v>704.71</v>
      </c>
      <c r="AH2546">
        <v>0</v>
      </c>
      <c r="AI2546" s="2">
        <v>1409.42</v>
      </c>
      <c r="AJ2546">
        <v>380</v>
      </c>
      <c r="AK2546">
        <v>380</v>
      </c>
      <c r="AL2546" t="str">
        <f>"$"</f>
        <v>$</v>
      </c>
    </row>
    <row r="2547" spans="1:38" x14ac:dyDescent="0.3">
      <c r="A2547" t="str">
        <f>"SO23000252"</f>
        <v>SO23000252</v>
      </c>
      <c r="B2547" t="str">
        <f>"E000394729"</f>
        <v>E000394729</v>
      </c>
      <c r="C2547" t="str">
        <f>"מאושרת לבצוע"</f>
        <v>מאושרת לבצוע</v>
      </c>
      <c r="E2547" s="3">
        <v>45076</v>
      </c>
      <c r="F2547" s="3">
        <v>45076</v>
      </c>
      <c r="G2547" t="str">
        <f>"700065"</f>
        <v>700065</v>
      </c>
      <c r="H2547" t="str">
        <f>"אלתא מערכות בע""מ"</f>
        <v>אלתא מערכות בע"מ</v>
      </c>
      <c r="I2547" t="str">
        <f>"רוני דידי"</f>
        <v>רוני דידי</v>
      </c>
      <c r="J2547" t="str">
        <f>"PA9900229"</f>
        <v>PA9900229</v>
      </c>
      <c r="K2547" s="1" t="str">
        <f>"מונה שעות עבודה HOUR METER 701FR00101248D2060A"</f>
        <v>מונה שעות עבודה HOUR METER 701FR00101248D2060A</v>
      </c>
      <c r="L2547">
        <v>1</v>
      </c>
      <c r="M2547" t="str">
        <f>"PR23000348"</f>
        <v>PR23000348</v>
      </c>
      <c r="N2547" t="str">
        <f>"ח""ח"</f>
        <v>ח"ח</v>
      </c>
      <c r="O2547">
        <v>78</v>
      </c>
      <c r="P2547" t="str">
        <f>"$"</f>
        <v>$</v>
      </c>
      <c r="Q2547" t="str">
        <f>"112"</f>
        <v>112</v>
      </c>
      <c r="R2547" t="str">
        <f>"תיקון תקלות"</f>
        <v>תיקון תקלות</v>
      </c>
      <c r="S2547" t="str">
        <f>"007"</f>
        <v>007</v>
      </c>
      <c r="T2547" t="str">
        <f>"גנם הודיה"</f>
        <v>גנם הודיה</v>
      </c>
      <c r="U2547">
        <v>0</v>
      </c>
      <c r="V2547">
        <v>0</v>
      </c>
      <c r="W2547">
        <v>78</v>
      </c>
      <c r="X2547">
        <v>78</v>
      </c>
      <c r="AA2547">
        <v>1</v>
      </c>
      <c r="AC2547">
        <v>0</v>
      </c>
      <c r="AE2547">
        <v>0</v>
      </c>
      <c r="AF2547">
        <v>0</v>
      </c>
      <c r="AG2547">
        <v>289.3</v>
      </c>
      <c r="AH2547">
        <v>0</v>
      </c>
      <c r="AI2547">
        <v>289.3</v>
      </c>
      <c r="AJ2547">
        <v>78</v>
      </c>
      <c r="AK2547">
        <v>78</v>
      </c>
      <c r="AL2547" t="str">
        <f>"$"</f>
        <v>$</v>
      </c>
    </row>
    <row r="2548" spans="1:38" x14ac:dyDescent="0.3">
      <c r="A2548" t="str">
        <f>"SO23000252"</f>
        <v>SO23000252</v>
      </c>
      <c r="B2548" t="str">
        <f>"E000394729"</f>
        <v>E000394729</v>
      </c>
      <c r="C2548" t="str">
        <f>"מאושרת לבצוע"</f>
        <v>מאושרת לבצוע</v>
      </c>
      <c r="E2548" s="3">
        <v>45076</v>
      </c>
      <c r="F2548" s="3">
        <v>45076</v>
      </c>
      <c r="G2548" t="str">
        <f>"700065"</f>
        <v>700065</v>
      </c>
      <c r="H2548" t="str">
        <f>"אלתא מערכות בע""מ"</f>
        <v>אלתא מערכות בע"מ</v>
      </c>
      <c r="I2548" t="str">
        <f>"רוני דידי"</f>
        <v>רוני דידי</v>
      </c>
      <c r="J2548" t="str">
        <f>"PS0200167"</f>
        <v>PS0200167</v>
      </c>
      <c r="K2548" s="1" t="str">
        <f>"מטען מצברים AQHF48-25 WP SLA AQTRON HF CHARGER IP67 48V 25A"</f>
        <v>מטען מצברים AQHF48-25 WP SLA AQTRON HF CHARGER IP67 48V 25A</v>
      </c>
      <c r="L2548">
        <v>1</v>
      </c>
      <c r="M2548" t="str">
        <f>"PR23000348"</f>
        <v>PR23000348</v>
      </c>
      <c r="N2548" t="str">
        <f>"ח""ח"</f>
        <v>ח"ח</v>
      </c>
      <c r="O2548">
        <v>298</v>
      </c>
      <c r="P2548" t="str">
        <f>"$"</f>
        <v>$</v>
      </c>
      <c r="Q2548" t="str">
        <f>"112"</f>
        <v>112</v>
      </c>
      <c r="R2548" t="str">
        <f>"תיקון תקלות"</f>
        <v>תיקון תקלות</v>
      </c>
      <c r="S2548" t="str">
        <f>"007"</f>
        <v>007</v>
      </c>
      <c r="T2548" t="str">
        <f>"גנם הודיה"</f>
        <v>גנם הודיה</v>
      </c>
      <c r="U2548">
        <v>0</v>
      </c>
      <c r="V2548">
        <v>0</v>
      </c>
      <c r="W2548">
        <v>298</v>
      </c>
      <c r="X2548">
        <v>298</v>
      </c>
      <c r="AA2548">
        <v>1</v>
      </c>
      <c r="AC2548">
        <v>0</v>
      </c>
      <c r="AE2548">
        <v>0</v>
      </c>
      <c r="AF2548">
        <v>0</v>
      </c>
      <c r="AG2548" s="2">
        <v>1105.28</v>
      </c>
      <c r="AH2548">
        <v>0</v>
      </c>
      <c r="AI2548" s="2">
        <v>1105.28</v>
      </c>
      <c r="AJ2548">
        <v>298</v>
      </c>
      <c r="AK2548">
        <v>298</v>
      </c>
      <c r="AL2548" t="str">
        <f>"$"</f>
        <v>$</v>
      </c>
    </row>
    <row r="2549" spans="1:38" x14ac:dyDescent="0.3">
      <c r="A2549" t="str">
        <f>"SO23000252"</f>
        <v>SO23000252</v>
      </c>
      <c r="B2549" t="str">
        <f>"E000394729"</f>
        <v>E000394729</v>
      </c>
      <c r="C2549" t="str">
        <f>"מאושרת לבצוע"</f>
        <v>מאושרת לבצוע</v>
      </c>
      <c r="E2549" s="3">
        <v>45076</v>
      </c>
      <c r="F2549" s="3">
        <v>45076</v>
      </c>
      <c r="G2549" t="str">
        <f>"700065"</f>
        <v>700065</v>
      </c>
      <c r="H2549" t="str">
        <f>"אלתא מערכות בע""מ"</f>
        <v>אלתא מערכות בע"מ</v>
      </c>
      <c r="I2549" t="str">
        <f>"רוני דידי"</f>
        <v>רוני דידי</v>
      </c>
      <c r="J2549" t="str">
        <f>"PA1001828"</f>
        <v>PA1001828</v>
      </c>
      <c r="K2549" s="1" t="str">
        <f>"Fan Accessories 120mm Finger Guard G109-3A"</f>
        <v>Fan Accessories 120mm Finger Guard G109-3A</v>
      </c>
      <c r="L2549">
        <v>2</v>
      </c>
      <c r="M2549" t="str">
        <f>"PR23000348"</f>
        <v>PR23000348</v>
      </c>
      <c r="N2549" t="str">
        <f>"ח""ח"</f>
        <v>ח"ח</v>
      </c>
      <c r="O2549">
        <v>3</v>
      </c>
      <c r="P2549" t="str">
        <f>"$"</f>
        <v>$</v>
      </c>
      <c r="Q2549" t="str">
        <f>"112"</f>
        <v>112</v>
      </c>
      <c r="R2549" t="str">
        <f>"תיקון תקלות"</f>
        <v>תיקון תקלות</v>
      </c>
      <c r="S2549" t="str">
        <f>"007"</f>
        <v>007</v>
      </c>
      <c r="T2549" t="str">
        <f>"גנם הודיה"</f>
        <v>גנם הודיה</v>
      </c>
      <c r="U2549">
        <v>0</v>
      </c>
      <c r="V2549">
        <v>0</v>
      </c>
      <c r="W2549">
        <v>3</v>
      </c>
      <c r="X2549">
        <v>6</v>
      </c>
      <c r="AA2549">
        <v>2</v>
      </c>
      <c r="AC2549">
        <v>0</v>
      </c>
      <c r="AE2549">
        <v>0</v>
      </c>
      <c r="AF2549">
        <v>0</v>
      </c>
      <c r="AG2549">
        <v>11.13</v>
      </c>
      <c r="AH2549">
        <v>0</v>
      </c>
      <c r="AI2549">
        <v>22.25</v>
      </c>
      <c r="AJ2549">
        <v>6</v>
      </c>
      <c r="AK2549">
        <v>6</v>
      </c>
      <c r="AL2549" t="str">
        <f>"$"</f>
        <v>$</v>
      </c>
    </row>
    <row r="2550" spans="1:38" x14ac:dyDescent="0.3">
      <c r="A2550" t="str">
        <f>"SO23000252"</f>
        <v>SO23000252</v>
      </c>
      <c r="B2550" t="str">
        <f>"E000394729"</f>
        <v>E000394729</v>
      </c>
      <c r="C2550" t="str">
        <f>"מאושרת לבצוע"</f>
        <v>מאושרת לבצוע</v>
      </c>
      <c r="E2550" s="3">
        <v>45076</v>
      </c>
      <c r="F2550" s="3">
        <v>45076</v>
      </c>
      <c r="G2550" t="str">
        <f>"700065"</f>
        <v>700065</v>
      </c>
      <c r="H2550" t="str">
        <f>"אלתא מערכות בע""מ"</f>
        <v>אלתא מערכות בע"מ</v>
      </c>
      <c r="I2550" t="str">
        <f>"רוני דידי"</f>
        <v>רוני דידי</v>
      </c>
      <c r="J2550" t="str">
        <f>"GT0800066"</f>
        <v>GT0800066</v>
      </c>
      <c r="K2550" s="1" t="str">
        <f>"גוף תאורה LED 24VDC WAS 729"</f>
        <v>גוף תאורה LED 24VDC WAS 729</v>
      </c>
      <c r="L2550">
        <v>2</v>
      </c>
      <c r="M2550" t="str">
        <f>"PR23000348"</f>
        <v>PR23000348</v>
      </c>
      <c r="N2550" t="str">
        <f>"ח""ח"</f>
        <v>ח"ח</v>
      </c>
      <c r="O2550">
        <v>38</v>
      </c>
      <c r="P2550" t="str">
        <f>"$"</f>
        <v>$</v>
      </c>
      <c r="Q2550" t="str">
        <f>"112"</f>
        <v>112</v>
      </c>
      <c r="R2550" t="str">
        <f>"תיקון תקלות"</f>
        <v>תיקון תקלות</v>
      </c>
      <c r="S2550" t="str">
        <f>"007"</f>
        <v>007</v>
      </c>
      <c r="T2550" t="str">
        <f>"גנם הודיה"</f>
        <v>גנם הודיה</v>
      </c>
      <c r="U2550">
        <v>0</v>
      </c>
      <c r="V2550">
        <v>0</v>
      </c>
      <c r="W2550">
        <v>38</v>
      </c>
      <c r="X2550">
        <v>76</v>
      </c>
      <c r="AA2550">
        <v>2</v>
      </c>
      <c r="AC2550">
        <v>0</v>
      </c>
      <c r="AE2550">
        <v>0</v>
      </c>
      <c r="AF2550">
        <v>0</v>
      </c>
      <c r="AG2550">
        <v>140.94</v>
      </c>
      <c r="AH2550">
        <v>0</v>
      </c>
      <c r="AI2550">
        <v>281.88</v>
      </c>
      <c r="AJ2550">
        <v>76</v>
      </c>
      <c r="AK2550">
        <v>76</v>
      </c>
      <c r="AL2550" t="str">
        <f>"$"</f>
        <v>$</v>
      </c>
    </row>
    <row r="2551" spans="1:38" x14ac:dyDescent="0.3">
      <c r="A2551" t="str">
        <f>"SO23000252"</f>
        <v>SO23000252</v>
      </c>
      <c r="B2551" t="str">
        <f>"E000394729"</f>
        <v>E000394729</v>
      </c>
      <c r="C2551" t="str">
        <f>"מאושרת לבצוע"</f>
        <v>מאושרת לבצוע</v>
      </c>
      <c r="E2551" s="3">
        <v>45076</v>
      </c>
      <c r="F2551" s="3">
        <v>45076</v>
      </c>
      <c r="G2551" t="str">
        <f>"700065"</f>
        <v>700065</v>
      </c>
      <c r="H2551" t="str">
        <f>"אלתא מערכות בע""מ"</f>
        <v>אלתא מערכות בע"מ</v>
      </c>
      <c r="I2551" t="str">
        <f>"רוני דידי"</f>
        <v>רוני דידי</v>
      </c>
      <c r="J2551" t="str">
        <f>"PD9900588"</f>
        <v>PD9900588</v>
      </c>
      <c r="K2551" s="1" t="str">
        <f>"מאוורר PFB1248UHE-EP 120x120 FAN 220CFM 48VDC"</f>
        <v>מאוורר PFB1248UHE-EP 120x120 FAN 220CFM 48VDC</v>
      </c>
      <c r="L2551">
        <v>2</v>
      </c>
      <c r="M2551" t="str">
        <f>"PR23000348"</f>
        <v>PR23000348</v>
      </c>
      <c r="N2551" t="str">
        <f>"ח""ח"</f>
        <v>ח"ח</v>
      </c>
      <c r="O2551">
        <v>109</v>
      </c>
      <c r="P2551" t="str">
        <f>"$"</f>
        <v>$</v>
      </c>
      <c r="Q2551" t="str">
        <f>"112"</f>
        <v>112</v>
      </c>
      <c r="R2551" t="str">
        <f>"תיקון תקלות"</f>
        <v>תיקון תקלות</v>
      </c>
      <c r="S2551" t="str">
        <f>"007"</f>
        <v>007</v>
      </c>
      <c r="T2551" t="str">
        <f>"גנם הודיה"</f>
        <v>גנם הודיה</v>
      </c>
      <c r="U2551">
        <v>0</v>
      </c>
      <c r="V2551">
        <v>0</v>
      </c>
      <c r="W2551">
        <v>109</v>
      </c>
      <c r="X2551">
        <v>218</v>
      </c>
      <c r="AA2551">
        <v>2</v>
      </c>
      <c r="AC2551">
        <v>0</v>
      </c>
      <c r="AE2551">
        <v>0</v>
      </c>
      <c r="AF2551">
        <v>0</v>
      </c>
      <c r="AG2551">
        <v>404.28</v>
      </c>
      <c r="AH2551">
        <v>0</v>
      </c>
      <c r="AI2551">
        <v>808.56</v>
      </c>
      <c r="AJ2551">
        <v>218</v>
      </c>
      <c r="AK2551">
        <v>218</v>
      </c>
      <c r="AL2551" t="str">
        <f>"$"</f>
        <v>$</v>
      </c>
    </row>
    <row r="2552" spans="1:38" x14ac:dyDescent="0.3">
      <c r="A2552" t="str">
        <f>"SO23000252"</f>
        <v>SO23000252</v>
      </c>
      <c r="B2552" t="str">
        <f>"E000394729"</f>
        <v>E000394729</v>
      </c>
      <c r="C2552" t="str">
        <f>"מאושרת לבצוע"</f>
        <v>מאושרת לבצוע</v>
      </c>
      <c r="E2552" s="3">
        <v>45076</v>
      </c>
      <c r="F2552" s="3">
        <v>45076</v>
      </c>
      <c r="G2552" t="str">
        <f>"700065"</f>
        <v>700065</v>
      </c>
      <c r="H2552" t="str">
        <f>"אלתא מערכות בע""מ"</f>
        <v>אלתא מערכות בע"מ</v>
      </c>
      <c r="I2552" t="str">
        <f>"רוני דידי"</f>
        <v>רוני דידי</v>
      </c>
      <c r="J2552" t="str">
        <f>"PA0300153"</f>
        <v>PA0300153</v>
      </c>
      <c r="K2552" s="1" t="str">
        <f>"NKK Switches S6AW TOGGLE DPDT ON-NON-ON 2P IP67 10A 250V"</f>
        <v>NKK Switches S6AW TOGGLE DPDT ON-NON-ON 2P IP67 10A 250V</v>
      </c>
      <c r="L2552">
        <v>1</v>
      </c>
      <c r="M2552" t="str">
        <f>"PR23000348"</f>
        <v>PR23000348</v>
      </c>
      <c r="N2552" t="str">
        <f>"ח""ח"</f>
        <v>ח"ח</v>
      </c>
      <c r="O2552">
        <v>25</v>
      </c>
      <c r="P2552" t="str">
        <f>"$"</f>
        <v>$</v>
      </c>
      <c r="Q2552" t="str">
        <f>"112"</f>
        <v>112</v>
      </c>
      <c r="R2552" t="str">
        <f>"תיקון תקלות"</f>
        <v>תיקון תקלות</v>
      </c>
      <c r="S2552" t="str">
        <f>"007"</f>
        <v>007</v>
      </c>
      <c r="T2552" t="str">
        <f>"גנם הודיה"</f>
        <v>גנם הודיה</v>
      </c>
      <c r="U2552">
        <v>0</v>
      </c>
      <c r="V2552">
        <v>0</v>
      </c>
      <c r="W2552">
        <v>25</v>
      </c>
      <c r="X2552">
        <v>25</v>
      </c>
      <c r="AA2552">
        <v>1</v>
      </c>
      <c r="AC2552">
        <v>0</v>
      </c>
      <c r="AE2552">
        <v>0</v>
      </c>
      <c r="AF2552">
        <v>0</v>
      </c>
      <c r="AG2552">
        <v>92.73</v>
      </c>
      <c r="AH2552">
        <v>0</v>
      </c>
      <c r="AI2552">
        <v>92.73</v>
      </c>
      <c r="AJ2552">
        <v>25</v>
      </c>
      <c r="AK2552">
        <v>25</v>
      </c>
      <c r="AL2552" t="str">
        <f>"$"</f>
        <v>$</v>
      </c>
    </row>
    <row r="2553" spans="1:38" x14ac:dyDescent="0.3">
      <c r="A2553" t="str">
        <f>"SO23000252"</f>
        <v>SO23000252</v>
      </c>
      <c r="B2553" t="str">
        <f>"E000394729"</f>
        <v>E000394729</v>
      </c>
      <c r="C2553" t="str">
        <f>"מאושרת לבצוע"</f>
        <v>מאושרת לבצוע</v>
      </c>
      <c r="E2553" s="3">
        <v>45076</v>
      </c>
      <c r="F2553" s="3">
        <v>45076</v>
      </c>
      <c r="G2553" t="str">
        <f>"700065"</f>
        <v>700065</v>
      </c>
      <c r="H2553" t="str">
        <f>"אלתא מערכות בע""מ"</f>
        <v>אלתא מערכות בע"מ</v>
      </c>
      <c r="I2553" t="str">
        <f>"רוני דידי"</f>
        <v>רוני דידי</v>
      </c>
      <c r="J2553" t="str">
        <f>"PD0300436"</f>
        <v>PD0300436</v>
      </c>
      <c r="K2553" s="1" t="str">
        <f>"וולטמטר דיגיטלי AC/DC דגם ABB VLMD P"</f>
        <v>וולטמטר דיגיטלי AC/DC דגם ABB VLMD P</v>
      </c>
      <c r="L2553">
        <v>4</v>
      </c>
      <c r="M2553" t="str">
        <f>"PR23000348"</f>
        <v>PR23000348</v>
      </c>
      <c r="N2553" t="str">
        <f>"ח""ח"</f>
        <v>ח"ח</v>
      </c>
      <c r="O2553">
        <v>167</v>
      </c>
      <c r="P2553" t="str">
        <f>"$"</f>
        <v>$</v>
      </c>
      <c r="Q2553" t="str">
        <f>"112"</f>
        <v>112</v>
      </c>
      <c r="R2553" t="str">
        <f>"תיקון תקלות"</f>
        <v>תיקון תקלות</v>
      </c>
      <c r="S2553" t="str">
        <f>"007"</f>
        <v>007</v>
      </c>
      <c r="T2553" t="str">
        <f>"גנם הודיה"</f>
        <v>גנם הודיה</v>
      </c>
      <c r="U2553">
        <v>0</v>
      </c>
      <c r="V2553">
        <v>0</v>
      </c>
      <c r="W2553">
        <v>167</v>
      </c>
      <c r="X2553">
        <v>668</v>
      </c>
      <c r="AA2553">
        <v>4</v>
      </c>
      <c r="AC2553">
        <v>0</v>
      </c>
      <c r="AE2553">
        <v>0</v>
      </c>
      <c r="AF2553">
        <v>0</v>
      </c>
      <c r="AG2553">
        <v>619.4</v>
      </c>
      <c r="AH2553">
        <v>0</v>
      </c>
      <c r="AI2553" s="2">
        <v>2477.61</v>
      </c>
      <c r="AJ2553">
        <v>668</v>
      </c>
      <c r="AK2553">
        <v>668</v>
      </c>
      <c r="AL2553" t="str">
        <f>"$"</f>
        <v>$</v>
      </c>
    </row>
    <row r="2554" spans="1:38" x14ac:dyDescent="0.3">
      <c r="A2554" t="str">
        <f>"SO23000253"</f>
        <v>SO23000253</v>
      </c>
      <c r="B2554" t="str">
        <f>"E000396004"</f>
        <v>E000396004</v>
      </c>
      <c r="C2554" t="str">
        <f>"מאושרת לחיוב"</f>
        <v>מאושרת לחיוב</v>
      </c>
      <c r="E2554" s="3">
        <v>45077</v>
      </c>
      <c r="F2554" s="3">
        <v>45077</v>
      </c>
      <c r="G2554" t="str">
        <f>"700065"</f>
        <v>700065</v>
      </c>
      <c r="H2554" t="str">
        <f>"אלתא מערכות בע""מ"</f>
        <v>אלתא מערכות בע"מ</v>
      </c>
      <c r="I2554" t="str">
        <f>"רחמים זרוק"</f>
        <v>רחמים זרוק</v>
      </c>
      <c r="J2554" t="str">
        <f>"000"</f>
        <v>000</v>
      </c>
      <c r="K2554" s="1" t="str">
        <f>"ימי הכנת תכן ההדרכה למערכות"</f>
        <v>ימי הכנת תכן ההדרכה למערכות</v>
      </c>
      <c r="L2554">
        <v>1</v>
      </c>
      <c r="M2554" t="str">
        <f>"PR23000351"</f>
        <v>PR23000351</v>
      </c>
      <c r="N2554" t="str">
        <f>"ימי הדרכה בצ'כיה"</f>
        <v>ימי הדרכה בצ'כיה</v>
      </c>
      <c r="O2554" s="2">
        <v>9600</v>
      </c>
      <c r="P2554" t="str">
        <f>"$"</f>
        <v>$</v>
      </c>
      <c r="Q2554" t="str">
        <f>"118"</f>
        <v>118</v>
      </c>
      <c r="R2554" t="str">
        <f>"מערכות"</f>
        <v>מערכות</v>
      </c>
      <c r="S2554" t="str">
        <f>"040"</f>
        <v>040</v>
      </c>
      <c r="T2554" t="str">
        <f>"גנם הודיה"</f>
        <v>גנם הודיה</v>
      </c>
      <c r="U2554">
        <v>0</v>
      </c>
      <c r="V2554">
        <v>0</v>
      </c>
      <c r="W2554" s="2">
        <v>9600</v>
      </c>
      <c r="X2554" s="2">
        <v>9600</v>
      </c>
      <c r="AA2554">
        <v>1</v>
      </c>
      <c r="AC2554">
        <v>0</v>
      </c>
      <c r="AE2554">
        <v>0</v>
      </c>
      <c r="AF2554">
        <v>0</v>
      </c>
      <c r="AG2554" s="2">
        <v>35664</v>
      </c>
      <c r="AH2554">
        <v>0</v>
      </c>
      <c r="AI2554" s="2">
        <v>35664</v>
      </c>
      <c r="AJ2554" s="2">
        <v>9600</v>
      </c>
      <c r="AK2554" s="2">
        <v>9600</v>
      </c>
      <c r="AL2554" t="str">
        <f>"$"</f>
        <v>$</v>
      </c>
    </row>
    <row r="2555" spans="1:38" x14ac:dyDescent="0.3">
      <c r="A2555" t="str">
        <f>"SO23000253"</f>
        <v>SO23000253</v>
      </c>
      <c r="B2555" t="str">
        <f>"E000396004"</f>
        <v>E000396004</v>
      </c>
      <c r="C2555" t="str">
        <f>"מאושרת לחיוב"</f>
        <v>מאושרת לחיוב</v>
      </c>
      <c r="E2555" s="3">
        <v>45077</v>
      </c>
      <c r="F2555" s="3">
        <v>45077</v>
      </c>
      <c r="G2555" t="str">
        <f>"700065"</f>
        <v>700065</v>
      </c>
      <c r="H2555" t="str">
        <f>"אלתא מערכות בע""מ"</f>
        <v>אלתא מערכות בע"מ</v>
      </c>
      <c r="I2555" t="str">
        <f>"רחמים זרוק"</f>
        <v>רחמים זרוק</v>
      </c>
      <c r="J2555" t="str">
        <f>"000"</f>
        <v>000</v>
      </c>
      <c r="K2555" s="1" t="str">
        <f>"ימי הדרכה בצ'כיה"</f>
        <v>ימי הדרכה בצ'כיה</v>
      </c>
      <c r="L2555">
        <v>1</v>
      </c>
      <c r="M2555" t="str">
        <f>"PR23000351"</f>
        <v>PR23000351</v>
      </c>
      <c r="N2555" t="str">
        <f>"ימי הדרכה בצ'כיה"</f>
        <v>ימי הדרכה בצ'כיה</v>
      </c>
      <c r="O2555" s="2">
        <v>12000</v>
      </c>
      <c r="P2555" t="str">
        <f>"$"</f>
        <v>$</v>
      </c>
      <c r="Q2555" t="str">
        <f>"118"</f>
        <v>118</v>
      </c>
      <c r="R2555" t="str">
        <f>"מערכות"</f>
        <v>מערכות</v>
      </c>
      <c r="S2555" t="str">
        <f>"040"</f>
        <v>040</v>
      </c>
      <c r="T2555" t="str">
        <f>"גנם הודיה"</f>
        <v>גנם הודיה</v>
      </c>
      <c r="U2555">
        <v>0</v>
      </c>
      <c r="V2555">
        <v>0</v>
      </c>
      <c r="W2555" s="2">
        <v>12000</v>
      </c>
      <c r="X2555" s="2">
        <v>12000</v>
      </c>
      <c r="AA2555">
        <v>1</v>
      </c>
      <c r="AC2555">
        <v>0</v>
      </c>
      <c r="AE2555">
        <v>0</v>
      </c>
      <c r="AF2555">
        <v>0</v>
      </c>
      <c r="AG2555" s="2">
        <v>44580</v>
      </c>
      <c r="AH2555">
        <v>0</v>
      </c>
      <c r="AI2555" s="2">
        <v>44580</v>
      </c>
      <c r="AJ2555" s="2">
        <v>12000</v>
      </c>
      <c r="AK2555" s="2">
        <v>12000</v>
      </c>
      <c r="AL2555" t="str">
        <f>"$"</f>
        <v>$</v>
      </c>
    </row>
    <row r="2556" spans="1:38" x14ac:dyDescent="0.3">
      <c r="A2556" t="str">
        <f>"SO23000253"</f>
        <v>SO23000253</v>
      </c>
      <c r="B2556" t="str">
        <f>"E000396004"</f>
        <v>E000396004</v>
      </c>
      <c r="C2556" t="str">
        <f>"מאושרת לחיוב"</f>
        <v>מאושרת לחיוב</v>
      </c>
      <c r="E2556" s="3">
        <v>45077</v>
      </c>
      <c r="F2556" s="3">
        <v>45098</v>
      </c>
      <c r="G2556" t="str">
        <f>"700065"</f>
        <v>700065</v>
      </c>
      <c r="H2556" t="str">
        <f>"אלתא מערכות בע""מ"</f>
        <v>אלתא מערכות בע"מ</v>
      </c>
      <c r="I2556" t="str">
        <f>"רחמים זרוק"</f>
        <v>רחמים זרוק</v>
      </c>
      <c r="J2556" t="str">
        <f>"000"</f>
        <v>000</v>
      </c>
      <c r="K2556" s="1" t="str">
        <f>"ימי הדרכה בצ'כיה קטרפילר"</f>
        <v>ימי הדרכה בצ'כיה קטרפילר</v>
      </c>
      <c r="L2556">
        <v>1</v>
      </c>
      <c r="M2556" t="str">
        <f>"PR23000351"</f>
        <v>PR23000351</v>
      </c>
      <c r="N2556" t="str">
        <f>"ימי הדרכה בצ'כיה"</f>
        <v>ימי הדרכה בצ'כיה</v>
      </c>
      <c r="O2556">
        <v>686</v>
      </c>
      <c r="P2556" t="str">
        <f>"$"</f>
        <v>$</v>
      </c>
      <c r="Q2556" t="str">
        <f>"118"</f>
        <v>118</v>
      </c>
      <c r="R2556" t="str">
        <f>"מערכות"</f>
        <v>מערכות</v>
      </c>
      <c r="S2556" t="str">
        <f>"040"</f>
        <v>040</v>
      </c>
      <c r="T2556" t="str">
        <f>"גנם הודיה"</f>
        <v>גנם הודיה</v>
      </c>
      <c r="U2556">
        <v>0</v>
      </c>
      <c r="V2556">
        <v>0</v>
      </c>
      <c r="W2556">
        <v>686</v>
      </c>
      <c r="X2556">
        <v>686</v>
      </c>
      <c r="AA2556">
        <v>1</v>
      </c>
      <c r="AC2556">
        <v>0</v>
      </c>
      <c r="AE2556">
        <v>0</v>
      </c>
      <c r="AF2556">
        <v>0</v>
      </c>
      <c r="AG2556" s="2">
        <v>2548.4899999999998</v>
      </c>
      <c r="AH2556">
        <v>0</v>
      </c>
      <c r="AI2556" s="2">
        <v>2548.4899999999998</v>
      </c>
      <c r="AJ2556">
        <v>686</v>
      </c>
      <c r="AK2556">
        <v>686</v>
      </c>
      <c r="AL2556" t="str">
        <f>"$"</f>
        <v>$</v>
      </c>
    </row>
    <row r="2557" spans="1:38" x14ac:dyDescent="0.3">
      <c r="A2557" t="str">
        <f>"SO23000260"</f>
        <v>SO23000260</v>
      </c>
      <c r="B2557" t="str">
        <f>"E000394987"</f>
        <v>E000394987</v>
      </c>
      <c r="C2557" t="str">
        <f>"מאושרת לבצוע"</f>
        <v>מאושרת לבצוע</v>
      </c>
      <c r="E2557" s="3">
        <v>45084</v>
      </c>
      <c r="F2557" s="3">
        <v>45089</v>
      </c>
      <c r="G2557" t="str">
        <f>"700065"</f>
        <v>700065</v>
      </c>
      <c r="H2557" t="str">
        <f>"אלתא מערכות בע""מ"</f>
        <v>אלתא מערכות בע"מ</v>
      </c>
      <c r="I2557" t="str">
        <f>"רחמים זרוק"</f>
        <v>רחמים זרוק</v>
      </c>
      <c r="J2557" t="str">
        <f>"OP-AR03663"</f>
        <v>OP-AR03663</v>
      </c>
      <c r="K2557" s="1" t="str">
        <f>"1041M901-001    PDB1 AC FEED CABLE 1 RPU WP-001"</f>
        <v>1041M901-001    PDB1 AC FEED CABLE 1 RPU WP-001</v>
      </c>
      <c r="L2557">
        <v>1</v>
      </c>
      <c r="M2557" t="str">
        <f>"PR23000363"</f>
        <v>PR23000363</v>
      </c>
      <c r="N2557" t="str">
        <f>"E000394987"</f>
        <v>E000394987</v>
      </c>
      <c r="O2557" s="2">
        <v>7689</v>
      </c>
      <c r="P2557" t="str">
        <f>"$"</f>
        <v>$</v>
      </c>
      <c r="Q2557" t="str">
        <f>"117"</f>
        <v>117</v>
      </c>
      <c r="R2557" t="str">
        <f>"רתמות"</f>
        <v>רתמות</v>
      </c>
      <c r="S2557" t="str">
        <f>"040"</f>
        <v>040</v>
      </c>
      <c r="T2557" t="str">
        <f>"גנם הודיה"</f>
        <v>גנם הודיה</v>
      </c>
      <c r="U2557">
        <v>0</v>
      </c>
      <c r="V2557">
        <v>0</v>
      </c>
      <c r="W2557" s="2">
        <v>7689</v>
      </c>
      <c r="X2557" s="2">
        <v>7689</v>
      </c>
      <c r="AA2557">
        <v>1</v>
      </c>
      <c r="AC2557">
        <v>0</v>
      </c>
      <c r="AE2557">
        <v>0</v>
      </c>
      <c r="AF2557">
        <v>0</v>
      </c>
      <c r="AG2557" s="2">
        <v>28103.3</v>
      </c>
      <c r="AH2557">
        <v>0</v>
      </c>
      <c r="AI2557" s="2">
        <v>28103.3</v>
      </c>
      <c r="AJ2557" s="2">
        <v>7689</v>
      </c>
      <c r="AK2557" s="2">
        <v>7689</v>
      </c>
      <c r="AL2557" t="str">
        <f>"$"</f>
        <v>$</v>
      </c>
    </row>
    <row r="2558" spans="1:38" x14ac:dyDescent="0.3">
      <c r="A2558" t="str">
        <f>"SO23000260"</f>
        <v>SO23000260</v>
      </c>
      <c r="B2558" t="str">
        <f>"E000394987"</f>
        <v>E000394987</v>
      </c>
      <c r="C2558" t="str">
        <f>"מאושרת לבצוע"</f>
        <v>מאושרת לבצוע</v>
      </c>
      <c r="E2558" s="3">
        <v>45084</v>
      </c>
      <c r="F2558" s="3">
        <v>45089</v>
      </c>
      <c r="G2558" t="str">
        <f>"700065"</f>
        <v>700065</v>
      </c>
      <c r="H2558" t="str">
        <f>"אלתא מערכות בע""מ"</f>
        <v>אלתא מערכות בע"מ</v>
      </c>
      <c r="I2558" t="str">
        <f>"רחמים זרוק"</f>
        <v>רחמים זרוק</v>
      </c>
      <c r="J2558" t="str">
        <f>"OP-AR03664"</f>
        <v>OP-AR03664</v>
      </c>
      <c r="K2558" s="1" t="str">
        <f>"1041M902-001    PDB1 AC FEED CABLE 2 RPU WP-002"</f>
        <v>1041M902-001    PDB1 AC FEED CABLE 2 RPU WP-002</v>
      </c>
      <c r="L2558">
        <v>1</v>
      </c>
      <c r="M2558" t="str">
        <f>"PR23000363"</f>
        <v>PR23000363</v>
      </c>
      <c r="N2558" t="str">
        <f>"E000394987"</f>
        <v>E000394987</v>
      </c>
      <c r="O2558" s="2">
        <v>7689</v>
      </c>
      <c r="P2558" t="str">
        <f>"$"</f>
        <v>$</v>
      </c>
      <c r="Q2558" t="str">
        <f>"117"</f>
        <v>117</v>
      </c>
      <c r="R2558" t="str">
        <f>"רתמות"</f>
        <v>רתמות</v>
      </c>
      <c r="S2558" t="str">
        <f>"040"</f>
        <v>040</v>
      </c>
      <c r="T2558" t="str">
        <f>"גנם הודיה"</f>
        <v>גנם הודיה</v>
      </c>
      <c r="U2558">
        <v>0</v>
      </c>
      <c r="V2558">
        <v>0</v>
      </c>
      <c r="W2558" s="2">
        <v>7689</v>
      </c>
      <c r="X2558" s="2">
        <v>7689</v>
      </c>
      <c r="AA2558">
        <v>1</v>
      </c>
      <c r="AC2558">
        <v>0</v>
      </c>
      <c r="AE2558">
        <v>0</v>
      </c>
      <c r="AF2558">
        <v>0</v>
      </c>
      <c r="AG2558" s="2">
        <v>28103.3</v>
      </c>
      <c r="AH2558">
        <v>0</v>
      </c>
      <c r="AI2558" s="2">
        <v>28103.3</v>
      </c>
      <c r="AJ2558" s="2">
        <v>7689</v>
      </c>
      <c r="AK2558" s="2">
        <v>7689</v>
      </c>
      <c r="AL2558" t="str">
        <f>"$"</f>
        <v>$</v>
      </c>
    </row>
    <row r="2559" spans="1:38" x14ac:dyDescent="0.3">
      <c r="A2559" t="str">
        <f>"SO23000261"</f>
        <v>SO23000261</v>
      </c>
      <c r="B2559" t="str">
        <f>"E000394730"</f>
        <v>E000394730</v>
      </c>
      <c r="C2559" t="str">
        <f>"מאושרת לבצוע"</f>
        <v>מאושרת לבצוע</v>
      </c>
      <c r="E2559" s="3">
        <v>45085</v>
      </c>
      <c r="F2559" s="3">
        <v>45085</v>
      </c>
      <c r="G2559" t="str">
        <f>"700065"</f>
        <v>700065</v>
      </c>
      <c r="H2559" t="str">
        <f>"אלתא מערכות בע""מ"</f>
        <v>אלתא מערכות בע"מ</v>
      </c>
      <c r="I2559" t="str">
        <f>"רוני דידי"</f>
        <v>רוני דידי</v>
      </c>
      <c r="J2559" t="str">
        <f>"PA0300103"</f>
        <v>PA0300103</v>
      </c>
      <c r="K2559" s="1" t="str">
        <f>"Pushbutton Switches 1241.6824.1112000"</f>
        <v>Pushbutton Switches 1241.6824.1112000</v>
      </c>
      <c r="L2559">
        <v>1</v>
      </c>
      <c r="M2559" t="str">
        <f>"PR23000371"</f>
        <v>PR23000371</v>
      </c>
      <c r="N2559" t="str">
        <f>"E000394730 ח""ח"</f>
        <v>E000394730 ח"ח</v>
      </c>
      <c r="O2559">
        <v>91</v>
      </c>
      <c r="P2559" t="str">
        <f>"$"</f>
        <v>$</v>
      </c>
      <c r="Q2559" t="str">
        <f>"112"</f>
        <v>112</v>
      </c>
      <c r="R2559" t="str">
        <f>"תיקון תקלות"</f>
        <v>תיקון תקלות</v>
      </c>
      <c r="S2559" t="str">
        <f>"007"</f>
        <v>007</v>
      </c>
      <c r="T2559" t="str">
        <f>"גנם הודיה"</f>
        <v>גנם הודיה</v>
      </c>
      <c r="U2559">
        <v>0</v>
      </c>
      <c r="V2559">
        <v>0</v>
      </c>
      <c r="W2559">
        <v>91</v>
      </c>
      <c r="X2559">
        <v>91</v>
      </c>
      <c r="AA2559">
        <v>1</v>
      </c>
      <c r="AC2559">
        <v>0</v>
      </c>
      <c r="AE2559">
        <v>0</v>
      </c>
      <c r="AF2559">
        <v>0</v>
      </c>
      <c r="AG2559">
        <v>333.33</v>
      </c>
      <c r="AH2559">
        <v>0</v>
      </c>
      <c r="AI2559">
        <v>333.33</v>
      </c>
      <c r="AJ2559">
        <v>91</v>
      </c>
      <c r="AK2559">
        <v>91</v>
      </c>
      <c r="AL2559" t="str">
        <f>"$"</f>
        <v>$</v>
      </c>
    </row>
    <row r="2560" spans="1:38" x14ac:dyDescent="0.3">
      <c r="A2560" t="str">
        <f>"SO23000261"</f>
        <v>SO23000261</v>
      </c>
      <c r="B2560" t="str">
        <f>"E000394730"</f>
        <v>E000394730</v>
      </c>
      <c r="C2560" t="str">
        <f>"מאושרת לבצוע"</f>
        <v>מאושרת לבצוע</v>
      </c>
      <c r="E2560" s="3">
        <v>45085</v>
      </c>
      <c r="F2560" s="3">
        <v>45085</v>
      </c>
      <c r="G2560" t="str">
        <f>"700065"</f>
        <v>700065</v>
      </c>
      <c r="H2560" t="str">
        <f>"אלתא מערכות בע""מ"</f>
        <v>אלתא מערכות בע"מ</v>
      </c>
      <c r="I2560" t="str">
        <f>"רוני דידי"</f>
        <v>רוני דידי</v>
      </c>
      <c r="J2560" t="str">
        <f>"PD0200240"</f>
        <v>PD0200240</v>
      </c>
      <c r="K2560" s="1" t="str">
        <f>"סליל הפסקה SOR XT1..XT4 24-30 Vac/dc"</f>
        <v>סליל הפסקה SOR XT1..XT4 24-30 Vac/dc</v>
      </c>
      <c r="L2560">
        <v>2</v>
      </c>
      <c r="M2560" t="str">
        <f>"PR23000371"</f>
        <v>PR23000371</v>
      </c>
      <c r="N2560" t="str">
        <f>"E000394730 ח""ח"</f>
        <v>E000394730 ח"ח</v>
      </c>
      <c r="O2560">
        <v>39</v>
      </c>
      <c r="P2560" t="str">
        <f>"$"</f>
        <v>$</v>
      </c>
      <c r="Q2560" t="str">
        <f>"112"</f>
        <v>112</v>
      </c>
      <c r="R2560" t="str">
        <f>"תיקון תקלות"</f>
        <v>תיקון תקלות</v>
      </c>
      <c r="S2560" t="str">
        <f>"007"</f>
        <v>007</v>
      </c>
      <c r="T2560" t="str">
        <f>"גנם הודיה"</f>
        <v>גנם הודיה</v>
      </c>
      <c r="U2560">
        <v>0</v>
      </c>
      <c r="V2560">
        <v>0</v>
      </c>
      <c r="W2560">
        <v>39</v>
      </c>
      <c r="X2560">
        <v>78</v>
      </c>
      <c r="AA2560">
        <v>2</v>
      </c>
      <c r="AC2560">
        <v>0</v>
      </c>
      <c r="AE2560">
        <v>0</v>
      </c>
      <c r="AF2560">
        <v>0</v>
      </c>
      <c r="AG2560">
        <v>142.86000000000001</v>
      </c>
      <c r="AH2560">
        <v>0</v>
      </c>
      <c r="AI2560">
        <v>285.70999999999998</v>
      </c>
      <c r="AJ2560">
        <v>78</v>
      </c>
      <c r="AK2560">
        <v>78</v>
      </c>
      <c r="AL2560" t="str">
        <f>"$"</f>
        <v>$</v>
      </c>
    </row>
    <row r="2561" spans="1:38" x14ac:dyDescent="0.3">
      <c r="A2561" t="str">
        <f>"SO23000261"</f>
        <v>SO23000261</v>
      </c>
      <c r="B2561" t="str">
        <f>"E000394730"</f>
        <v>E000394730</v>
      </c>
      <c r="C2561" t="str">
        <f>"מאושרת לבצוע"</f>
        <v>מאושרת לבצוע</v>
      </c>
      <c r="E2561" s="3">
        <v>45085</v>
      </c>
      <c r="F2561" s="3">
        <v>45085</v>
      </c>
      <c r="G2561" t="str">
        <f>"700065"</f>
        <v>700065</v>
      </c>
      <c r="H2561" t="str">
        <f>"אלתא מערכות בע""מ"</f>
        <v>אלתא מערכות בע"מ</v>
      </c>
      <c r="I2561" t="str">
        <f>"רוני דידי"</f>
        <v>רוני דידי</v>
      </c>
      <c r="J2561" t="str">
        <f>"PD0200398"</f>
        <v>PD0200398</v>
      </c>
      <c r="K2561" s="1" t="str">
        <f>"מאמ""ת XT2N 160 Ekip-LS/I In=160A 4p F F"</f>
        <v>מאמ"ת XT2N 160 Ekip-LS/I In=160A 4p F F</v>
      </c>
      <c r="L2561">
        <v>1</v>
      </c>
      <c r="M2561" t="str">
        <f>"PR23000371"</f>
        <v>PR23000371</v>
      </c>
      <c r="N2561" t="str">
        <f>"E000394730 ח""ח"</f>
        <v>E000394730 ח"ח</v>
      </c>
      <c r="O2561">
        <v>388</v>
      </c>
      <c r="P2561" t="str">
        <f>"$"</f>
        <v>$</v>
      </c>
      <c r="Q2561" t="str">
        <f>"112"</f>
        <v>112</v>
      </c>
      <c r="R2561" t="str">
        <f>"תיקון תקלות"</f>
        <v>תיקון תקלות</v>
      </c>
      <c r="S2561" t="str">
        <f>"007"</f>
        <v>007</v>
      </c>
      <c r="T2561" t="str">
        <f>"גנם הודיה"</f>
        <v>גנם הודיה</v>
      </c>
      <c r="U2561">
        <v>0</v>
      </c>
      <c r="V2561">
        <v>0</v>
      </c>
      <c r="W2561">
        <v>388</v>
      </c>
      <c r="X2561">
        <v>388</v>
      </c>
      <c r="AA2561">
        <v>1</v>
      </c>
      <c r="AC2561">
        <v>0</v>
      </c>
      <c r="AE2561">
        <v>0</v>
      </c>
      <c r="AF2561">
        <v>0</v>
      </c>
      <c r="AG2561" s="2">
        <v>1421.24</v>
      </c>
      <c r="AH2561">
        <v>0</v>
      </c>
      <c r="AI2561" s="2">
        <v>1421.24</v>
      </c>
      <c r="AJ2561">
        <v>388</v>
      </c>
      <c r="AK2561">
        <v>388</v>
      </c>
      <c r="AL2561" t="str">
        <f>"$"</f>
        <v>$</v>
      </c>
    </row>
    <row r="2562" spans="1:38" x14ac:dyDescent="0.3">
      <c r="A2562" t="str">
        <f>"SO23000261"</f>
        <v>SO23000261</v>
      </c>
      <c r="B2562" t="str">
        <f>"E000394730"</f>
        <v>E000394730</v>
      </c>
      <c r="C2562" t="str">
        <f>"מאושרת לבצוע"</f>
        <v>מאושרת לבצוע</v>
      </c>
      <c r="E2562" s="3">
        <v>45085</v>
      </c>
      <c r="F2562" s="3">
        <v>45085</v>
      </c>
      <c r="G2562" t="str">
        <f>"700065"</f>
        <v>700065</v>
      </c>
      <c r="H2562" t="str">
        <f>"אלתא מערכות בע""מ"</f>
        <v>אלתא מערכות בע"מ</v>
      </c>
      <c r="I2562" t="str">
        <f>"רוני דידי"</f>
        <v>רוני דידי</v>
      </c>
      <c r="J2562" t="str">
        <f>"PD0200158"</f>
        <v>PD0200158</v>
      </c>
      <c r="K2562" s="1" t="str">
        <f>"מאמ""ת XT4N 250 Ekip LS/I In=250A 4p F F"</f>
        <v>מאמ"ת XT4N 250 Ekip LS/I In=250A 4p F F</v>
      </c>
      <c r="L2562">
        <v>2</v>
      </c>
      <c r="M2562" t="str">
        <f>"PR23000371"</f>
        <v>PR23000371</v>
      </c>
      <c r="N2562" t="str">
        <f>"E000394730 ח""ח"</f>
        <v>E000394730 ח"ח</v>
      </c>
      <c r="O2562">
        <v>599</v>
      </c>
      <c r="P2562" t="str">
        <f>"$"</f>
        <v>$</v>
      </c>
      <c r="Q2562" t="str">
        <f>"112"</f>
        <v>112</v>
      </c>
      <c r="R2562" t="str">
        <f>"תיקון תקלות"</f>
        <v>תיקון תקלות</v>
      </c>
      <c r="S2562" t="str">
        <f>"007"</f>
        <v>007</v>
      </c>
      <c r="T2562" t="str">
        <f>"גנם הודיה"</f>
        <v>גנם הודיה</v>
      </c>
      <c r="U2562">
        <v>0</v>
      </c>
      <c r="V2562">
        <v>0</v>
      </c>
      <c r="W2562">
        <v>599</v>
      </c>
      <c r="X2562" s="2">
        <v>1198</v>
      </c>
      <c r="AA2562">
        <v>2</v>
      </c>
      <c r="AC2562">
        <v>0</v>
      </c>
      <c r="AE2562">
        <v>0</v>
      </c>
      <c r="AF2562">
        <v>0</v>
      </c>
      <c r="AG2562" s="2">
        <v>2194.14</v>
      </c>
      <c r="AH2562">
        <v>0</v>
      </c>
      <c r="AI2562" s="2">
        <v>4388.2700000000004</v>
      </c>
      <c r="AJ2562" s="2">
        <v>1198</v>
      </c>
      <c r="AK2562" s="2">
        <v>1198</v>
      </c>
      <c r="AL2562" t="str">
        <f>"$"</f>
        <v>$</v>
      </c>
    </row>
    <row r="2563" spans="1:38" x14ac:dyDescent="0.3">
      <c r="A2563" t="str">
        <f>"SO23000261"</f>
        <v>SO23000261</v>
      </c>
      <c r="B2563" t="str">
        <f>"E000394730"</f>
        <v>E000394730</v>
      </c>
      <c r="C2563" t="str">
        <f>"מאושרת לבצוע"</f>
        <v>מאושרת לבצוע</v>
      </c>
      <c r="E2563" s="3">
        <v>45085</v>
      </c>
      <c r="F2563" s="3">
        <v>45085</v>
      </c>
      <c r="G2563" t="str">
        <f>"700065"</f>
        <v>700065</v>
      </c>
      <c r="H2563" t="str">
        <f>"אלתא מערכות בע""מ"</f>
        <v>אלתא מערכות בע"מ</v>
      </c>
      <c r="I2563" t="str">
        <f>"רוני דידי"</f>
        <v>רוני דידי</v>
      </c>
      <c r="J2563" t="str">
        <f>"PD0200347"</f>
        <v>PD0200347</v>
      </c>
      <c r="K2563" s="1" t="str">
        <f>"סט לד אדום ABB CL-502R24V a.c./d.c.    24AC/DC"</f>
        <v>סט לד אדום ABB CL-502R24V a.c./d.c.    24AC/DC</v>
      </c>
      <c r="L2563">
        <v>5</v>
      </c>
      <c r="M2563" t="str">
        <f>"PR23000371"</f>
        <v>PR23000371</v>
      </c>
      <c r="N2563" t="str">
        <f>"E000394730 ח""ח"</f>
        <v>E000394730 ח"ח</v>
      </c>
      <c r="O2563">
        <v>12</v>
      </c>
      <c r="P2563" t="str">
        <f>"$"</f>
        <v>$</v>
      </c>
      <c r="Q2563" t="str">
        <f>"112"</f>
        <v>112</v>
      </c>
      <c r="R2563" t="str">
        <f>"תיקון תקלות"</f>
        <v>תיקון תקלות</v>
      </c>
      <c r="S2563" t="str">
        <f>"007"</f>
        <v>007</v>
      </c>
      <c r="T2563" t="str">
        <f>"גנם הודיה"</f>
        <v>גנם הודיה</v>
      </c>
      <c r="U2563">
        <v>0</v>
      </c>
      <c r="V2563">
        <v>0</v>
      </c>
      <c r="W2563">
        <v>12</v>
      </c>
      <c r="X2563">
        <v>60</v>
      </c>
      <c r="AA2563">
        <v>5</v>
      </c>
      <c r="AC2563">
        <v>0</v>
      </c>
      <c r="AE2563">
        <v>0</v>
      </c>
      <c r="AF2563">
        <v>0</v>
      </c>
      <c r="AG2563">
        <v>43.96</v>
      </c>
      <c r="AH2563">
        <v>0</v>
      </c>
      <c r="AI2563">
        <v>219.78</v>
      </c>
      <c r="AJ2563">
        <v>60</v>
      </c>
      <c r="AK2563">
        <v>60</v>
      </c>
      <c r="AL2563" t="str">
        <f>"$"</f>
        <v>$</v>
      </c>
    </row>
    <row r="2564" spans="1:38" x14ac:dyDescent="0.3">
      <c r="A2564" t="str">
        <f>"SO23000261"</f>
        <v>SO23000261</v>
      </c>
      <c r="B2564" t="str">
        <f>"E000394730"</f>
        <v>E000394730</v>
      </c>
      <c r="C2564" t="str">
        <f>"מאושרת לבצוע"</f>
        <v>מאושרת לבצוע</v>
      </c>
      <c r="E2564" s="3">
        <v>45085</v>
      </c>
      <c r="F2564" s="3">
        <v>45085</v>
      </c>
      <c r="G2564" t="str">
        <f>"700065"</f>
        <v>700065</v>
      </c>
      <c r="H2564" t="str">
        <f>"אלתא מערכות בע""מ"</f>
        <v>אלתא מערכות בע"מ</v>
      </c>
      <c r="I2564" t="str">
        <f>"רוני דידי"</f>
        <v>רוני דידי</v>
      </c>
      <c r="J2564" t="str">
        <f>"PS0200144"</f>
        <v>PS0200144</v>
      </c>
      <c r="K2564" s="1" t="str">
        <f>"ספק כח PRO TOP3 960W 24V 2467120000 40A"</f>
        <v>ספק כח PRO TOP3 960W 24V 2467120000 40A</v>
      </c>
      <c r="L2564">
        <v>1</v>
      </c>
      <c r="M2564" t="str">
        <f>"PR23000371"</f>
        <v>PR23000371</v>
      </c>
      <c r="N2564" t="str">
        <f>"E000394730 ח""ח"</f>
        <v>E000394730 ח"ח</v>
      </c>
      <c r="O2564">
        <v>653</v>
      </c>
      <c r="P2564" t="str">
        <f>"$"</f>
        <v>$</v>
      </c>
      <c r="Q2564" t="str">
        <f>"112"</f>
        <v>112</v>
      </c>
      <c r="R2564" t="str">
        <f>"תיקון תקלות"</f>
        <v>תיקון תקלות</v>
      </c>
      <c r="S2564" t="str">
        <f>"007"</f>
        <v>007</v>
      </c>
      <c r="T2564" t="str">
        <f>"גנם הודיה"</f>
        <v>גנם הודיה</v>
      </c>
      <c r="U2564">
        <v>0</v>
      </c>
      <c r="V2564">
        <v>0</v>
      </c>
      <c r="W2564">
        <v>653</v>
      </c>
      <c r="X2564">
        <v>653</v>
      </c>
      <c r="AA2564">
        <v>1</v>
      </c>
      <c r="AC2564">
        <v>0</v>
      </c>
      <c r="AE2564">
        <v>0</v>
      </c>
      <c r="AF2564">
        <v>0</v>
      </c>
      <c r="AG2564" s="2">
        <v>2391.94</v>
      </c>
      <c r="AH2564">
        <v>0</v>
      </c>
      <c r="AI2564" s="2">
        <v>2391.94</v>
      </c>
      <c r="AJ2564">
        <v>653</v>
      </c>
      <c r="AK2564">
        <v>653</v>
      </c>
      <c r="AL2564" t="str">
        <f>"$"</f>
        <v>$</v>
      </c>
    </row>
    <row r="2565" spans="1:38" x14ac:dyDescent="0.3">
      <c r="A2565" t="str">
        <f>"SO23000261"</f>
        <v>SO23000261</v>
      </c>
      <c r="B2565" t="str">
        <f>"E000394730"</f>
        <v>E000394730</v>
      </c>
      <c r="C2565" t="str">
        <f>"מאושרת לבצוע"</f>
        <v>מאושרת לבצוע</v>
      </c>
      <c r="E2565" s="3">
        <v>45085</v>
      </c>
      <c r="F2565" s="3">
        <v>45085</v>
      </c>
      <c r="G2565" t="str">
        <f>"700065"</f>
        <v>700065</v>
      </c>
      <c r="H2565" t="str">
        <f>"אלתא מערכות בע""מ"</f>
        <v>אלתא מערכות בע"מ</v>
      </c>
      <c r="I2565" t="str">
        <f>"רוני דידי"</f>
        <v>רוני דידי</v>
      </c>
      <c r="J2565" t="str">
        <f>"PA1001831"</f>
        <v>PA1001831</v>
      </c>
      <c r="K2565" s="1" t="str">
        <f>"נצנץ אדום 261.120.70 WERMA"</f>
        <v>נצנץ אדום 261.120.70 WERMA</v>
      </c>
      <c r="L2565">
        <v>2</v>
      </c>
      <c r="M2565" t="str">
        <f>"PR23000371"</f>
        <v>PR23000371</v>
      </c>
      <c r="N2565" t="str">
        <f>"E000394730 ח""ח"</f>
        <v>E000394730 ח"ח</v>
      </c>
      <c r="O2565">
        <v>190</v>
      </c>
      <c r="P2565" t="str">
        <f>"$"</f>
        <v>$</v>
      </c>
      <c r="Q2565" t="str">
        <f>"112"</f>
        <v>112</v>
      </c>
      <c r="R2565" t="str">
        <f>"תיקון תקלות"</f>
        <v>תיקון תקלות</v>
      </c>
      <c r="S2565" t="str">
        <f>"007"</f>
        <v>007</v>
      </c>
      <c r="T2565" t="str">
        <f>"גנם הודיה"</f>
        <v>גנם הודיה</v>
      </c>
      <c r="U2565">
        <v>0</v>
      </c>
      <c r="V2565">
        <v>0</v>
      </c>
      <c r="W2565">
        <v>190</v>
      </c>
      <c r="X2565">
        <v>380</v>
      </c>
      <c r="AA2565">
        <v>2</v>
      </c>
      <c r="AC2565">
        <v>0</v>
      </c>
      <c r="AE2565">
        <v>0</v>
      </c>
      <c r="AF2565">
        <v>0</v>
      </c>
      <c r="AG2565">
        <v>695.97</v>
      </c>
      <c r="AH2565">
        <v>0</v>
      </c>
      <c r="AI2565" s="2">
        <v>1391.94</v>
      </c>
      <c r="AJ2565">
        <v>380</v>
      </c>
      <c r="AK2565">
        <v>380</v>
      </c>
      <c r="AL2565" t="str">
        <f>"$"</f>
        <v>$</v>
      </c>
    </row>
    <row r="2566" spans="1:38" x14ac:dyDescent="0.3">
      <c r="A2566" t="str">
        <f>"SO23000261"</f>
        <v>SO23000261</v>
      </c>
      <c r="B2566" t="str">
        <f>"E000394730"</f>
        <v>E000394730</v>
      </c>
      <c r="C2566" t="str">
        <f>"מאושרת לבצוע"</f>
        <v>מאושרת לבצוע</v>
      </c>
      <c r="E2566" s="3">
        <v>45085</v>
      </c>
      <c r="F2566" s="3">
        <v>45085</v>
      </c>
      <c r="G2566" t="str">
        <f>"700065"</f>
        <v>700065</v>
      </c>
      <c r="H2566" t="str">
        <f>"אלתא מערכות בע""מ"</f>
        <v>אלתא מערכות בע"מ</v>
      </c>
      <c r="I2566" t="str">
        <f>"רוני דידי"</f>
        <v>רוני דידי</v>
      </c>
      <c r="J2566" t="str">
        <f>"PA1001830"</f>
        <v>PA1001830</v>
      </c>
      <c r="K2566" s="1" t="str">
        <f>"נצנץ כחול 261.520.70 WERMA"</f>
        <v>נצנץ כחול 261.520.70 WERMA</v>
      </c>
      <c r="L2566">
        <v>2</v>
      </c>
      <c r="M2566" t="str">
        <f>"PR23000371"</f>
        <v>PR23000371</v>
      </c>
      <c r="N2566" t="str">
        <f>"E000394730 ח""ח"</f>
        <v>E000394730 ח"ח</v>
      </c>
      <c r="O2566">
        <v>190</v>
      </c>
      <c r="P2566" t="str">
        <f>"$"</f>
        <v>$</v>
      </c>
      <c r="Q2566" t="str">
        <f>"112"</f>
        <v>112</v>
      </c>
      <c r="R2566" t="str">
        <f>"תיקון תקלות"</f>
        <v>תיקון תקלות</v>
      </c>
      <c r="S2566" t="str">
        <f>"007"</f>
        <v>007</v>
      </c>
      <c r="T2566" t="str">
        <f>"גנם הודיה"</f>
        <v>גנם הודיה</v>
      </c>
      <c r="U2566">
        <v>0</v>
      </c>
      <c r="V2566">
        <v>0</v>
      </c>
      <c r="W2566">
        <v>190</v>
      </c>
      <c r="X2566">
        <v>380</v>
      </c>
      <c r="AA2566">
        <v>2</v>
      </c>
      <c r="AC2566">
        <v>0</v>
      </c>
      <c r="AE2566">
        <v>0</v>
      </c>
      <c r="AF2566">
        <v>0</v>
      </c>
      <c r="AG2566">
        <v>695.97</v>
      </c>
      <c r="AH2566">
        <v>0</v>
      </c>
      <c r="AI2566" s="2">
        <v>1391.94</v>
      </c>
      <c r="AJ2566">
        <v>380</v>
      </c>
      <c r="AK2566">
        <v>380</v>
      </c>
      <c r="AL2566" t="str">
        <f>"$"</f>
        <v>$</v>
      </c>
    </row>
    <row r="2567" spans="1:38" x14ac:dyDescent="0.3">
      <c r="A2567" t="str">
        <f>"SO23000261"</f>
        <v>SO23000261</v>
      </c>
      <c r="B2567" t="str">
        <f>"E000394730"</f>
        <v>E000394730</v>
      </c>
      <c r="C2567" t="str">
        <f>"מאושרת לבצוע"</f>
        <v>מאושרת לבצוע</v>
      </c>
      <c r="E2567" s="3">
        <v>45085</v>
      </c>
      <c r="F2567" s="3">
        <v>45085</v>
      </c>
      <c r="G2567" t="str">
        <f>"700065"</f>
        <v>700065</v>
      </c>
      <c r="H2567" t="str">
        <f>"אלתא מערכות בע""מ"</f>
        <v>אלתא מערכות בע"מ</v>
      </c>
      <c r="I2567" t="str">
        <f>"רוני דידי"</f>
        <v>רוני דידי</v>
      </c>
      <c r="J2567" t="str">
        <f>"PD0300440"</f>
        <v>PD0300440</v>
      </c>
      <c r="K2567" s="1" t="str">
        <f>"ממסר פיקוד FINDER 405282300000 8A 2CO  230VAC 8P"</f>
        <v>ממסר פיקוד FINDER 405282300000 8A 2CO  230VAC 8P</v>
      </c>
      <c r="L2567">
        <v>1</v>
      </c>
      <c r="M2567" t="str">
        <f>"PR23000371"</f>
        <v>PR23000371</v>
      </c>
      <c r="N2567" t="str">
        <f>"E000394730 ח""ח"</f>
        <v>E000394730 ח"ח</v>
      </c>
      <c r="O2567">
        <v>10</v>
      </c>
      <c r="P2567" t="str">
        <f>"$"</f>
        <v>$</v>
      </c>
      <c r="Q2567" t="str">
        <f>"112"</f>
        <v>112</v>
      </c>
      <c r="R2567" t="str">
        <f>"תיקון תקלות"</f>
        <v>תיקון תקלות</v>
      </c>
      <c r="S2567" t="str">
        <f>"007"</f>
        <v>007</v>
      </c>
      <c r="T2567" t="str">
        <f>"גנם הודיה"</f>
        <v>גנם הודיה</v>
      </c>
      <c r="U2567">
        <v>0</v>
      </c>
      <c r="V2567">
        <v>0</v>
      </c>
      <c r="W2567">
        <v>10</v>
      </c>
      <c r="X2567">
        <v>10</v>
      </c>
      <c r="AA2567">
        <v>1</v>
      </c>
      <c r="AC2567">
        <v>0</v>
      </c>
      <c r="AE2567">
        <v>0</v>
      </c>
      <c r="AF2567">
        <v>0</v>
      </c>
      <c r="AG2567">
        <v>36.630000000000003</v>
      </c>
      <c r="AH2567">
        <v>0</v>
      </c>
      <c r="AI2567">
        <v>36.630000000000003</v>
      </c>
      <c r="AJ2567">
        <v>10</v>
      </c>
      <c r="AK2567">
        <v>10</v>
      </c>
      <c r="AL2567" t="str">
        <f>"$"</f>
        <v>$</v>
      </c>
    </row>
    <row r="2568" spans="1:38" x14ac:dyDescent="0.3">
      <c r="A2568" t="str">
        <f>"SO23000261"</f>
        <v>SO23000261</v>
      </c>
      <c r="B2568" t="str">
        <f>"E000394730"</f>
        <v>E000394730</v>
      </c>
      <c r="C2568" t="str">
        <f>"מאושרת לבצוע"</f>
        <v>מאושרת לבצוע</v>
      </c>
      <c r="E2568" s="3">
        <v>45085</v>
      </c>
      <c r="F2568" s="3">
        <v>45085</v>
      </c>
      <c r="G2568" t="str">
        <f>"700065"</f>
        <v>700065</v>
      </c>
      <c r="H2568" t="str">
        <f>"אלתא מערכות בע""מ"</f>
        <v>אלתא מערכות בע"מ</v>
      </c>
      <c r="I2568" t="str">
        <f>"רוני דידי"</f>
        <v>רוני דידי</v>
      </c>
      <c r="J2568" t="str">
        <f>"PD0300441"</f>
        <v>PD0300441</v>
      </c>
      <c r="K2568" s="1" t="str">
        <f>"ממסר פיקוד FINDER 405290240000 8A 2CO 24VDC 8P"</f>
        <v>ממסר פיקוד FINDER 405290240000 8A 2CO 24VDC 8P</v>
      </c>
      <c r="L2568">
        <v>2</v>
      </c>
      <c r="M2568" t="str">
        <f>"PR23000371"</f>
        <v>PR23000371</v>
      </c>
      <c r="N2568" t="str">
        <f>"E000394730 ח""ח"</f>
        <v>E000394730 ח"ח</v>
      </c>
      <c r="O2568">
        <v>6</v>
      </c>
      <c r="P2568" t="str">
        <f>"$"</f>
        <v>$</v>
      </c>
      <c r="Q2568" t="str">
        <f>"112"</f>
        <v>112</v>
      </c>
      <c r="R2568" t="str">
        <f>"תיקון תקלות"</f>
        <v>תיקון תקלות</v>
      </c>
      <c r="S2568" t="str">
        <f>"007"</f>
        <v>007</v>
      </c>
      <c r="T2568" t="str">
        <f>"גנם הודיה"</f>
        <v>גנם הודיה</v>
      </c>
      <c r="U2568">
        <v>0</v>
      </c>
      <c r="V2568">
        <v>0</v>
      </c>
      <c r="W2568">
        <v>6</v>
      </c>
      <c r="X2568">
        <v>12</v>
      </c>
      <c r="AA2568">
        <v>2</v>
      </c>
      <c r="AC2568">
        <v>0</v>
      </c>
      <c r="AE2568">
        <v>0</v>
      </c>
      <c r="AF2568">
        <v>0</v>
      </c>
      <c r="AG2568">
        <v>21.98</v>
      </c>
      <c r="AH2568">
        <v>0</v>
      </c>
      <c r="AI2568">
        <v>43.96</v>
      </c>
      <c r="AJ2568">
        <v>12</v>
      </c>
      <c r="AK2568">
        <v>12</v>
      </c>
      <c r="AL2568" t="str">
        <f>"$"</f>
        <v>$</v>
      </c>
    </row>
    <row r="2569" spans="1:38" x14ac:dyDescent="0.3">
      <c r="A2569" t="str">
        <f>"SO23000261"</f>
        <v>SO23000261</v>
      </c>
      <c r="B2569" t="str">
        <f>"E000394730"</f>
        <v>E000394730</v>
      </c>
      <c r="C2569" t="str">
        <f>"מאושרת לבצוע"</f>
        <v>מאושרת לבצוע</v>
      </c>
      <c r="E2569" s="3">
        <v>45085</v>
      </c>
      <c r="F2569" s="3">
        <v>45085</v>
      </c>
      <c r="G2569" t="str">
        <f>"700065"</f>
        <v>700065</v>
      </c>
      <c r="H2569" t="str">
        <f>"אלתא מערכות בע""מ"</f>
        <v>אלתא מערכות בע"מ</v>
      </c>
      <c r="I2569" t="str">
        <f>"רוני דידי"</f>
        <v>רוני דידי</v>
      </c>
      <c r="J2569" t="str">
        <f>"PA9900229"</f>
        <v>PA9900229</v>
      </c>
      <c r="K2569" s="1" t="str">
        <f>"מונה שעות עבודה HOUR METER 701FR00101248D2060A"</f>
        <v>מונה שעות עבודה HOUR METER 701FR00101248D2060A</v>
      </c>
      <c r="L2569">
        <v>1</v>
      </c>
      <c r="M2569" t="str">
        <f>"PR23000371"</f>
        <v>PR23000371</v>
      </c>
      <c r="N2569" t="str">
        <f>"E000394730 ח""ח"</f>
        <v>E000394730 ח"ח</v>
      </c>
      <c r="O2569">
        <v>78</v>
      </c>
      <c r="P2569" t="str">
        <f>"$"</f>
        <v>$</v>
      </c>
      <c r="Q2569" t="str">
        <f>"112"</f>
        <v>112</v>
      </c>
      <c r="R2569" t="str">
        <f>"תיקון תקלות"</f>
        <v>תיקון תקלות</v>
      </c>
      <c r="S2569" t="str">
        <f>"007"</f>
        <v>007</v>
      </c>
      <c r="T2569" t="str">
        <f>"גנם הודיה"</f>
        <v>גנם הודיה</v>
      </c>
      <c r="U2569">
        <v>0</v>
      </c>
      <c r="V2569">
        <v>0</v>
      </c>
      <c r="W2569">
        <v>78</v>
      </c>
      <c r="X2569">
        <v>78</v>
      </c>
      <c r="AA2569">
        <v>1</v>
      </c>
      <c r="AC2569">
        <v>0</v>
      </c>
      <c r="AE2569">
        <v>0</v>
      </c>
      <c r="AF2569">
        <v>0</v>
      </c>
      <c r="AG2569">
        <v>285.70999999999998</v>
      </c>
      <c r="AH2569">
        <v>0</v>
      </c>
      <c r="AI2569">
        <v>285.70999999999998</v>
      </c>
      <c r="AJ2569">
        <v>78</v>
      </c>
      <c r="AK2569">
        <v>78</v>
      </c>
      <c r="AL2569" t="str">
        <f>"$"</f>
        <v>$</v>
      </c>
    </row>
    <row r="2570" spans="1:38" x14ac:dyDescent="0.3">
      <c r="A2570" t="str">
        <f>"SO23000261"</f>
        <v>SO23000261</v>
      </c>
      <c r="B2570" t="str">
        <f>"E000394730"</f>
        <v>E000394730</v>
      </c>
      <c r="C2570" t="str">
        <f>"מאושרת לבצוע"</f>
        <v>מאושרת לבצוע</v>
      </c>
      <c r="E2570" s="3">
        <v>45085</v>
      </c>
      <c r="F2570" s="3">
        <v>45085</v>
      </c>
      <c r="G2570" t="str">
        <f>"700065"</f>
        <v>700065</v>
      </c>
      <c r="H2570" t="str">
        <f>"אלתא מערכות בע""מ"</f>
        <v>אלתא מערכות בע"מ</v>
      </c>
      <c r="I2570" t="str">
        <f>"רוני דידי"</f>
        <v>רוני דידי</v>
      </c>
      <c r="J2570" t="str">
        <f>"PD0201870"</f>
        <v>PD0201870</v>
      </c>
      <c r="K2570" s="1" t="str">
        <f>"מא""ז A9N18363 2X125 ACTI 9 C120N 2P 125A 10KA"</f>
        <v>מא"ז A9N18363 2X125 ACTI 9 C120N 2P 125A 10KA</v>
      </c>
      <c r="L2570">
        <v>2</v>
      </c>
      <c r="M2570" t="str">
        <f>"PR23000371"</f>
        <v>PR23000371</v>
      </c>
      <c r="N2570" t="str">
        <f>"E000394730 ח""ח"</f>
        <v>E000394730 ח"ח</v>
      </c>
      <c r="O2570">
        <v>131</v>
      </c>
      <c r="P2570" t="str">
        <f>"$"</f>
        <v>$</v>
      </c>
      <c r="Q2570" t="str">
        <f>"112"</f>
        <v>112</v>
      </c>
      <c r="R2570" t="str">
        <f>"תיקון תקלות"</f>
        <v>תיקון תקלות</v>
      </c>
      <c r="S2570" t="str">
        <f>"007"</f>
        <v>007</v>
      </c>
      <c r="T2570" t="str">
        <f>"גנם הודיה"</f>
        <v>גנם הודיה</v>
      </c>
      <c r="U2570">
        <v>0</v>
      </c>
      <c r="V2570">
        <v>0</v>
      </c>
      <c r="W2570">
        <v>131</v>
      </c>
      <c r="X2570">
        <v>262</v>
      </c>
      <c r="AA2570">
        <v>2</v>
      </c>
      <c r="AC2570">
        <v>0</v>
      </c>
      <c r="AE2570">
        <v>0</v>
      </c>
      <c r="AF2570">
        <v>0</v>
      </c>
      <c r="AG2570">
        <v>479.85</v>
      </c>
      <c r="AH2570">
        <v>0</v>
      </c>
      <c r="AI2570">
        <v>959.71</v>
      </c>
      <c r="AJ2570">
        <v>262</v>
      </c>
      <c r="AK2570">
        <v>262</v>
      </c>
      <c r="AL2570" t="str">
        <f>"$"</f>
        <v>$</v>
      </c>
    </row>
    <row r="2571" spans="1:38" x14ac:dyDescent="0.3">
      <c r="A2571" t="str">
        <f>"SO23000261"</f>
        <v>SO23000261</v>
      </c>
      <c r="B2571" t="str">
        <f>"E000394730"</f>
        <v>E000394730</v>
      </c>
      <c r="C2571" t="str">
        <f>"מאושרת לבצוע"</f>
        <v>מאושרת לבצוע</v>
      </c>
      <c r="E2571" s="3">
        <v>45085</v>
      </c>
      <c r="F2571" s="3">
        <v>45085</v>
      </c>
      <c r="G2571" t="str">
        <f>"700065"</f>
        <v>700065</v>
      </c>
      <c r="H2571" t="str">
        <f>"אלתא מערכות בע""מ"</f>
        <v>אלתא מערכות בע"מ</v>
      </c>
      <c r="I2571" t="str">
        <f>"רוני דידי"</f>
        <v>רוני דידי</v>
      </c>
      <c r="J2571" t="str">
        <f>"PD0201871"</f>
        <v>PD0201871</v>
      </c>
      <c r="K2571" s="1" t="str">
        <f>"מגע עזר OF עבור מאמ""ט A9N26924 C120N"</f>
        <v>מגע עזר OF עבור מאמ"ט A9N26924 C120N</v>
      </c>
      <c r="L2571">
        <v>2</v>
      </c>
      <c r="M2571" t="str">
        <f>"PR23000371"</f>
        <v>PR23000371</v>
      </c>
      <c r="N2571" t="str">
        <f>"E000394730 ח""ח"</f>
        <v>E000394730 ח"ח</v>
      </c>
      <c r="O2571">
        <v>36</v>
      </c>
      <c r="P2571" t="str">
        <f>"$"</f>
        <v>$</v>
      </c>
      <c r="Q2571" t="str">
        <f>"112"</f>
        <v>112</v>
      </c>
      <c r="R2571" t="str">
        <f>"תיקון תקלות"</f>
        <v>תיקון תקלות</v>
      </c>
      <c r="S2571" t="str">
        <f>"007"</f>
        <v>007</v>
      </c>
      <c r="T2571" t="str">
        <f>"גנם הודיה"</f>
        <v>גנם הודיה</v>
      </c>
      <c r="U2571">
        <v>0</v>
      </c>
      <c r="V2571">
        <v>0</v>
      </c>
      <c r="W2571">
        <v>36</v>
      </c>
      <c r="X2571">
        <v>72</v>
      </c>
      <c r="AA2571">
        <v>2</v>
      </c>
      <c r="AC2571">
        <v>0</v>
      </c>
      <c r="AE2571">
        <v>0</v>
      </c>
      <c r="AF2571">
        <v>0</v>
      </c>
      <c r="AG2571">
        <v>131.87</v>
      </c>
      <c r="AH2571">
        <v>0</v>
      </c>
      <c r="AI2571">
        <v>263.74</v>
      </c>
      <c r="AJ2571">
        <v>72</v>
      </c>
      <c r="AK2571">
        <v>72</v>
      </c>
      <c r="AL2571" t="str">
        <f>"$"</f>
        <v>$</v>
      </c>
    </row>
    <row r="2572" spans="1:38" x14ac:dyDescent="0.3">
      <c r="A2572" t="str">
        <f>"SO23000261"</f>
        <v>SO23000261</v>
      </c>
      <c r="B2572" t="str">
        <f>"E000394730"</f>
        <v>E000394730</v>
      </c>
      <c r="C2572" t="str">
        <f>"מאושרת לבצוע"</f>
        <v>מאושרת לבצוע</v>
      </c>
      <c r="E2572" s="3">
        <v>45085</v>
      </c>
      <c r="F2572" s="3">
        <v>45085</v>
      </c>
      <c r="G2572" t="str">
        <f>"700065"</f>
        <v>700065</v>
      </c>
      <c r="H2572" t="str">
        <f>"אלתא מערכות בע""מ"</f>
        <v>אלתא מערכות בע"מ</v>
      </c>
      <c r="I2572" t="str">
        <f>"רוני דידי"</f>
        <v>רוני דידי</v>
      </c>
      <c r="J2572" t="str">
        <f>"PS0200167"</f>
        <v>PS0200167</v>
      </c>
      <c r="K2572" s="1" t="str">
        <f>"מטען מצברים AQHF48-25 WP SLA AQTRON HF CHARGER IP67 48V 25A"</f>
        <v>מטען מצברים AQHF48-25 WP SLA AQTRON HF CHARGER IP67 48V 25A</v>
      </c>
      <c r="L2572">
        <v>1</v>
      </c>
      <c r="M2572" t="str">
        <f>"PR23000371"</f>
        <v>PR23000371</v>
      </c>
      <c r="N2572" t="str">
        <f>"E000394730 ח""ח"</f>
        <v>E000394730 ח"ח</v>
      </c>
      <c r="O2572">
        <v>298</v>
      </c>
      <c r="P2572" t="str">
        <f>"$"</f>
        <v>$</v>
      </c>
      <c r="Q2572" t="str">
        <f>"112"</f>
        <v>112</v>
      </c>
      <c r="R2572" t="str">
        <f>"תיקון תקלות"</f>
        <v>תיקון תקלות</v>
      </c>
      <c r="S2572" t="str">
        <f>"007"</f>
        <v>007</v>
      </c>
      <c r="T2572" t="str">
        <f>"גנם הודיה"</f>
        <v>גנם הודיה</v>
      </c>
      <c r="U2572">
        <v>0</v>
      </c>
      <c r="V2572">
        <v>0</v>
      </c>
      <c r="W2572">
        <v>298</v>
      </c>
      <c r="X2572">
        <v>298</v>
      </c>
      <c r="AA2572">
        <v>1</v>
      </c>
      <c r="AC2572">
        <v>0</v>
      </c>
      <c r="AE2572">
        <v>0</v>
      </c>
      <c r="AF2572">
        <v>0</v>
      </c>
      <c r="AG2572" s="2">
        <v>1091.57</v>
      </c>
      <c r="AH2572">
        <v>0</v>
      </c>
      <c r="AI2572" s="2">
        <v>1091.57</v>
      </c>
      <c r="AJ2572">
        <v>298</v>
      </c>
      <c r="AK2572">
        <v>298</v>
      </c>
      <c r="AL2572" t="str">
        <f>"$"</f>
        <v>$</v>
      </c>
    </row>
    <row r="2573" spans="1:38" x14ac:dyDescent="0.3">
      <c r="A2573" t="str">
        <f>"SO23000261"</f>
        <v>SO23000261</v>
      </c>
      <c r="B2573" t="str">
        <f>"E000394730"</f>
        <v>E000394730</v>
      </c>
      <c r="C2573" t="str">
        <f>"מאושרת לבצוע"</f>
        <v>מאושרת לבצוע</v>
      </c>
      <c r="E2573" s="3">
        <v>45085</v>
      </c>
      <c r="F2573" s="3">
        <v>45085</v>
      </c>
      <c r="G2573" t="str">
        <f>"700065"</f>
        <v>700065</v>
      </c>
      <c r="H2573" t="str">
        <f>"אלתא מערכות בע""מ"</f>
        <v>אלתא מערכות בע"מ</v>
      </c>
      <c r="I2573" t="str">
        <f>"רוני דידי"</f>
        <v>רוני דידי</v>
      </c>
      <c r="J2573" t="str">
        <f>"PA1001828"</f>
        <v>PA1001828</v>
      </c>
      <c r="K2573" s="1" t="str">
        <f>"Fan Accessories 120mm Finger Guard G109-3A"</f>
        <v>Fan Accessories 120mm Finger Guard G109-3A</v>
      </c>
      <c r="L2573">
        <v>2</v>
      </c>
      <c r="M2573" t="str">
        <f>"PR23000371"</f>
        <v>PR23000371</v>
      </c>
      <c r="N2573" t="str">
        <f>"E000394730 ח""ח"</f>
        <v>E000394730 ח"ח</v>
      </c>
      <c r="O2573">
        <v>3</v>
      </c>
      <c r="P2573" t="str">
        <f>"$"</f>
        <v>$</v>
      </c>
      <c r="Q2573" t="str">
        <f>"112"</f>
        <v>112</v>
      </c>
      <c r="R2573" t="str">
        <f>"תיקון תקלות"</f>
        <v>תיקון תקלות</v>
      </c>
      <c r="S2573" t="str">
        <f>"007"</f>
        <v>007</v>
      </c>
      <c r="T2573" t="str">
        <f>"גנם הודיה"</f>
        <v>גנם הודיה</v>
      </c>
      <c r="U2573">
        <v>0</v>
      </c>
      <c r="V2573">
        <v>0</v>
      </c>
      <c r="W2573">
        <v>3</v>
      </c>
      <c r="X2573">
        <v>6</v>
      </c>
      <c r="AA2573">
        <v>2</v>
      </c>
      <c r="AC2573">
        <v>0</v>
      </c>
      <c r="AE2573">
        <v>0</v>
      </c>
      <c r="AF2573">
        <v>0</v>
      </c>
      <c r="AG2573">
        <v>10.99</v>
      </c>
      <c r="AH2573">
        <v>0</v>
      </c>
      <c r="AI2573">
        <v>21.98</v>
      </c>
      <c r="AJ2573">
        <v>6</v>
      </c>
      <c r="AK2573">
        <v>6</v>
      </c>
      <c r="AL2573" t="str">
        <f>"$"</f>
        <v>$</v>
      </c>
    </row>
    <row r="2574" spans="1:38" x14ac:dyDescent="0.3">
      <c r="A2574" t="str">
        <f>"SO23000261"</f>
        <v>SO23000261</v>
      </c>
      <c r="B2574" t="str">
        <f>"E000394730"</f>
        <v>E000394730</v>
      </c>
      <c r="C2574" t="str">
        <f>"מאושרת לבצוע"</f>
        <v>מאושרת לבצוע</v>
      </c>
      <c r="E2574" s="3">
        <v>45085</v>
      </c>
      <c r="F2574" s="3">
        <v>45085</v>
      </c>
      <c r="G2574" t="str">
        <f>"700065"</f>
        <v>700065</v>
      </c>
      <c r="H2574" t="str">
        <f>"אלתא מערכות בע""מ"</f>
        <v>אלתא מערכות בע"מ</v>
      </c>
      <c r="I2574" t="str">
        <f>"רוני דידי"</f>
        <v>רוני דידי</v>
      </c>
      <c r="J2574" t="str">
        <f>"GT0800066"</f>
        <v>GT0800066</v>
      </c>
      <c r="K2574" s="1" t="str">
        <f>"גוף תאורה LED 24VDC WAS 729"</f>
        <v>גוף תאורה LED 24VDC WAS 729</v>
      </c>
      <c r="L2574">
        <v>2</v>
      </c>
      <c r="M2574" t="str">
        <f>"PR23000371"</f>
        <v>PR23000371</v>
      </c>
      <c r="N2574" t="str">
        <f>"E000394730 ח""ח"</f>
        <v>E000394730 ח"ח</v>
      </c>
      <c r="O2574">
        <v>38</v>
      </c>
      <c r="P2574" t="str">
        <f>"$"</f>
        <v>$</v>
      </c>
      <c r="Q2574" t="str">
        <f>"112"</f>
        <v>112</v>
      </c>
      <c r="R2574" t="str">
        <f>"תיקון תקלות"</f>
        <v>תיקון תקלות</v>
      </c>
      <c r="S2574" t="str">
        <f>"007"</f>
        <v>007</v>
      </c>
      <c r="T2574" t="str">
        <f>"גנם הודיה"</f>
        <v>גנם הודיה</v>
      </c>
      <c r="U2574">
        <v>0</v>
      </c>
      <c r="V2574">
        <v>0</v>
      </c>
      <c r="W2574">
        <v>38</v>
      </c>
      <c r="X2574">
        <v>76</v>
      </c>
      <c r="AA2574">
        <v>2</v>
      </c>
      <c r="AC2574">
        <v>0</v>
      </c>
      <c r="AE2574">
        <v>0</v>
      </c>
      <c r="AF2574">
        <v>0</v>
      </c>
      <c r="AG2574">
        <v>139.19</v>
      </c>
      <c r="AH2574">
        <v>0</v>
      </c>
      <c r="AI2574">
        <v>278.39</v>
      </c>
      <c r="AJ2574">
        <v>76</v>
      </c>
      <c r="AK2574">
        <v>76</v>
      </c>
      <c r="AL2574" t="str">
        <f>"$"</f>
        <v>$</v>
      </c>
    </row>
    <row r="2575" spans="1:38" x14ac:dyDescent="0.3">
      <c r="A2575" t="str">
        <f>"SO23000261"</f>
        <v>SO23000261</v>
      </c>
      <c r="B2575" t="str">
        <f>"E000394730"</f>
        <v>E000394730</v>
      </c>
      <c r="C2575" t="str">
        <f>"מאושרת לבצוע"</f>
        <v>מאושרת לבצוע</v>
      </c>
      <c r="E2575" s="3">
        <v>45085</v>
      </c>
      <c r="F2575" s="3">
        <v>45085</v>
      </c>
      <c r="G2575" t="str">
        <f>"700065"</f>
        <v>700065</v>
      </c>
      <c r="H2575" t="str">
        <f>"אלתא מערכות בע""מ"</f>
        <v>אלתא מערכות בע"מ</v>
      </c>
      <c r="I2575" t="str">
        <f>"רוני דידי"</f>
        <v>רוני דידי</v>
      </c>
      <c r="J2575" t="str">
        <f>"PA1001799"</f>
        <v>PA1001799</v>
      </c>
      <c r="K2575" s="1" t="str">
        <f>"SurgeProtection Uc=440 Class I+II ProBloc BR50"</f>
        <v>SurgeProtection Uc=440 Class I+II ProBloc BR50</v>
      </c>
      <c r="L2575">
        <v>2</v>
      </c>
      <c r="M2575" t="str">
        <f>"PR23000371"</f>
        <v>PR23000371</v>
      </c>
      <c r="N2575" t="str">
        <f>"E000394730 ח""ח"</f>
        <v>E000394730 ח"ח</v>
      </c>
      <c r="O2575">
        <v>363</v>
      </c>
      <c r="P2575" t="str">
        <f>"$"</f>
        <v>$</v>
      </c>
      <c r="Q2575" t="str">
        <f>"112"</f>
        <v>112</v>
      </c>
      <c r="R2575" t="str">
        <f>"תיקון תקלות"</f>
        <v>תיקון תקלות</v>
      </c>
      <c r="S2575" t="str">
        <f>"007"</f>
        <v>007</v>
      </c>
      <c r="T2575" t="str">
        <f>"גנם הודיה"</f>
        <v>גנם הודיה</v>
      </c>
      <c r="U2575">
        <v>0</v>
      </c>
      <c r="V2575">
        <v>0</v>
      </c>
      <c r="W2575">
        <v>363</v>
      </c>
      <c r="X2575">
        <v>726</v>
      </c>
      <c r="AA2575">
        <v>2</v>
      </c>
      <c r="AC2575">
        <v>0</v>
      </c>
      <c r="AE2575">
        <v>0</v>
      </c>
      <c r="AF2575">
        <v>0</v>
      </c>
      <c r="AG2575" s="2">
        <v>1329.67</v>
      </c>
      <c r="AH2575">
        <v>0</v>
      </c>
      <c r="AI2575" s="2">
        <v>2659.34</v>
      </c>
      <c r="AJ2575">
        <v>726</v>
      </c>
      <c r="AK2575">
        <v>726</v>
      </c>
      <c r="AL2575" t="str">
        <f>"$"</f>
        <v>$</v>
      </c>
    </row>
    <row r="2576" spans="1:38" x14ac:dyDescent="0.3">
      <c r="A2576" t="str">
        <f>"SO23000261"</f>
        <v>SO23000261</v>
      </c>
      <c r="B2576" t="str">
        <f>"E000394730"</f>
        <v>E000394730</v>
      </c>
      <c r="C2576" t="str">
        <f>"מאושרת לבצוע"</f>
        <v>מאושרת לבצוע</v>
      </c>
      <c r="E2576" s="3">
        <v>45085</v>
      </c>
      <c r="F2576" s="3">
        <v>45085</v>
      </c>
      <c r="G2576" t="str">
        <f>"700065"</f>
        <v>700065</v>
      </c>
      <c r="H2576" t="str">
        <f>"אלתא מערכות בע""מ"</f>
        <v>אלתא מערכות בע"מ</v>
      </c>
      <c r="I2576" t="str">
        <f>"רוני דידי"</f>
        <v>רוני דידי</v>
      </c>
      <c r="J2576" t="str">
        <f>"PD9900588"</f>
        <v>PD9900588</v>
      </c>
      <c r="K2576" s="1" t="str">
        <f>"מאוורר PFB1248UHE-EP 120x120 FAN 220CFM 48VDC"</f>
        <v>מאוורר PFB1248UHE-EP 120x120 FAN 220CFM 48VDC</v>
      </c>
      <c r="L2576">
        <v>2</v>
      </c>
      <c r="M2576" t="str">
        <f>"PR23000371"</f>
        <v>PR23000371</v>
      </c>
      <c r="N2576" t="str">
        <f>"E000394730 ח""ח"</f>
        <v>E000394730 ח"ח</v>
      </c>
      <c r="O2576">
        <v>109</v>
      </c>
      <c r="P2576" t="str">
        <f>"$"</f>
        <v>$</v>
      </c>
      <c r="Q2576" t="str">
        <f>"112"</f>
        <v>112</v>
      </c>
      <c r="R2576" t="str">
        <f>"תיקון תקלות"</f>
        <v>תיקון תקלות</v>
      </c>
      <c r="S2576" t="str">
        <f>"007"</f>
        <v>007</v>
      </c>
      <c r="T2576" t="str">
        <f>"גנם הודיה"</f>
        <v>גנם הודיה</v>
      </c>
      <c r="U2576">
        <v>0</v>
      </c>
      <c r="V2576">
        <v>0</v>
      </c>
      <c r="W2576">
        <v>109</v>
      </c>
      <c r="X2576">
        <v>218</v>
      </c>
      <c r="AA2576">
        <v>2</v>
      </c>
      <c r="AC2576">
        <v>0</v>
      </c>
      <c r="AE2576">
        <v>0</v>
      </c>
      <c r="AF2576">
        <v>0</v>
      </c>
      <c r="AG2576">
        <v>399.27</v>
      </c>
      <c r="AH2576">
        <v>0</v>
      </c>
      <c r="AI2576">
        <v>798.53</v>
      </c>
      <c r="AJ2576">
        <v>218</v>
      </c>
      <c r="AK2576">
        <v>218</v>
      </c>
      <c r="AL2576" t="str">
        <f>"$"</f>
        <v>$</v>
      </c>
    </row>
    <row r="2577" spans="1:38" x14ac:dyDescent="0.3">
      <c r="A2577" t="str">
        <f>"SO23000261"</f>
        <v>SO23000261</v>
      </c>
      <c r="B2577" t="str">
        <f>"E000394730"</f>
        <v>E000394730</v>
      </c>
      <c r="C2577" t="str">
        <f>"מאושרת לבצוע"</f>
        <v>מאושרת לבצוע</v>
      </c>
      <c r="E2577" s="3">
        <v>45085</v>
      </c>
      <c r="F2577" s="3">
        <v>45085</v>
      </c>
      <c r="G2577" t="str">
        <f>"700065"</f>
        <v>700065</v>
      </c>
      <c r="H2577" t="str">
        <f>"אלתא מערכות בע""מ"</f>
        <v>אלתא מערכות בע"מ</v>
      </c>
      <c r="I2577" t="str">
        <f>"רוני דידי"</f>
        <v>רוני דידי</v>
      </c>
      <c r="J2577" t="str">
        <f>"PD0300436"</f>
        <v>PD0300436</v>
      </c>
      <c r="K2577" s="1" t="str">
        <f>"וולטמטר דיגיטלי AC/DC דגם ABB VLMD P"</f>
        <v>וולטמטר דיגיטלי AC/DC דגם ABB VLMD P</v>
      </c>
      <c r="L2577">
        <v>4</v>
      </c>
      <c r="M2577" t="str">
        <f>"PR23000371"</f>
        <v>PR23000371</v>
      </c>
      <c r="N2577" t="str">
        <f>"E000394730 ח""ח"</f>
        <v>E000394730 ח"ח</v>
      </c>
      <c r="O2577">
        <v>167</v>
      </c>
      <c r="P2577" t="str">
        <f>"$"</f>
        <v>$</v>
      </c>
      <c r="Q2577" t="str">
        <f>"112"</f>
        <v>112</v>
      </c>
      <c r="R2577" t="str">
        <f>"תיקון תקלות"</f>
        <v>תיקון תקלות</v>
      </c>
      <c r="S2577" t="str">
        <f>"007"</f>
        <v>007</v>
      </c>
      <c r="T2577" t="str">
        <f>"גנם הודיה"</f>
        <v>גנם הודיה</v>
      </c>
      <c r="U2577">
        <v>0</v>
      </c>
      <c r="V2577">
        <v>0</v>
      </c>
      <c r="W2577">
        <v>167</v>
      </c>
      <c r="X2577">
        <v>668</v>
      </c>
      <c r="AA2577">
        <v>4</v>
      </c>
      <c r="AC2577">
        <v>0</v>
      </c>
      <c r="AE2577">
        <v>0</v>
      </c>
      <c r="AF2577">
        <v>0</v>
      </c>
      <c r="AG2577">
        <v>611.72</v>
      </c>
      <c r="AH2577">
        <v>0</v>
      </c>
      <c r="AI2577" s="2">
        <v>2446.88</v>
      </c>
      <c r="AJ2577">
        <v>668</v>
      </c>
      <c r="AK2577">
        <v>668</v>
      </c>
      <c r="AL2577" t="str">
        <f>"$"</f>
        <v>$</v>
      </c>
    </row>
    <row r="2578" spans="1:38" x14ac:dyDescent="0.3">
      <c r="A2578" t="str">
        <f>"SO23000263"</f>
        <v>SO23000263</v>
      </c>
      <c r="B2578" t="str">
        <f>"E000396075"</f>
        <v>E000396075</v>
      </c>
      <c r="C2578" t="str">
        <f>"מאושרת לבצוע"</f>
        <v>מאושרת לבצוע</v>
      </c>
      <c r="E2578" s="3">
        <v>45085</v>
      </c>
      <c r="F2578" s="3">
        <v>45085</v>
      </c>
      <c r="G2578" t="str">
        <f>"700065"</f>
        <v>700065</v>
      </c>
      <c r="H2578" t="str">
        <f>"אלתא מערכות בע""מ"</f>
        <v>אלתא מערכות בע"מ</v>
      </c>
      <c r="I2578" t="str">
        <f>"רוני דידי"</f>
        <v>רוני דידי</v>
      </c>
      <c r="J2578" t="str">
        <f>"OP-ML00216"</f>
        <v>OP-ML00216</v>
      </c>
      <c r="K2578" s="1" t="str">
        <f>"6930H860-001    M - VRU"</f>
        <v>6930H860-001    M - VRU</v>
      </c>
      <c r="L2578">
        <v>2</v>
      </c>
      <c r="M2578" t="str">
        <f>"PR23000373"</f>
        <v>PR23000373</v>
      </c>
      <c r="N2578" t="str">
        <f>"6930H860-001    M - VRU"</f>
        <v>6930H860-001    M - VRU</v>
      </c>
      <c r="O2578" s="2">
        <v>11392.5</v>
      </c>
      <c r="P2578" t="str">
        <f>"$"</f>
        <v>$</v>
      </c>
      <c r="Q2578" t="str">
        <f>"118"</f>
        <v>118</v>
      </c>
      <c r="R2578" t="str">
        <f>"מערכות"</f>
        <v>מערכות</v>
      </c>
      <c r="S2578" t="str">
        <f>"007"</f>
        <v>007</v>
      </c>
      <c r="T2578" t="str">
        <f>"גנם הודיה"</f>
        <v>גנם הודיה</v>
      </c>
      <c r="U2578">
        <v>0</v>
      </c>
      <c r="V2578">
        <v>0</v>
      </c>
      <c r="W2578" s="2">
        <v>11392.5</v>
      </c>
      <c r="X2578" s="2">
        <v>22785</v>
      </c>
      <c r="AA2578">
        <v>2</v>
      </c>
      <c r="AC2578">
        <v>0</v>
      </c>
      <c r="AE2578">
        <v>0</v>
      </c>
      <c r="AF2578">
        <v>0</v>
      </c>
      <c r="AG2578" s="2">
        <v>41730.730000000003</v>
      </c>
      <c r="AH2578">
        <v>0</v>
      </c>
      <c r="AI2578" s="2">
        <v>83461.460000000006</v>
      </c>
      <c r="AJ2578" s="2">
        <v>22785</v>
      </c>
      <c r="AK2578" s="2">
        <v>22785</v>
      </c>
      <c r="AL2578" t="str">
        <f>"$"</f>
        <v>$</v>
      </c>
    </row>
    <row r="2579" spans="1:38" x14ac:dyDescent="0.3">
      <c r="A2579" t="str">
        <f>"SO23000264"</f>
        <v>SO23000264</v>
      </c>
      <c r="B2579" t="str">
        <f>"E000396078"</f>
        <v>E000396078</v>
      </c>
      <c r="C2579" t="str">
        <f>"הרכבה חלקית"</f>
        <v>הרכבה חלקית</v>
      </c>
      <c r="E2579" s="3">
        <v>45085</v>
      </c>
      <c r="F2579" s="3">
        <v>45085</v>
      </c>
      <c r="G2579" t="str">
        <f>"700065"</f>
        <v>700065</v>
      </c>
      <c r="H2579" t="str">
        <f>"אלתא מערכות בע""מ"</f>
        <v>אלתא מערכות בע"מ</v>
      </c>
      <c r="I2579" t="str">
        <f>"רחמים זרוק"</f>
        <v>רחמים זרוק</v>
      </c>
      <c r="J2579" t="str">
        <f>"OP-AR03661"</f>
        <v>OP-AR03661</v>
      </c>
      <c r="K2579" s="1" t="str">
        <f>"1029R655-001   ETHERNET CABLE W655 - RCU TO CUG-J8"</f>
        <v>1029R655-001   ETHERNET CABLE W655 - RCU TO CUG-J8</v>
      </c>
      <c r="L2579">
        <v>2</v>
      </c>
      <c r="M2579" t="str">
        <f>"PR23000362"</f>
        <v>PR23000362</v>
      </c>
      <c r="N2579" t="str">
        <f>"E000396078"</f>
        <v>E000396078</v>
      </c>
      <c r="O2579">
        <v>435.71</v>
      </c>
      <c r="P2579" t="str">
        <f>"$"</f>
        <v>$</v>
      </c>
      <c r="Q2579" t="str">
        <f>"117"</f>
        <v>117</v>
      </c>
      <c r="R2579" t="str">
        <f>"רתמות"</f>
        <v>רתמות</v>
      </c>
      <c r="S2579" t="str">
        <f>"040"</f>
        <v>040</v>
      </c>
      <c r="T2579" t="str">
        <f>"גנם הודיה"</f>
        <v>גנם הודיה</v>
      </c>
      <c r="U2579">
        <v>0</v>
      </c>
      <c r="V2579">
        <v>0</v>
      </c>
      <c r="W2579">
        <v>435.71</v>
      </c>
      <c r="X2579">
        <v>871.42</v>
      </c>
      <c r="Z2579" t="str">
        <f>"Y"</f>
        <v>Y</v>
      </c>
      <c r="AA2579">
        <v>0</v>
      </c>
      <c r="AC2579">
        <v>0</v>
      </c>
      <c r="AE2579">
        <v>0</v>
      </c>
      <c r="AF2579">
        <v>0</v>
      </c>
      <c r="AG2579" s="2">
        <v>1596.01</v>
      </c>
      <c r="AH2579">
        <v>0</v>
      </c>
      <c r="AI2579" s="2">
        <v>3192.01</v>
      </c>
      <c r="AJ2579">
        <v>871.42</v>
      </c>
      <c r="AK2579">
        <v>871.42</v>
      </c>
      <c r="AL2579" t="str">
        <f>"$"</f>
        <v>$</v>
      </c>
    </row>
    <row r="2580" spans="1:38" x14ac:dyDescent="0.3">
      <c r="A2580" t="str">
        <f>"SO23000264"</f>
        <v>SO23000264</v>
      </c>
      <c r="B2580" t="str">
        <f>"E000396078"</f>
        <v>E000396078</v>
      </c>
      <c r="C2580" t="str">
        <f>"הרכבה חלקית"</f>
        <v>הרכבה חלקית</v>
      </c>
      <c r="E2580" s="3">
        <v>45085</v>
      </c>
      <c r="F2580" s="3">
        <v>45085</v>
      </c>
      <c r="G2580" t="str">
        <f>"700065"</f>
        <v>700065</v>
      </c>
      <c r="H2580" t="str">
        <f>"אלתא מערכות בע""מ"</f>
        <v>אלתא מערכות בע"מ</v>
      </c>
      <c r="I2580" t="str">
        <f>"רחמים זרוק"</f>
        <v>רחמים זרוק</v>
      </c>
      <c r="J2580" t="str">
        <f>"OP-AR03662"</f>
        <v>OP-AR03662</v>
      </c>
      <c r="K2580" s="1" t="str">
        <f>"1029R654-001    HARNESS W654 - CUG TO DPSNS"</f>
        <v>1029R654-001    HARNESS W654 - CUG TO DPSNS</v>
      </c>
      <c r="L2580">
        <v>2</v>
      </c>
      <c r="M2580" t="str">
        <f>"PR23000362"</f>
        <v>PR23000362</v>
      </c>
      <c r="N2580" t="str">
        <f>"E000396078"</f>
        <v>E000396078</v>
      </c>
      <c r="O2580">
        <v>752.36</v>
      </c>
      <c r="P2580" t="str">
        <f>"$"</f>
        <v>$</v>
      </c>
      <c r="Q2580" t="str">
        <f>"117"</f>
        <v>117</v>
      </c>
      <c r="R2580" t="str">
        <f>"רתמות"</f>
        <v>רתמות</v>
      </c>
      <c r="S2580" t="str">
        <f>"040"</f>
        <v>040</v>
      </c>
      <c r="T2580" t="str">
        <f>"גנם הודיה"</f>
        <v>גנם הודיה</v>
      </c>
      <c r="U2580">
        <v>0</v>
      </c>
      <c r="V2580">
        <v>0</v>
      </c>
      <c r="W2580">
        <v>752.36</v>
      </c>
      <c r="X2580" s="2">
        <v>1504.72</v>
      </c>
      <c r="Z2580" t="str">
        <f>"Y"</f>
        <v>Y</v>
      </c>
      <c r="AA2580">
        <v>0</v>
      </c>
      <c r="AC2580">
        <v>0</v>
      </c>
      <c r="AE2580">
        <v>0</v>
      </c>
      <c r="AF2580">
        <v>0</v>
      </c>
      <c r="AG2580" s="2">
        <v>2755.89</v>
      </c>
      <c r="AH2580">
        <v>0</v>
      </c>
      <c r="AI2580" s="2">
        <v>5511.79</v>
      </c>
      <c r="AJ2580" s="2">
        <v>1504.72</v>
      </c>
      <c r="AK2580" s="2">
        <v>1504.72</v>
      </c>
      <c r="AL2580" t="str">
        <f>"$"</f>
        <v>$</v>
      </c>
    </row>
    <row r="2581" spans="1:38" x14ac:dyDescent="0.3">
      <c r="A2581" t="str">
        <f>"SO23000268"</f>
        <v>SO23000268</v>
      </c>
      <c r="B2581" t="str">
        <f>"E000396146"</f>
        <v>E000396146</v>
      </c>
      <c r="C2581" t="str">
        <f>"בוצעה"</f>
        <v>בוצעה</v>
      </c>
      <c r="E2581" s="3">
        <v>45089</v>
      </c>
      <c r="F2581" s="3">
        <v>45089</v>
      </c>
      <c r="G2581" t="str">
        <f>"700065"</f>
        <v>700065</v>
      </c>
      <c r="H2581" t="str">
        <f>"אלתא מערכות בע""מ"</f>
        <v>אלתא מערכות בע"מ</v>
      </c>
      <c r="I2581" t="str">
        <f>"רוני דידי"</f>
        <v>רוני דידי</v>
      </c>
      <c r="J2581" t="str">
        <f>"000"</f>
        <v>000</v>
      </c>
      <c r="K2581" s="1" t="str">
        <f>"עדכון מערכת בקרה פלטפורמה RPU"</f>
        <v>עדכון מערכת בקרה פלטפורמה RPU</v>
      </c>
      <c r="L2581">
        <v>1</v>
      </c>
      <c r="M2581" t="str">
        <f>"PR23000380"</f>
        <v>PR23000380</v>
      </c>
      <c r="N2581" t="str">
        <f>"עדכון מערכת בקרה פלטפורמה   RPU"</f>
        <v>עדכון מערכת בקרה פלטפורמה   RPU</v>
      </c>
      <c r="O2581" s="2">
        <v>11250</v>
      </c>
      <c r="P2581" t="str">
        <f>"$"</f>
        <v>$</v>
      </c>
      <c r="Q2581" t="str">
        <f>"119"</f>
        <v>119</v>
      </c>
      <c r="R2581" t="str">
        <f>"פלטפורמות"</f>
        <v>פלטפורמות</v>
      </c>
      <c r="S2581" t="str">
        <f>"007"</f>
        <v>007</v>
      </c>
      <c r="T2581" t="str">
        <f>"גנם הודיה"</f>
        <v>גנם הודיה</v>
      </c>
      <c r="U2581">
        <v>0</v>
      </c>
      <c r="V2581">
        <v>0</v>
      </c>
      <c r="W2581" s="2">
        <v>11250</v>
      </c>
      <c r="X2581" s="2">
        <v>11250</v>
      </c>
      <c r="Z2581" t="str">
        <f>"Y"</f>
        <v>Y</v>
      </c>
      <c r="AA2581">
        <v>1</v>
      </c>
      <c r="AC2581">
        <v>0</v>
      </c>
      <c r="AE2581">
        <v>0</v>
      </c>
      <c r="AF2581">
        <v>0</v>
      </c>
      <c r="AG2581" s="2">
        <v>40365</v>
      </c>
      <c r="AH2581">
        <v>0</v>
      </c>
      <c r="AI2581" s="2">
        <v>40365</v>
      </c>
      <c r="AJ2581" s="2">
        <v>11250</v>
      </c>
      <c r="AK2581" s="2">
        <v>11250</v>
      </c>
      <c r="AL2581" t="str">
        <f>"$"</f>
        <v>$</v>
      </c>
    </row>
    <row r="2582" spans="1:38" x14ac:dyDescent="0.3">
      <c r="A2582" t="str">
        <f>"SO23000268"</f>
        <v>SO23000268</v>
      </c>
      <c r="B2582" t="str">
        <f>"E000396146"</f>
        <v>E000396146</v>
      </c>
      <c r="C2582" t="str">
        <f>"בוצעה"</f>
        <v>בוצעה</v>
      </c>
      <c r="E2582" s="3">
        <v>45089</v>
      </c>
      <c r="F2582" s="3">
        <v>45089</v>
      </c>
      <c r="G2582" t="str">
        <f>"700065"</f>
        <v>700065</v>
      </c>
      <c r="H2582" t="str">
        <f>"אלתא מערכות בע""מ"</f>
        <v>אלתא מערכות בע"מ</v>
      </c>
      <c r="I2582" t="str">
        <f>"רוני דידי"</f>
        <v>רוני דידי</v>
      </c>
      <c r="J2582" t="str">
        <f>"000"</f>
        <v>000</v>
      </c>
      <c r="K2582" s="1" t="str">
        <f>"התקנת התוכנה באתר לקוח"</f>
        <v>התקנת התוכנה באתר לקוח</v>
      </c>
      <c r="L2582">
        <v>1</v>
      </c>
      <c r="M2582" t="str">
        <f>"PR23000380"</f>
        <v>PR23000380</v>
      </c>
      <c r="N2582" t="str">
        <f>"עדכון מערכת בקרה פלטפורמה   RPU"</f>
        <v>עדכון מערכת בקרה פלטפורמה   RPU</v>
      </c>
      <c r="O2582" s="2">
        <v>2400</v>
      </c>
      <c r="P2582" t="str">
        <f>"$"</f>
        <v>$</v>
      </c>
      <c r="Q2582" t="str">
        <f>"119"</f>
        <v>119</v>
      </c>
      <c r="R2582" t="str">
        <f>"פלטפורמות"</f>
        <v>פלטפורמות</v>
      </c>
      <c r="S2582" t="str">
        <f>"007"</f>
        <v>007</v>
      </c>
      <c r="T2582" t="str">
        <f>"גנם הודיה"</f>
        <v>גנם הודיה</v>
      </c>
      <c r="U2582">
        <v>0</v>
      </c>
      <c r="V2582">
        <v>0</v>
      </c>
      <c r="W2582" s="2">
        <v>2400</v>
      </c>
      <c r="X2582" s="2">
        <v>2400</v>
      </c>
      <c r="Z2582" t="str">
        <f>"Y"</f>
        <v>Y</v>
      </c>
      <c r="AA2582">
        <v>1</v>
      </c>
      <c r="AC2582">
        <v>0</v>
      </c>
      <c r="AE2582">
        <v>0</v>
      </c>
      <c r="AF2582">
        <v>0</v>
      </c>
      <c r="AG2582" s="2">
        <v>8611.2000000000007</v>
      </c>
      <c r="AH2582">
        <v>0</v>
      </c>
      <c r="AI2582" s="2">
        <v>8611.2000000000007</v>
      </c>
      <c r="AJ2582" s="2">
        <v>2400</v>
      </c>
      <c r="AK2582" s="2">
        <v>2400</v>
      </c>
      <c r="AL2582" t="str">
        <f>"$"</f>
        <v>$</v>
      </c>
    </row>
    <row r="2583" spans="1:38" x14ac:dyDescent="0.3">
      <c r="A2583" t="str">
        <f>"SO23000273"</f>
        <v>SO23000273</v>
      </c>
      <c r="B2583" t="str">
        <f>"E000396610"</f>
        <v>E000396610</v>
      </c>
      <c r="C2583" t="str">
        <f>"טיוטא"</f>
        <v>טיוטא</v>
      </c>
      <c r="E2583" s="3">
        <v>45090</v>
      </c>
      <c r="F2583" s="3">
        <v>45096</v>
      </c>
      <c r="G2583" t="str">
        <f>"700065"</f>
        <v>700065</v>
      </c>
      <c r="H2583" t="str">
        <f>"אלתא מערכות בע""מ"</f>
        <v>אלתא מערכות בע"מ</v>
      </c>
      <c r="I2583" t="str">
        <f>"רוני דידי"</f>
        <v>רוני דידי</v>
      </c>
      <c r="J2583" t="str">
        <f>"OP-AR00387"</f>
        <v>OP-AR00387</v>
      </c>
      <c r="K2583" s="1" t="str">
        <f>"PDU 4061D220-001"</f>
        <v>PDU 4061D220-001</v>
      </c>
      <c r="L2583">
        <v>1</v>
      </c>
      <c r="M2583" t="str">
        <f>"PR23000391"</f>
        <v>PR23000391</v>
      </c>
      <c r="N2583" t="str">
        <f>"PDU 4061D220-001"</f>
        <v>PDU 4061D220-001</v>
      </c>
      <c r="O2583" s="2">
        <v>30000</v>
      </c>
      <c r="P2583" t="str">
        <f>"$"</f>
        <v>$</v>
      </c>
      <c r="Q2583" t="str">
        <f>"118"</f>
        <v>118</v>
      </c>
      <c r="R2583" t="str">
        <f>"מערכות"</f>
        <v>מערכות</v>
      </c>
      <c r="S2583" t="str">
        <f>"007"</f>
        <v>007</v>
      </c>
      <c r="T2583" t="str">
        <f>"tabula"</f>
        <v>tabula</v>
      </c>
      <c r="U2583">
        <v>0</v>
      </c>
      <c r="V2583">
        <v>0</v>
      </c>
      <c r="W2583" s="2">
        <v>30000</v>
      </c>
      <c r="X2583" s="2">
        <v>30000</v>
      </c>
      <c r="AA2583">
        <v>1</v>
      </c>
      <c r="AC2583">
        <v>0</v>
      </c>
      <c r="AE2583">
        <v>0</v>
      </c>
      <c r="AF2583">
        <v>0</v>
      </c>
      <c r="AG2583" s="2">
        <v>106740</v>
      </c>
      <c r="AH2583">
        <v>0</v>
      </c>
      <c r="AI2583" s="2">
        <v>106740</v>
      </c>
      <c r="AJ2583" s="2">
        <v>30000</v>
      </c>
      <c r="AK2583" s="2">
        <v>30000</v>
      </c>
      <c r="AL2583" t="str">
        <f>"$"</f>
        <v>$</v>
      </c>
    </row>
    <row r="2584" spans="1:38" x14ac:dyDescent="0.3">
      <c r="A2584" t="str">
        <f>"SO23000273"</f>
        <v>SO23000273</v>
      </c>
      <c r="B2584" t="str">
        <f>"E000396610"</f>
        <v>E000396610</v>
      </c>
      <c r="C2584" t="str">
        <f>"טיוטא"</f>
        <v>טיוטא</v>
      </c>
      <c r="E2584" s="3">
        <v>45090</v>
      </c>
      <c r="F2584" s="3">
        <v>45166</v>
      </c>
      <c r="G2584" t="str">
        <f>"700065"</f>
        <v>700065</v>
      </c>
      <c r="H2584" t="str">
        <f>"אלתא מערכות בע""מ"</f>
        <v>אלתא מערכות בע"מ</v>
      </c>
      <c r="I2584" t="str">
        <f>"רוני דידי"</f>
        <v>רוני דידי</v>
      </c>
      <c r="J2584" t="str">
        <f>"OP-AR00387"</f>
        <v>OP-AR00387</v>
      </c>
      <c r="K2584" s="1" t="str">
        <f>"PDU 4061D220-001"</f>
        <v>PDU 4061D220-001</v>
      </c>
      <c r="L2584">
        <v>1</v>
      </c>
      <c r="M2584" t="str">
        <f>"PR23000391"</f>
        <v>PR23000391</v>
      </c>
      <c r="N2584" t="str">
        <f>"PDU 4061D220-001"</f>
        <v>PDU 4061D220-001</v>
      </c>
      <c r="O2584" s="2">
        <v>30000</v>
      </c>
      <c r="P2584" t="str">
        <f>"$"</f>
        <v>$</v>
      </c>
      <c r="Q2584" t="str">
        <f>"118"</f>
        <v>118</v>
      </c>
      <c r="R2584" t="str">
        <f>"מערכות"</f>
        <v>מערכות</v>
      </c>
      <c r="S2584" t="str">
        <f>"007"</f>
        <v>007</v>
      </c>
      <c r="T2584" t="str">
        <f>"tabula"</f>
        <v>tabula</v>
      </c>
      <c r="U2584">
        <v>0</v>
      </c>
      <c r="V2584">
        <v>0</v>
      </c>
      <c r="W2584" s="2">
        <v>30000</v>
      </c>
      <c r="X2584" s="2">
        <v>30000</v>
      </c>
      <c r="AA2584">
        <v>1</v>
      </c>
      <c r="AC2584">
        <v>0</v>
      </c>
      <c r="AE2584">
        <v>0</v>
      </c>
      <c r="AF2584">
        <v>0</v>
      </c>
      <c r="AG2584" s="2">
        <v>106740</v>
      </c>
      <c r="AH2584">
        <v>0</v>
      </c>
      <c r="AI2584" s="2">
        <v>106740</v>
      </c>
      <c r="AJ2584" s="2">
        <v>30000</v>
      </c>
      <c r="AK2584" s="2">
        <v>30000</v>
      </c>
      <c r="AL2584" t="str">
        <f>"$"</f>
        <v>$</v>
      </c>
    </row>
    <row r="2585" spans="1:38" x14ac:dyDescent="0.3">
      <c r="A2585" t="str">
        <f>"SO23000273"</f>
        <v>SO23000273</v>
      </c>
      <c r="B2585" t="str">
        <f>"E000396610"</f>
        <v>E000396610</v>
      </c>
      <c r="C2585" t="str">
        <f>"טיוטא"</f>
        <v>טיוטא</v>
      </c>
      <c r="E2585" s="3">
        <v>45090</v>
      </c>
      <c r="F2585" s="3">
        <v>45166</v>
      </c>
      <c r="G2585" t="str">
        <f>"700065"</f>
        <v>700065</v>
      </c>
      <c r="H2585" t="str">
        <f>"אלתא מערכות בע""מ"</f>
        <v>אלתא מערכות בע"מ</v>
      </c>
      <c r="I2585" t="str">
        <f>"רוני דידי"</f>
        <v>רוני דידי</v>
      </c>
      <c r="J2585" t="str">
        <f>"OP-AR00387"</f>
        <v>OP-AR00387</v>
      </c>
      <c r="K2585" s="1" t="str">
        <f>"PDU 4061D220-001"</f>
        <v>PDU 4061D220-001</v>
      </c>
      <c r="L2585">
        <v>1</v>
      </c>
      <c r="M2585" t="str">
        <f>"PR23000391"</f>
        <v>PR23000391</v>
      </c>
      <c r="N2585" t="str">
        <f>"PDU 4061D220-001"</f>
        <v>PDU 4061D220-001</v>
      </c>
      <c r="O2585" s="2">
        <v>30000</v>
      </c>
      <c r="P2585" t="str">
        <f>"$"</f>
        <v>$</v>
      </c>
      <c r="Q2585" t="str">
        <f>"118"</f>
        <v>118</v>
      </c>
      <c r="R2585" t="str">
        <f>"מערכות"</f>
        <v>מערכות</v>
      </c>
      <c r="S2585" t="str">
        <f>"007"</f>
        <v>007</v>
      </c>
      <c r="T2585" t="str">
        <f>"tabula"</f>
        <v>tabula</v>
      </c>
      <c r="U2585">
        <v>0</v>
      </c>
      <c r="V2585">
        <v>0</v>
      </c>
      <c r="W2585" s="2">
        <v>30000</v>
      </c>
      <c r="X2585" s="2">
        <v>30000</v>
      </c>
      <c r="AA2585">
        <v>1</v>
      </c>
      <c r="AC2585">
        <v>0</v>
      </c>
      <c r="AE2585">
        <v>0</v>
      </c>
      <c r="AF2585">
        <v>0</v>
      </c>
      <c r="AG2585" s="2">
        <v>106740</v>
      </c>
      <c r="AH2585">
        <v>0</v>
      </c>
      <c r="AI2585" s="2">
        <v>106740</v>
      </c>
      <c r="AJ2585" s="2">
        <v>30000</v>
      </c>
      <c r="AK2585" s="2">
        <v>30000</v>
      </c>
      <c r="AL2585" t="str">
        <f>"$"</f>
        <v>$</v>
      </c>
    </row>
    <row r="2586" spans="1:38" x14ac:dyDescent="0.3">
      <c r="A2586" t="str">
        <f>"SO23000273"</f>
        <v>SO23000273</v>
      </c>
      <c r="B2586" t="str">
        <f>"E000396610"</f>
        <v>E000396610</v>
      </c>
      <c r="C2586" t="str">
        <f>"טיוטא"</f>
        <v>טיוטא</v>
      </c>
      <c r="E2586" s="3">
        <v>45090</v>
      </c>
      <c r="F2586" s="3">
        <v>45166</v>
      </c>
      <c r="G2586" t="str">
        <f>"700065"</f>
        <v>700065</v>
      </c>
      <c r="H2586" t="str">
        <f>"אלתא מערכות בע""מ"</f>
        <v>אלתא מערכות בע"מ</v>
      </c>
      <c r="I2586" t="str">
        <f>"רוני דידי"</f>
        <v>רוני דידי</v>
      </c>
      <c r="J2586" t="str">
        <f>"OP-AR00387"</f>
        <v>OP-AR00387</v>
      </c>
      <c r="K2586" s="1" t="str">
        <f>"PDU 4061D220-001"</f>
        <v>PDU 4061D220-001</v>
      </c>
      <c r="L2586">
        <v>1</v>
      </c>
      <c r="M2586" t="str">
        <f>"PR23000391"</f>
        <v>PR23000391</v>
      </c>
      <c r="N2586" t="str">
        <f>"PDU 4061D220-001"</f>
        <v>PDU 4061D220-001</v>
      </c>
      <c r="O2586" s="2">
        <v>30000</v>
      </c>
      <c r="P2586" t="str">
        <f>"$"</f>
        <v>$</v>
      </c>
      <c r="Q2586" t="str">
        <f>"118"</f>
        <v>118</v>
      </c>
      <c r="R2586" t="str">
        <f>"מערכות"</f>
        <v>מערכות</v>
      </c>
      <c r="S2586" t="str">
        <f>"007"</f>
        <v>007</v>
      </c>
      <c r="T2586" t="str">
        <f>"tabula"</f>
        <v>tabula</v>
      </c>
      <c r="U2586">
        <v>0</v>
      </c>
      <c r="V2586">
        <v>0</v>
      </c>
      <c r="W2586" s="2">
        <v>30000</v>
      </c>
      <c r="X2586" s="2">
        <v>30000</v>
      </c>
      <c r="AA2586">
        <v>1</v>
      </c>
      <c r="AC2586">
        <v>0</v>
      </c>
      <c r="AE2586">
        <v>0</v>
      </c>
      <c r="AF2586">
        <v>0</v>
      </c>
      <c r="AG2586" s="2">
        <v>106740</v>
      </c>
      <c r="AH2586">
        <v>0</v>
      </c>
      <c r="AI2586" s="2">
        <v>106740</v>
      </c>
      <c r="AJ2586" s="2">
        <v>30000</v>
      </c>
      <c r="AK2586" s="2">
        <v>30000</v>
      </c>
      <c r="AL2586" t="str">
        <f>"$"</f>
        <v>$</v>
      </c>
    </row>
    <row r="2587" spans="1:38" x14ac:dyDescent="0.3">
      <c r="A2587" t="str">
        <f>"SO23000273"</f>
        <v>SO23000273</v>
      </c>
      <c r="B2587" t="str">
        <f>"E000396610"</f>
        <v>E000396610</v>
      </c>
      <c r="C2587" t="str">
        <f>"טיוטא"</f>
        <v>טיוטא</v>
      </c>
      <c r="E2587" s="3">
        <v>45090</v>
      </c>
      <c r="F2587" s="3">
        <v>45166</v>
      </c>
      <c r="G2587" t="str">
        <f>"700065"</f>
        <v>700065</v>
      </c>
      <c r="H2587" t="str">
        <f>"אלתא מערכות בע""מ"</f>
        <v>אלתא מערכות בע"מ</v>
      </c>
      <c r="I2587" t="str">
        <f>"רוני דידי"</f>
        <v>רוני דידי</v>
      </c>
      <c r="J2587" t="str">
        <f>"OP-AR00387"</f>
        <v>OP-AR00387</v>
      </c>
      <c r="K2587" s="1" t="str">
        <f>"PDU 4061D220-001"</f>
        <v>PDU 4061D220-001</v>
      </c>
      <c r="L2587">
        <v>1</v>
      </c>
      <c r="M2587" t="str">
        <f>"PR23000391"</f>
        <v>PR23000391</v>
      </c>
      <c r="N2587" t="str">
        <f>"PDU 4061D220-001"</f>
        <v>PDU 4061D220-001</v>
      </c>
      <c r="O2587" s="2">
        <v>30000</v>
      </c>
      <c r="P2587" t="str">
        <f>"$"</f>
        <v>$</v>
      </c>
      <c r="Q2587" t="str">
        <f>"118"</f>
        <v>118</v>
      </c>
      <c r="R2587" t="str">
        <f>"מערכות"</f>
        <v>מערכות</v>
      </c>
      <c r="S2587" t="str">
        <f>"007"</f>
        <v>007</v>
      </c>
      <c r="T2587" t="str">
        <f>"tabula"</f>
        <v>tabula</v>
      </c>
      <c r="U2587">
        <v>0</v>
      </c>
      <c r="V2587">
        <v>0</v>
      </c>
      <c r="W2587" s="2">
        <v>30000</v>
      </c>
      <c r="X2587" s="2">
        <v>30000</v>
      </c>
      <c r="AA2587">
        <v>1</v>
      </c>
      <c r="AC2587">
        <v>0</v>
      </c>
      <c r="AE2587">
        <v>0</v>
      </c>
      <c r="AF2587">
        <v>0</v>
      </c>
      <c r="AG2587" s="2">
        <v>106740</v>
      </c>
      <c r="AH2587">
        <v>0</v>
      </c>
      <c r="AI2587" s="2">
        <v>106740</v>
      </c>
      <c r="AJ2587" s="2">
        <v>30000</v>
      </c>
      <c r="AK2587" s="2">
        <v>30000</v>
      </c>
      <c r="AL2587" t="str">
        <f>"$"</f>
        <v>$</v>
      </c>
    </row>
    <row r="2588" spans="1:38" x14ac:dyDescent="0.3">
      <c r="A2588" t="str">
        <f>"SO23000273"</f>
        <v>SO23000273</v>
      </c>
      <c r="B2588" t="str">
        <f>"E000396610"</f>
        <v>E000396610</v>
      </c>
      <c r="C2588" t="str">
        <f>"טיוטא"</f>
        <v>טיוטא</v>
      </c>
      <c r="E2588" s="3">
        <v>45090</v>
      </c>
      <c r="F2588" s="3">
        <v>45166</v>
      </c>
      <c r="G2588" t="str">
        <f>"700065"</f>
        <v>700065</v>
      </c>
      <c r="H2588" t="str">
        <f>"אלתא מערכות בע""מ"</f>
        <v>אלתא מערכות בע"מ</v>
      </c>
      <c r="I2588" t="str">
        <f>"רוני דידי"</f>
        <v>רוני דידי</v>
      </c>
      <c r="J2588" t="str">
        <f>"OP-AR00387"</f>
        <v>OP-AR00387</v>
      </c>
      <c r="K2588" s="1" t="str">
        <f>"PDU 4061D220-001"</f>
        <v>PDU 4061D220-001</v>
      </c>
      <c r="L2588">
        <v>1</v>
      </c>
      <c r="M2588" t="str">
        <f>"PR23000391"</f>
        <v>PR23000391</v>
      </c>
      <c r="N2588" t="str">
        <f>"PDU 4061D220-001"</f>
        <v>PDU 4061D220-001</v>
      </c>
      <c r="O2588" s="2">
        <v>30000</v>
      </c>
      <c r="P2588" t="str">
        <f>"$"</f>
        <v>$</v>
      </c>
      <c r="Q2588" t="str">
        <f>"118"</f>
        <v>118</v>
      </c>
      <c r="R2588" t="str">
        <f>"מערכות"</f>
        <v>מערכות</v>
      </c>
      <c r="S2588" t="str">
        <f>"007"</f>
        <v>007</v>
      </c>
      <c r="T2588" t="str">
        <f>"tabula"</f>
        <v>tabula</v>
      </c>
      <c r="U2588">
        <v>0</v>
      </c>
      <c r="V2588">
        <v>0</v>
      </c>
      <c r="W2588" s="2">
        <v>30000</v>
      </c>
      <c r="X2588" s="2">
        <v>30000</v>
      </c>
      <c r="AA2588">
        <v>1</v>
      </c>
      <c r="AC2588">
        <v>0</v>
      </c>
      <c r="AE2588">
        <v>0</v>
      </c>
      <c r="AF2588">
        <v>0</v>
      </c>
      <c r="AG2588" s="2">
        <v>106740</v>
      </c>
      <c r="AH2588">
        <v>0</v>
      </c>
      <c r="AI2588" s="2">
        <v>106740</v>
      </c>
      <c r="AJ2588" s="2">
        <v>30000</v>
      </c>
      <c r="AK2588" s="2">
        <v>30000</v>
      </c>
      <c r="AL2588" t="str">
        <f>"$"</f>
        <v>$</v>
      </c>
    </row>
    <row r="2589" spans="1:38" x14ac:dyDescent="0.3">
      <c r="A2589" t="str">
        <f>"SO23000273"</f>
        <v>SO23000273</v>
      </c>
      <c r="B2589" t="str">
        <f>"E000396610"</f>
        <v>E000396610</v>
      </c>
      <c r="C2589" t="str">
        <f>"טיוטא"</f>
        <v>טיוטא</v>
      </c>
      <c r="E2589" s="3">
        <v>45090</v>
      </c>
      <c r="F2589" s="3">
        <v>45166</v>
      </c>
      <c r="G2589" t="str">
        <f>"700065"</f>
        <v>700065</v>
      </c>
      <c r="H2589" t="str">
        <f>"אלתא מערכות בע""מ"</f>
        <v>אלתא מערכות בע"מ</v>
      </c>
      <c r="I2589" t="str">
        <f>"רוני דידי"</f>
        <v>רוני דידי</v>
      </c>
      <c r="J2589" t="str">
        <f>"OP-AR00387"</f>
        <v>OP-AR00387</v>
      </c>
      <c r="K2589" s="1" t="str">
        <f>"PDU 4061D220-001"</f>
        <v>PDU 4061D220-001</v>
      </c>
      <c r="L2589">
        <v>1</v>
      </c>
      <c r="M2589" t="str">
        <f>"PR23000391"</f>
        <v>PR23000391</v>
      </c>
      <c r="N2589" t="str">
        <f>"PDU 4061D220-001"</f>
        <v>PDU 4061D220-001</v>
      </c>
      <c r="O2589" s="2">
        <v>30000</v>
      </c>
      <c r="P2589" t="str">
        <f>"$"</f>
        <v>$</v>
      </c>
      <c r="Q2589" t="str">
        <f>"118"</f>
        <v>118</v>
      </c>
      <c r="R2589" t="str">
        <f>"מערכות"</f>
        <v>מערכות</v>
      </c>
      <c r="S2589" t="str">
        <f>"007"</f>
        <v>007</v>
      </c>
      <c r="T2589" t="str">
        <f>"tabula"</f>
        <v>tabula</v>
      </c>
      <c r="U2589">
        <v>0</v>
      </c>
      <c r="V2589">
        <v>0</v>
      </c>
      <c r="W2589" s="2">
        <v>30000</v>
      </c>
      <c r="X2589" s="2">
        <v>30000</v>
      </c>
      <c r="AA2589">
        <v>1</v>
      </c>
      <c r="AC2589">
        <v>0</v>
      </c>
      <c r="AE2589">
        <v>0</v>
      </c>
      <c r="AF2589">
        <v>0</v>
      </c>
      <c r="AG2589" s="2">
        <v>106740</v>
      </c>
      <c r="AH2589">
        <v>0</v>
      </c>
      <c r="AI2589" s="2">
        <v>106740</v>
      </c>
      <c r="AJ2589" s="2">
        <v>30000</v>
      </c>
      <c r="AK2589" s="2">
        <v>30000</v>
      </c>
      <c r="AL2589" t="str">
        <f>"$"</f>
        <v>$</v>
      </c>
    </row>
    <row r="2590" spans="1:38" x14ac:dyDescent="0.3">
      <c r="A2590" t="str">
        <f>"SO23000273"</f>
        <v>SO23000273</v>
      </c>
      <c r="B2590" t="str">
        <f>"E000396610"</f>
        <v>E000396610</v>
      </c>
      <c r="C2590" t="str">
        <f>"טיוטא"</f>
        <v>טיוטא</v>
      </c>
      <c r="E2590" s="3">
        <v>45090</v>
      </c>
      <c r="F2590" s="3">
        <v>45166</v>
      </c>
      <c r="G2590" t="str">
        <f>"700065"</f>
        <v>700065</v>
      </c>
      <c r="H2590" t="str">
        <f>"אלתא מערכות בע""מ"</f>
        <v>אלתא מערכות בע"מ</v>
      </c>
      <c r="I2590" t="str">
        <f>"רוני דידי"</f>
        <v>רוני דידי</v>
      </c>
      <c r="J2590" t="str">
        <f>"OP-AR00387"</f>
        <v>OP-AR00387</v>
      </c>
      <c r="K2590" s="1" t="str">
        <f>"PDU 4061D220-001"</f>
        <v>PDU 4061D220-001</v>
      </c>
      <c r="L2590">
        <v>1</v>
      </c>
      <c r="M2590" t="str">
        <f>"PR23000391"</f>
        <v>PR23000391</v>
      </c>
      <c r="N2590" t="str">
        <f>"PDU 4061D220-001"</f>
        <v>PDU 4061D220-001</v>
      </c>
      <c r="O2590" s="2">
        <v>30000</v>
      </c>
      <c r="P2590" t="str">
        <f>"$"</f>
        <v>$</v>
      </c>
      <c r="Q2590" t="str">
        <f>"118"</f>
        <v>118</v>
      </c>
      <c r="R2590" t="str">
        <f>"מערכות"</f>
        <v>מערכות</v>
      </c>
      <c r="S2590" t="str">
        <f>"007"</f>
        <v>007</v>
      </c>
      <c r="T2590" t="str">
        <f>"tabula"</f>
        <v>tabula</v>
      </c>
      <c r="U2590">
        <v>0</v>
      </c>
      <c r="V2590">
        <v>0</v>
      </c>
      <c r="W2590" s="2">
        <v>30000</v>
      </c>
      <c r="X2590" s="2">
        <v>30000</v>
      </c>
      <c r="AA2590">
        <v>1</v>
      </c>
      <c r="AC2590">
        <v>0</v>
      </c>
      <c r="AE2590">
        <v>0</v>
      </c>
      <c r="AF2590">
        <v>0</v>
      </c>
      <c r="AG2590" s="2">
        <v>106740</v>
      </c>
      <c r="AH2590">
        <v>0</v>
      </c>
      <c r="AI2590" s="2">
        <v>106740</v>
      </c>
      <c r="AJ2590" s="2">
        <v>30000</v>
      </c>
      <c r="AK2590" s="2">
        <v>30000</v>
      </c>
      <c r="AL2590" t="str">
        <f>"$"</f>
        <v>$</v>
      </c>
    </row>
    <row r="2591" spans="1:38" x14ac:dyDescent="0.3">
      <c r="A2591" t="str">
        <f>"SO23000273"</f>
        <v>SO23000273</v>
      </c>
      <c r="B2591" t="str">
        <f>"E000396610"</f>
        <v>E000396610</v>
      </c>
      <c r="C2591" t="str">
        <f>"טיוטא"</f>
        <v>טיוטא</v>
      </c>
      <c r="E2591" s="3">
        <v>45090</v>
      </c>
      <c r="F2591" s="3">
        <v>45166</v>
      </c>
      <c r="G2591" t="str">
        <f>"700065"</f>
        <v>700065</v>
      </c>
      <c r="H2591" t="str">
        <f>"אלתא מערכות בע""מ"</f>
        <v>אלתא מערכות בע"מ</v>
      </c>
      <c r="I2591" t="str">
        <f>"רוני דידי"</f>
        <v>רוני דידי</v>
      </c>
      <c r="J2591" t="str">
        <f>"OP-AR00387"</f>
        <v>OP-AR00387</v>
      </c>
      <c r="K2591" s="1" t="str">
        <f>"PDU 4061D220-001"</f>
        <v>PDU 4061D220-001</v>
      </c>
      <c r="L2591">
        <v>1</v>
      </c>
      <c r="M2591" t="str">
        <f>"PR23000391"</f>
        <v>PR23000391</v>
      </c>
      <c r="N2591" t="str">
        <f>"PDU 4061D220-001"</f>
        <v>PDU 4061D220-001</v>
      </c>
      <c r="O2591" s="2">
        <v>30000</v>
      </c>
      <c r="P2591" t="str">
        <f>"$"</f>
        <v>$</v>
      </c>
      <c r="Q2591" t="str">
        <f>"118"</f>
        <v>118</v>
      </c>
      <c r="R2591" t="str">
        <f>"מערכות"</f>
        <v>מערכות</v>
      </c>
      <c r="S2591" t="str">
        <f>"007"</f>
        <v>007</v>
      </c>
      <c r="T2591" t="str">
        <f>"tabula"</f>
        <v>tabula</v>
      </c>
      <c r="U2591">
        <v>0</v>
      </c>
      <c r="V2591">
        <v>0</v>
      </c>
      <c r="W2591" s="2">
        <v>30000</v>
      </c>
      <c r="X2591" s="2">
        <v>30000</v>
      </c>
      <c r="AA2591">
        <v>1</v>
      </c>
      <c r="AC2591">
        <v>0</v>
      </c>
      <c r="AE2591">
        <v>0</v>
      </c>
      <c r="AF2591">
        <v>0</v>
      </c>
      <c r="AG2591" s="2">
        <v>106740</v>
      </c>
      <c r="AH2591">
        <v>0</v>
      </c>
      <c r="AI2591" s="2">
        <v>106740</v>
      </c>
      <c r="AJ2591" s="2">
        <v>30000</v>
      </c>
      <c r="AK2591" s="2">
        <v>30000</v>
      </c>
      <c r="AL2591" t="str">
        <f>"$"</f>
        <v>$</v>
      </c>
    </row>
    <row r="2592" spans="1:38" x14ac:dyDescent="0.3">
      <c r="A2592" t="str">
        <f>"SO23000273"</f>
        <v>SO23000273</v>
      </c>
      <c r="B2592" t="str">
        <f>"E000396610"</f>
        <v>E000396610</v>
      </c>
      <c r="C2592" t="str">
        <f>"טיוטא"</f>
        <v>טיוטא</v>
      </c>
      <c r="E2592" s="3">
        <v>45090</v>
      </c>
      <c r="F2592" s="3">
        <v>45166</v>
      </c>
      <c r="G2592" t="str">
        <f>"700065"</f>
        <v>700065</v>
      </c>
      <c r="H2592" t="str">
        <f>"אלתא מערכות בע""מ"</f>
        <v>אלתא מערכות בע"מ</v>
      </c>
      <c r="I2592" t="str">
        <f>"רוני דידי"</f>
        <v>רוני דידי</v>
      </c>
      <c r="J2592" t="str">
        <f>"OP-AR00387"</f>
        <v>OP-AR00387</v>
      </c>
      <c r="K2592" s="1" t="str">
        <f>"PDU 4061D220-001"</f>
        <v>PDU 4061D220-001</v>
      </c>
      <c r="L2592">
        <v>1</v>
      </c>
      <c r="M2592" t="str">
        <f>"PR23000391"</f>
        <v>PR23000391</v>
      </c>
      <c r="N2592" t="str">
        <f>"PDU 4061D220-001"</f>
        <v>PDU 4061D220-001</v>
      </c>
      <c r="O2592" s="2">
        <v>30000</v>
      </c>
      <c r="P2592" t="str">
        <f>"$"</f>
        <v>$</v>
      </c>
      <c r="Q2592" t="str">
        <f>"118"</f>
        <v>118</v>
      </c>
      <c r="R2592" t="str">
        <f>"מערכות"</f>
        <v>מערכות</v>
      </c>
      <c r="S2592" t="str">
        <f>"007"</f>
        <v>007</v>
      </c>
      <c r="T2592" t="str">
        <f>"tabula"</f>
        <v>tabula</v>
      </c>
      <c r="U2592">
        <v>0</v>
      </c>
      <c r="V2592">
        <v>0</v>
      </c>
      <c r="W2592" s="2">
        <v>30000</v>
      </c>
      <c r="X2592" s="2">
        <v>30000</v>
      </c>
      <c r="AA2592">
        <v>1</v>
      </c>
      <c r="AC2592">
        <v>0</v>
      </c>
      <c r="AE2592">
        <v>0</v>
      </c>
      <c r="AF2592">
        <v>0</v>
      </c>
      <c r="AG2592" s="2">
        <v>106740</v>
      </c>
      <c r="AH2592">
        <v>0</v>
      </c>
      <c r="AI2592" s="2">
        <v>106740</v>
      </c>
      <c r="AJ2592" s="2">
        <v>30000</v>
      </c>
      <c r="AK2592" s="2">
        <v>30000</v>
      </c>
      <c r="AL2592" t="str">
        <f>"$"</f>
        <v>$</v>
      </c>
    </row>
    <row r="2593" spans="1:38" x14ac:dyDescent="0.3">
      <c r="A2593" t="str">
        <f>"SO23000273"</f>
        <v>SO23000273</v>
      </c>
      <c r="B2593" t="str">
        <f>"E000396610"</f>
        <v>E000396610</v>
      </c>
      <c r="C2593" t="str">
        <f>"טיוטא"</f>
        <v>טיוטא</v>
      </c>
      <c r="E2593" s="3">
        <v>45090</v>
      </c>
      <c r="F2593" s="3">
        <v>45166</v>
      </c>
      <c r="G2593" t="str">
        <f>"700065"</f>
        <v>700065</v>
      </c>
      <c r="H2593" t="str">
        <f>"אלתא מערכות בע""מ"</f>
        <v>אלתא מערכות בע"מ</v>
      </c>
      <c r="I2593" t="str">
        <f>"רוני דידי"</f>
        <v>רוני דידי</v>
      </c>
      <c r="J2593" t="str">
        <f>"OP-AR00387"</f>
        <v>OP-AR00387</v>
      </c>
      <c r="K2593" s="1" t="str">
        <f>"PDU 4061D220-001"</f>
        <v>PDU 4061D220-001</v>
      </c>
      <c r="L2593">
        <v>1</v>
      </c>
      <c r="M2593" t="str">
        <f>"PR23000391"</f>
        <v>PR23000391</v>
      </c>
      <c r="N2593" t="str">
        <f>"PDU 4061D220-001"</f>
        <v>PDU 4061D220-001</v>
      </c>
      <c r="O2593" s="2">
        <v>30000</v>
      </c>
      <c r="P2593" t="str">
        <f>"$"</f>
        <v>$</v>
      </c>
      <c r="Q2593" t="str">
        <f>"118"</f>
        <v>118</v>
      </c>
      <c r="R2593" t="str">
        <f>"מערכות"</f>
        <v>מערכות</v>
      </c>
      <c r="S2593" t="str">
        <f>"007"</f>
        <v>007</v>
      </c>
      <c r="T2593" t="str">
        <f>"tabula"</f>
        <v>tabula</v>
      </c>
      <c r="U2593">
        <v>0</v>
      </c>
      <c r="V2593">
        <v>0</v>
      </c>
      <c r="W2593" s="2">
        <v>30000</v>
      </c>
      <c r="X2593" s="2">
        <v>30000</v>
      </c>
      <c r="AA2593">
        <v>1</v>
      </c>
      <c r="AC2593">
        <v>0</v>
      </c>
      <c r="AE2593">
        <v>0</v>
      </c>
      <c r="AF2593">
        <v>0</v>
      </c>
      <c r="AG2593" s="2">
        <v>106740</v>
      </c>
      <c r="AH2593">
        <v>0</v>
      </c>
      <c r="AI2593" s="2">
        <v>106740</v>
      </c>
      <c r="AJ2593" s="2">
        <v>30000</v>
      </c>
      <c r="AK2593" s="2">
        <v>30000</v>
      </c>
      <c r="AL2593" t="str">
        <f>"$"</f>
        <v>$</v>
      </c>
    </row>
    <row r="2594" spans="1:38" x14ac:dyDescent="0.3">
      <c r="A2594" t="str">
        <f>"SO23000273"</f>
        <v>SO23000273</v>
      </c>
      <c r="B2594" t="str">
        <f>"E000396610"</f>
        <v>E000396610</v>
      </c>
      <c r="C2594" t="str">
        <f>"טיוטא"</f>
        <v>טיוטא</v>
      </c>
      <c r="E2594" s="3">
        <v>45090</v>
      </c>
      <c r="F2594" s="3">
        <v>45166</v>
      </c>
      <c r="G2594" t="str">
        <f>"700065"</f>
        <v>700065</v>
      </c>
      <c r="H2594" t="str">
        <f>"אלתא מערכות בע""מ"</f>
        <v>אלתא מערכות בע"מ</v>
      </c>
      <c r="I2594" t="str">
        <f>"רוני דידי"</f>
        <v>רוני דידי</v>
      </c>
      <c r="J2594" t="str">
        <f>"OP-AR00387"</f>
        <v>OP-AR00387</v>
      </c>
      <c r="K2594" s="1" t="str">
        <f>"PDU 4061D220-001"</f>
        <v>PDU 4061D220-001</v>
      </c>
      <c r="L2594">
        <v>1</v>
      </c>
      <c r="M2594" t="str">
        <f>"PR23000391"</f>
        <v>PR23000391</v>
      </c>
      <c r="N2594" t="str">
        <f>"PDU 4061D220-001"</f>
        <v>PDU 4061D220-001</v>
      </c>
      <c r="O2594" s="2">
        <v>30000</v>
      </c>
      <c r="P2594" t="str">
        <f>"$"</f>
        <v>$</v>
      </c>
      <c r="Q2594" t="str">
        <f>"118"</f>
        <v>118</v>
      </c>
      <c r="R2594" t="str">
        <f>"מערכות"</f>
        <v>מערכות</v>
      </c>
      <c r="S2594" t="str">
        <f>"007"</f>
        <v>007</v>
      </c>
      <c r="T2594" t="str">
        <f>"tabula"</f>
        <v>tabula</v>
      </c>
      <c r="U2594">
        <v>0</v>
      </c>
      <c r="V2594">
        <v>0</v>
      </c>
      <c r="W2594" s="2">
        <v>30000</v>
      </c>
      <c r="X2594" s="2">
        <v>30000</v>
      </c>
      <c r="AA2594">
        <v>1</v>
      </c>
      <c r="AC2594">
        <v>0</v>
      </c>
      <c r="AE2594">
        <v>0</v>
      </c>
      <c r="AF2594">
        <v>0</v>
      </c>
      <c r="AG2594" s="2">
        <v>106740</v>
      </c>
      <c r="AH2594">
        <v>0</v>
      </c>
      <c r="AI2594" s="2">
        <v>106740</v>
      </c>
      <c r="AJ2594" s="2">
        <v>30000</v>
      </c>
      <c r="AK2594" s="2">
        <v>30000</v>
      </c>
      <c r="AL2594" t="str">
        <f>"$"</f>
        <v>$</v>
      </c>
    </row>
    <row r="2595" spans="1:38" x14ac:dyDescent="0.3">
      <c r="A2595" t="str">
        <f>"SO23000273"</f>
        <v>SO23000273</v>
      </c>
      <c r="B2595" t="str">
        <f>"E000396610"</f>
        <v>E000396610</v>
      </c>
      <c r="C2595" t="str">
        <f>"טיוטא"</f>
        <v>טיוטא</v>
      </c>
      <c r="E2595" s="3">
        <v>45090</v>
      </c>
      <c r="F2595" s="3">
        <v>45166</v>
      </c>
      <c r="G2595" t="str">
        <f>"700065"</f>
        <v>700065</v>
      </c>
      <c r="H2595" t="str">
        <f>"אלתא מערכות בע""מ"</f>
        <v>אלתא מערכות בע"מ</v>
      </c>
      <c r="I2595" t="str">
        <f>"רוני דידי"</f>
        <v>רוני דידי</v>
      </c>
      <c r="J2595" t="str">
        <f>"OP-AR00387"</f>
        <v>OP-AR00387</v>
      </c>
      <c r="K2595" s="1" t="str">
        <f>"PDU 4061D220-001"</f>
        <v>PDU 4061D220-001</v>
      </c>
      <c r="L2595">
        <v>1</v>
      </c>
      <c r="M2595" t="str">
        <f>"PR23000391"</f>
        <v>PR23000391</v>
      </c>
      <c r="N2595" t="str">
        <f>"PDU 4061D220-001"</f>
        <v>PDU 4061D220-001</v>
      </c>
      <c r="O2595" s="2">
        <v>30000</v>
      </c>
      <c r="P2595" t="str">
        <f>"$"</f>
        <v>$</v>
      </c>
      <c r="Q2595" t="str">
        <f>"118"</f>
        <v>118</v>
      </c>
      <c r="R2595" t="str">
        <f>"מערכות"</f>
        <v>מערכות</v>
      </c>
      <c r="S2595" t="str">
        <f>"007"</f>
        <v>007</v>
      </c>
      <c r="T2595" t="str">
        <f>"tabula"</f>
        <v>tabula</v>
      </c>
      <c r="U2595">
        <v>0</v>
      </c>
      <c r="V2595">
        <v>0</v>
      </c>
      <c r="W2595" s="2">
        <v>30000</v>
      </c>
      <c r="X2595" s="2">
        <v>30000</v>
      </c>
      <c r="AA2595">
        <v>1</v>
      </c>
      <c r="AC2595">
        <v>0</v>
      </c>
      <c r="AE2595">
        <v>0</v>
      </c>
      <c r="AF2595">
        <v>0</v>
      </c>
      <c r="AG2595" s="2">
        <v>106740</v>
      </c>
      <c r="AH2595">
        <v>0</v>
      </c>
      <c r="AI2595" s="2">
        <v>106740</v>
      </c>
      <c r="AJ2595" s="2">
        <v>30000</v>
      </c>
      <c r="AK2595" s="2">
        <v>30000</v>
      </c>
      <c r="AL2595" t="str">
        <f>"$"</f>
        <v>$</v>
      </c>
    </row>
    <row r="2596" spans="1:38" x14ac:dyDescent="0.3">
      <c r="A2596" t="str">
        <f>"SO23000273"</f>
        <v>SO23000273</v>
      </c>
      <c r="B2596" t="str">
        <f>"E000396610"</f>
        <v>E000396610</v>
      </c>
      <c r="C2596" t="str">
        <f>"טיוטא"</f>
        <v>טיוטא</v>
      </c>
      <c r="E2596" s="3">
        <v>45090</v>
      </c>
      <c r="F2596" s="3">
        <v>45166</v>
      </c>
      <c r="G2596" t="str">
        <f>"700065"</f>
        <v>700065</v>
      </c>
      <c r="H2596" t="str">
        <f>"אלתא מערכות בע""מ"</f>
        <v>אלתא מערכות בע"מ</v>
      </c>
      <c r="I2596" t="str">
        <f>"רוני דידי"</f>
        <v>רוני דידי</v>
      </c>
      <c r="J2596" t="str">
        <f>"OP-AR00387"</f>
        <v>OP-AR00387</v>
      </c>
      <c r="K2596" s="1" t="str">
        <f>"PDU 4061D220-001"</f>
        <v>PDU 4061D220-001</v>
      </c>
      <c r="L2596">
        <v>1</v>
      </c>
      <c r="M2596" t="str">
        <f>"PR23000391"</f>
        <v>PR23000391</v>
      </c>
      <c r="N2596" t="str">
        <f>"PDU 4061D220-001"</f>
        <v>PDU 4061D220-001</v>
      </c>
      <c r="O2596" s="2">
        <v>30000</v>
      </c>
      <c r="P2596" t="str">
        <f>"$"</f>
        <v>$</v>
      </c>
      <c r="Q2596" t="str">
        <f>"118"</f>
        <v>118</v>
      </c>
      <c r="R2596" t="str">
        <f>"מערכות"</f>
        <v>מערכות</v>
      </c>
      <c r="S2596" t="str">
        <f>"007"</f>
        <v>007</v>
      </c>
      <c r="T2596" t="str">
        <f>"tabula"</f>
        <v>tabula</v>
      </c>
      <c r="U2596">
        <v>0</v>
      </c>
      <c r="V2596">
        <v>0</v>
      </c>
      <c r="W2596" s="2">
        <v>30000</v>
      </c>
      <c r="X2596" s="2">
        <v>30000</v>
      </c>
      <c r="AA2596">
        <v>1</v>
      </c>
      <c r="AC2596">
        <v>0</v>
      </c>
      <c r="AE2596">
        <v>0</v>
      </c>
      <c r="AF2596">
        <v>0</v>
      </c>
      <c r="AG2596" s="2">
        <v>106740</v>
      </c>
      <c r="AH2596">
        <v>0</v>
      </c>
      <c r="AI2596" s="2">
        <v>106740</v>
      </c>
      <c r="AJ2596" s="2">
        <v>30000</v>
      </c>
      <c r="AK2596" s="2">
        <v>30000</v>
      </c>
      <c r="AL2596" t="str">
        <f>"$"</f>
        <v>$</v>
      </c>
    </row>
    <row r="2597" spans="1:38" x14ac:dyDescent="0.3">
      <c r="A2597" t="str">
        <f>"SO23000273"</f>
        <v>SO23000273</v>
      </c>
      <c r="B2597" t="str">
        <f>"E000396610"</f>
        <v>E000396610</v>
      </c>
      <c r="C2597" t="str">
        <f>"טיוטא"</f>
        <v>טיוטא</v>
      </c>
      <c r="E2597" s="3">
        <v>45090</v>
      </c>
      <c r="F2597" s="3">
        <v>45166</v>
      </c>
      <c r="G2597" t="str">
        <f>"700065"</f>
        <v>700065</v>
      </c>
      <c r="H2597" t="str">
        <f>"אלתא מערכות בע""מ"</f>
        <v>אלתא מערכות בע"מ</v>
      </c>
      <c r="I2597" t="str">
        <f>"רוני דידי"</f>
        <v>רוני דידי</v>
      </c>
      <c r="J2597" t="str">
        <f>"OP-AR00387"</f>
        <v>OP-AR00387</v>
      </c>
      <c r="K2597" s="1" t="str">
        <f>"PDU 4061D220-001"</f>
        <v>PDU 4061D220-001</v>
      </c>
      <c r="L2597">
        <v>1</v>
      </c>
      <c r="M2597" t="str">
        <f>"PR23000391"</f>
        <v>PR23000391</v>
      </c>
      <c r="N2597" t="str">
        <f>"PDU 4061D220-001"</f>
        <v>PDU 4061D220-001</v>
      </c>
      <c r="O2597" s="2">
        <v>30000</v>
      </c>
      <c r="P2597" t="str">
        <f>"$"</f>
        <v>$</v>
      </c>
      <c r="Q2597" t="str">
        <f>"118"</f>
        <v>118</v>
      </c>
      <c r="R2597" t="str">
        <f>"מערכות"</f>
        <v>מערכות</v>
      </c>
      <c r="S2597" t="str">
        <f>"007"</f>
        <v>007</v>
      </c>
      <c r="T2597" t="str">
        <f>"tabula"</f>
        <v>tabula</v>
      </c>
      <c r="U2597">
        <v>0</v>
      </c>
      <c r="V2597">
        <v>0</v>
      </c>
      <c r="W2597" s="2">
        <v>30000</v>
      </c>
      <c r="X2597" s="2">
        <v>30000</v>
      </c>
      <c r="AA2597">
        <v>1</v>
      </c>
      <c r="AC2597">
        <v>0</v>
      </c>
      <c r="AE2597">
        <v>0</v>
      </c>
      <c r="AF2597">
        <v>0</v>
      </c>
      <c r="AG2597" s="2">
        <v>106740</v>
      </c>
      <c r="AH2597">
        <v>0</v>
      </c>
      <c r="AI2597" s="2">
        <v>106740</v>
      </c>
      <c r="AJ2597" s="2">
        <v>30000</v>
      </c>
      <c r="AK2597" s="2">
        <v>30000</v>
      </c>
      <c r="AL2597" t="str">
        <f>"$"</f>
        <v>$</v>
      </c>
    </row>
    <row r="2598" spans="1:38" x14ac:dyDescent="0.3">
      <c r="A2598" t="str">
        <f>"SO23000273"</f>
        <v>SO23000273</v>
      </c>
      <c r="B2598" t="str">
        <f>"E000396610"</f>
        <v>E000396610</v>
      </c>
      <c r="C2598" t="str">
        <f>"טיוטא"</f>
        <v>טיוטא</v>
      </c>
      <c r="E2598" s="3">
        <v>45090</v>
      </c>
      <c r="F2598" s="3">
        <v>45166</v>
      </c>
      <c r="G2598" t="str">
        <f>"700065"</f>
        <v>700065</v>
      </c>
      <c r="H2598" t="str">
        <f>"אלתא מערכות בע""מ"</f>
        <v>אלתא מערכות בע"מ</v>
      </c>
      <c r="I2598" t="str">
        <f>"רוני דידי"</f>
        <v>רוני דידי</v>
      </c>
      <c r="J2598" t="str">
        <f>"OP-AR00387"</f>
        <v>OP-AR00387</v>
      </c>
      <c r="K2598" s="1" t="str">
        <f>"PDU 4061D220-001"</f>
        <v>PDU 4061D220-001</v>
      </c>
      <c r="L2598">
        <v>1</v>
      </c>
      <c r="M2598" t="str">
        <f>"PR23000391"</f>
        <v>PR23000391</v>
      </c>
      <c r="N2598" t="str">
        <f>"PDU 4061D220-001"</f>
        <v>PDU 4061D220-001</v>
      </c>
      <c r="O2598" s="2">
        <v>30000</v>
      </c>
      <c r="P2598" t="str">
        <f>"$"</f>
        <v>$</v>
      </c>
      <c r="Q2598" t="str">
        <f>"118"</f>
        <v>118</v>
      </c>
      <c r="R2598" t="str">
        <f>"מערכות"</f>
        <v>מערכות</v>
      </c>
      <c r="S2598" t="str">
        <f>"007"</f>
        <v>007</v>
      </c>
      <c r="T2598" t="str">
        <f>"tabula"</f>
        <v>tabula</v>
      </c>
      <c r="U2598">
        <v>0</v>
      </c>
      <c r="V2598">
        <v>0</v>
      </c>
      <c r="W2598" s="2">
        <v>30000</v>
      </c>
      <c r="X2598" s="2">
        <v>30000</v>
      </c>
      <c r="AA2598">
        <v>1</v>
      </c>
      <c r="AC2598">
        <v>0</v>
      </c>
      <c r="AE2598">
        <v>0</v>
      </c>
      <c r="AF2598">
        <v>0</v>
      </c>
      <c r="AG2598" s="2">
        <v>106740</v>
      </c>
      <c r="AH2598">
        <v>0</v>
      </c>
      <c r="AI2598" s="2">
        <v>106740</v>
      </c>
      <c r="AJ2598" s="2">
        <v>30000</v>
      </c>
      <c r="AK2598" s="2">
        <v>30000</v>
      </c>
      <c r="AL2598" t="str">
        <f>"$"</f>
        <v>$</v>
      </c>
    </row>
    <row r="2599" spans="1:38" x14ac:dyDescent="0.3">
      <c r="A2599" t="str">
        <f>"SO23000273"</f>
        <v>SO23000273</v>
      </c>
      <c r="B2599" t="str">
        <f>"E000396610"</f>
        <v>E000396610</v>
      </c>
      <c r="C2599" t="str">
        <f>"טיוטא"</f>
        <v>טיוטא</v>
      </c>
      <c r="E2599" s="3">
        <v>45090</v>
      </c>
      <c r="F2599" s="3">
        <v>45166</v>
      </c>
      <c r="G2599" t="str">
        <f>"700065"</f>
        <v>700065</v>
      </c>
      <c r="H2599" t="str">
        <f>"אלתא מערכות בע""מ"</f>
        <v>אלתא מערכות בע"מ</v>
      </c>
      <c r="I2599" t="str">
        <f>"רוני דידי"</f>
        <v>רוני דידי</v>
      </c>
      <c r="J2599" t="str">
        <f>"OP-AR00387"</f>
        <v>OP-AR00387</v>
      </c>
      <c r="K2599" s="1" t="str">
        <f>"PDU 4061D220-001"</f>
        <v>PDU 4061D220-001</v>
      </c>
      <c r="L2599">
        <v>1</v>
      </c>
      <c r="M2599" t="str">
        <f>"PR23000391"</f>
        <v>PR23000391</v>
      </c>
      <c r="N2599" t="str">
        <f>"PDU 4061D220-001"</f>
        <v>PDU 4061D220-001</v>
      </c>
      <c r="O2599" s="2">
        <v>30000</v>
      </c>
      <c r="P2599" t="str">
        <f>"$"</f>
        <v>$</v>
      </c>
      <c r="Q2599" t="str">
        <f>"118"</f>
        <v>118</v>
      </c>
      <c r="R2599" t="str">
        <f>"מערכות"</f>
        <v>מערכות</v>
      </c>
      <c r="S2599" t="str">
        <f>"007"</f>
        <v>007</v>
      </c>
      <c r="T2599" t="str">
        <f>"tabula"</f>
        <v>tabula</v>
      </c>
      <c r="U2599">
        <v>0</v>
      </c>
      <c r="V2599">
        <v>0</v>
      </c>
      <c r="W2599" s="2">
        <v>30000</v>
      </c>
      <c r="X2599" s="2">
        <v>30000</v>
      </c>
      <c r="AA2599">
        <v>1</v>
      </c>
      <c r="AC2599">
        <v>0</v>
      </c>
      <c r="AE2599">
        <v>0</v>
      </c>
      <c r="AF2599">
        <v>0</v>
      </c>
      <c r="AG2599" s="2">
        <v>106740</v>
      </c>
      <c r="AH2599">
        <v>0</v>
      </c>
      <c r="AI2599" s="2">
        <v>106740</v>
      </c>
      <c r="AJ2599" s="2">
        <v>30000</v>
      </c>
      <c r="AK2599" s="2">
        <v>30000</v>
      </c>
      <c r="AL2599" t="str">
        <f>"$"</f>
        <v>$</v>
      </c>
    </row>
    <row r="2600" spans="1:38" x14ac:dyDescent="0.3">
      <c r="A2600" t="str">
        <f>"SO23000273"</f>
        <v>SO23000273</v>
      </c>
      <c r="B2600" t="str">
        <f>"E000396610"</f>
        <v>E000396610</v>
      </c>
      <c r="C2600" t="str">
        <f>"טיוטא"</f>
        <v>טיוטא</v>
      </c>
      <c r="E2600" s="3">
        <v>45090</v>
      </c>
      <c r="F2600" s="3">
        <v>45166</v>
      </c>
      <c r="G2600" t="str">
        <f>"700065"</f>
        <v>700065</v>
      </c>
      <c r="H2600" t="str">
        <f>"אלתא מערכות בע""מ"</f>
        <v>אלתא מערכות בע"מ</v>
      </c>
      <c r="I2600" t="str">
        <f>"רוני דידי"</f>
        <v>רוני דידי</v>
      </c>
      <c r="J2600" t="str">
        <f>"OP-AR00387"</f>
        <v>OP-AR00387</v>
      </c>
      <c r="K2600" s="1" t="str">
        <f>"PDU 4061D220-001"</f>
        <v>PDU 4061D220-001</v>
      </c>
      <c r="L2600">
        <v>1</v>
      </c>
      <c r="M2600" t="str">
        <f>"PR23000391"</f>
        <v>PR23000391</v>
      </c>
      <c r="N2600" t="str">
        <f>"PDU 4061D220-001"</f>
        <v>PDU 4061D220-001</v>
      </c>
      <c r="O2600" s="2">
        <v>30000</v>
      </c>
      <c r="P2600" t="str">
        <f>"$"</f>
        <v>$</v>
      </c>
      <c r="Q2600" t="str">
        <f>"118"</f>
        <v>118</v>
      </c>
      <c r="R2600" t="str">
        <f>"מערכות"</f>
        <v>מערכות</v>
      </c>
      <c r="S2600" t="str">
        <f>"007"</f>
        <v>007</v>
      </c>
      <c r="T2600" t="str">
        <f>"tabula"</f>
        <v>tabula</v>
      </c>
      <c r="U2600">
        <v>0</v>
      </c>
      <c r="V2600">
        <v>0</v>
      </c>
      <c r="W2600" s="2">
        <v>30000</v>
      </c>
      <c r="X2600" s="2">
        <v>30000</v>
      </c>
      <c r="AA2600">
        <v>1</v>
      </c>
      <c r="AC2600">
        <v>0</v>
      </c>
      <c r="AE2600">
        <v>0</v>
      </c>
      <c r="AF2600">
        <v>0</v>
      </c>
      <c r="AG2600" s="2">
        <v>106740</v>
      </c>
      <c r="AH2600">
        <v>0</v>
      </c>
      <c r="AI2600" s="2">
        <v>106740</v>
      </c>
      <c r="AJ2600" s="2">
        <v>30000</v>
      </c>
      <c r="AK2600" s="2">
        <v>30000</v>
      </c>
      <c r="AL2600" t="str">
        <f>"$"</f>
        <v>$</v>
      </c>
    </row>
    <row r="2601" spans="1:38" x14ac:dyDescent="0.3">
      <c r="A2601" t="str">
        <f>"SO23000273"</f>
        <v>SO23000273</v>
      </c>
      <c r="B2601" t="str">
        <f>"E000396610"</f>
        <v>E000396610</v>
      </c>
      <c r="C2601" t="str">
        <f>"טיוטא"</f>
        <v>טיוטא</v>
      </c>
      <c r="E2601" s="3">
        <v>45090</v>
      </c>
      <c r="F2601" s="3">
        <v>45166</v>
      </c>
      <c r="G2601" t="str">
        <f>"700065"</f>
        <v>700065</v>
      </c>
      <c r="H2601" t="str">
        <f>"אלתא מערכות בע""מ"</f>
        <v>אלתא מערכות בע"מ</v>
      </c>
      <c r="I2601" t="str">
        <f>"רוני דידי"</f>
        <v>רוני דידי</v>
      </c>
      <c r="J2601" t="str">
        <f>"OP-AR00387"</f>
        <v>OP-AR00387</v>
      </c>
      <c r="K2601" s="1" t="str">
        <f>"PDU 4061D220-001"</f>
        <v>PDU 4061D220-001</v>
      </c>
      <c r="L2601">
        <v>1</v>
      </c>
      <c r="M2601" t="str">
        <f>"PR23000391"</f>
        <v>PR23000391</v>
      </c>
      <c r="N2601" t="str">
        <f>"PDU 4061D220-001"</f>
        <v>PDU 4061D220-001</v>
      </c>
      <c r="O2601" s="2">
        <v>30000</v>
      </c>
      <c r="P2601" t="str">
        <f>"$"</f>
        <v>$</v>
      </c>
      <c r="Q2601" t="str">
        <f>"118"</f>
        <v>118</v>
      </c>
      <c r="R2601" t="str">
        <f>"מערכות"</f>
        <v>מערכות</v>
      </c>
      <c r="S2601" t="str">
        <f>"007"</f>
        <v>007</v>
      </c>
      <c r="T2601" t="str">
        <f>"tabula"</f>
        <v>tabula</v>
      </c>
      <c r="U2601">
        <v>0</v>
      </c>
      <c r="V2601">
        <v>0</v>
      </c>
      <c r="W2601" s="2">
        <v>30000</v>
      </c>
      <c r="X2601" s="2">
        <v>30000</v>
      </c>
      <c r="AA2601">
        <v>1</v>
      </c>
      <c r="AC2601">
        <v>0</v>
      </c>
      <c r="AE2601">
        <v>0</v>
      </c>
      <c r="AF2601">
        <v>0</v>
      </c>
      <c r="AG2601" s="2">
        <v>106740</v>
      </c>
      <c r="AH2601">
        <v>0</v>
      </c>
      <c r="AI2601" s="2">
        <v>106740</v>
      </c>
      <c r="AJ2601" s="2">
        <v>30000</v>
      </c>
      <c r="AK2601" s="2">
        <v>30000</v>
      </c>
      <c r="AL2601" t="str">
        <f>"$"</f>
        <v>$</v>
      </c>
    </row>
    <row r="2602" spans="1:38" x14ac:dyDescent="0.3">
      <c r="A2602" t="str">
        <f>"SO23000274"</f>
        <v>SO23000274</v>
      </c>
      <c r="B2602" t="str">
        <f>"E000396820"</f>
        <v>E000396820</v>
      </c>
      <c r="C2602" t="str">
        <f>"הרכבה חלקית"</f>
        <v>הרכבה חלקית</v>
      </c>
      <c r="E2602" s="3">
        <v>45091</v>
      </c>
      <c r="F2602" s="3">
        <v>45091</v>
      </c>
      <c r="G2602" t="str">
        <f>"700065"</f>
        <v>700065</v>
      </c>
      <c r="H2602" t="str">
        <f>"אלתא מערכות בע""מ"</f>
        <v>אלתא מערכות בע"מ</v>
      </c>
      <c r="I2602" t="str">
        <f>"רוני דידי"</f>
        <v>רוני דידי</v>
      </c>
      <c r="J2602" t="str">
        <f>"000"</f>
        <v>000</v>
      </c>
      <c r="K2602" s="1" t="str">
        <f>"עדכון תכן 6930H850-001"</f>
        <v>עדכון תכן 6930H850-001</v>
      </c>
      <c r="L2602">
        <v>1</v>
      </c>
      <c r="M2602" t="str">
        <f>"PR22000280"</f>
        <v>PR22000280</v>
      </c>
      <c r="N2602" t="str">
        <f>"OP-ML00215 - M – PDU ראשי"</f>
        <v>OP-ML00215 - M – PDU ראשי</v>
      </c>
      <c r="O2602" s="2">
        <v>5600</v>
      </c>
      <c r="P2602" t="str">
        <f>"$"</f>
        <v>$</v>
      </c>
      <c r="Q2602" t="str">
        <f>"118"</f>
        <v>118</v>
      </c>
      <c r="R2602" t="str">
        <f>"מערכות"</f>
        <v>מערכות</v>
      </c>
      <c r="S2602" t="str">
        <f>"007"</f>
        <v>007</v>
      </c>
      <c r="T2602" t="str">
        <f>"גנם הודיה"</f>
        <v>גנם הודיה</v>
      </c>
      <c r="U2602">
        <v>0</v>
      </c>
      <c r="V2602">
        <v>0</v>
      </c>
      <c r="W2602" s="2">
        <v>5600</v>
      </c>
      <c r="X2602" s="2">
        <v>5600</v>
      </c>
      <c r="AA2602">
        <v>1</v>
      </c>
      <c r="AC2602">
        <v>0</v>
      </c>
      <c r="AE2602">
        <v>0</v>
      </c>
      <c r="AF2602">
        <v>0</v>
      </c>
      <c r="AG2602" s="2">
        <v>20244</v>
      </c>
      <c r="AH2602">
        <v>0</v>
      </c>
      <c r="AI2602" s="2">
        <v>20244</v>
      </c>
      <c r="AJ2602" s="2">
        <v>5600</v>
      </c>
      <c r="AK2602" s="2">
        <v>5600</v>
      </c>
      <c r="AL2602" t="str">
        <f>"$"</f>
        <v>$</v>
      </c>
    </row>
    <row r="2603" spans="1:38" x14ac:dyDescent="0.3">
      <c r="A2603" t="str">
        <f>"SO23000274"</f>
        <v>SO23000274</v>
      </c>
      <c r="B2603" t="str">
        <f>"E000396820"</f>
        <v>E000396820</v>
      </c>
      <c r="C2603" t="str">
        <f>"הרכבה חלקית"</f>
        <v>הרכבה חלקית</v>
      </c>
      <c r="E2603" s="3">
        <v>45091</v>
      </c>
      <c r="F2603" s="3">
        <v>45238</v>
      </c>
      <c r="G2603" t="str">
        <f>"700065"</f>
        <v>700065</v>
      </c>
      <c r="H2603" t="str">
        <f>"אלתא מערכות בע""מ"</f>
        <v>אלתא מערכות בע"מ</v>
      </c>
      <c r="I2603" t="str">
        <f>"רוני דידי"</f>
        <v>רוני דידי</v>
      </c>
      <c r="J2603" t="str">
        <f>"CUSTML00215"</f>
        <v>CUSTML00215</v>
      </c>
      <c r="K2603" s="1" t="str">
        <f>"M - PDU מק""ט 6930H850-001-שדרוג"</f>
        <v>M - PDU מק"ט 6930H850-001-שדרוג</v>
      </c>
      <c r="L2603">
        <v>15</v>
      </c>
      <c r="M2603" t="str">
        <f>"PR22000280"</f>
        <v>PR22000280</v>
      </c>
      <c r="N2603" t="str">
        <f>"OP-ML00215 - M – PDU ראשי"</f>
        <v>OP-ML00215 - M – PDU ראשי</v>
      </c>
      <c r="O2603" s="2">
        <v>2450</v>
      </c>
      <c r="P2603" t="str">
        <f>"$"</f>
        <v>$</v>
      </c>
      <c r="Q2603" t="str">
        <f>"118"</f>
        <v>118</v>
      </c>
      <c r="R2603" t="str">
        <f>"מערכות"</f>
        <v>מערכות</v>
      </c>
      <c r="S2603" t="str">
        <f>"007"</f>
        <v>007</v>
      </c>
      <c r="T2603" t="str">
        <f>"גנם הודיה"</f>
        <v>גנם הודיה</v>
      </c>
      <c r="U2603">
        <v>0</v>
      </c>
      <c r="V2603">
        <v>632.41999999999996</v>
      </c>
      <c r="W2603" s="2">
        <v>2450</v>
      </c>
      <c r="X2603" s="2">
        <v>36750</v>
      </c>
      <c r="AA2603">
        <v>10</v>
      </c>
      <c r="AC2603">
        <v>0</v>
      </c>
      <c r="AE2603">
        <v>0</v>
      </c>
      <c r="AF2603" s="2">
        <v>2450</v>
      </c>
      <c r="AG2603" s="2">
        <v>8856.75</v>
      </c>
      <c r="AH2603">
        <v>632.41999999999996</v>
      </c>
      <c r="AI2603" s="2">
        <v>132851.25</v>
      </c>
      <c r="AJ2603" s="2">
        <v>36750</v>
      </c>
      <c r="AK2603" s="2">
        <v>36750</v>
      </c>
      <c r="AL2603" t="str">
        <f>"$"</f>
        <v>$</v>
      </c>
    </row>
    <row r="2604" spans="1:38" x14ac:dyDescent="0.3">
      <c r="A2604" t="str">
        <f>"SO23000275"</f>
        <v>SO23000275</v>
      </c>
      <c r="B2604" t="str">
        <f>"E000396800"</f>
        <v>E000396800</v>
      </c>
      <c r="C2604" t="str">
        <f>"בוצעה"</f>
        <v>בוצעה</v>
      </c>
      <c r="E2604" s="3">
        <v>45091</v>
      </c>
      <c r="F2604" s="3">
        <v>45091</v>
      </c>
      <c r="G2604" t="str">
        <f>"700065"</f>
        <v>700065</v>
      </c>
      <c r="H2604" t="str">
        <f>"אלתא מערכות בע""מ"</f>
        <v>אלתא מערכות בע"מ</v>
      </c>
      <c r="I2604" t="str">
        <f>"רחמים זרוק"</f>
        <v>רחמים זרוק</v>
      </c>
      <c r="J2604" t="str">
        <f>"OP-AR03335"</f>
        <v>OP-AR03335</v>
      </c>
      <c r="K2604" s="1" t="str">
        <f>"1041G802-001    CONTROL KVM NOVA (W802)"</f>
        <v>1041G802-001    CONTROL KVM NOVA (W802)</v>
      </c>
      <c r="L2604">
        <v>1</v>
      </c>
      <c r="M2604" t="str">
        <f>"PR23000386"</f>
        <v>PR23000386</v>
      </c>
      <c r="N2604" t="str">
        <f>"E000396800"</f>
        <v>E000396800</v>
      </c>
      <c r="O2604">
        <v>585.62</v>
      </c>
      <c r="P2604" t="str">
        <f>"$"</f>
        <v>$</v>
      </c>
      <c r="Q2604" t="str">
        <f>"117"</f>
        <v>117</v>
      </c>
      <c r="R2604" t="str">
        <f>"רתמות"</f>
        <v>רתמות</v>
      </c>
      <c r="S2604" t="str">
        <f>"040"</f>
        <v>040</v>
      </c>
      <c r="T2604" t="str">
        <f>"גנם הודיה"</f>
        <v>גנם הודיה</v>
      </c>
      <c r="U2604">
        <v>0</v>
      </c>
      <c r="V2604">
        <v>0</v>
      </c>
      <c r="W2604">
        <v>585.62</v>
      </c>
      <c r="X2604">
        <v>585.62</v>
      </c>
      <c r="Z2604" t="str">
        <f>"Y"</f>
        <v>Y</v>
      </c>
      <c r="AA2604">
        <v>0</v>
      </c>
      <c r="AC2604">
        <v>0</v>
      </c>
      <c r="AE2604">
        <v>0</v>
      </c>
      <c r="AF2604">
        <v>0</v>
      </c>
      <c r="AG2604" s="2">
        <v>2117.02</v>
      </c>
      <c r="AH2604">
        <v>0</v>
      </c>
      <c r="AI2604" s="2">
        <v>2117.02</v>
      </c>
      <c r="AJ2604">
        <v>585.62</v>
      </c>
      <c r="AK2604">
        <v>585.62</v>
      </c>
      <c r="AL2604" t="str">
        <f>"$"</f>
        <v>$</v>
      </c>
    </row>
    <row r="2605" spans="1:38" x14ac:dyDescent="0.3">
      <c r="A2605" t="str">
        <f>"SO23000281"</f>
        <v>SO23000281</v>
      </c>
      <c r="B2605" t="str">
        <f>"E000395926"</f>
        <v>E000395926</v>
      </c>
      <c r="C2605" t="str">
        <f>"מאושרת לחיוב"</f>
        <v>מאושרת לחיוב</v>
      </c>
      <c r="E2605" s="3">
        <v>45096</v>
      </c>
      <c r="F2605" s="3">
        <v>45096</v>
      </c>
      <c r="G2605" t="str">
        <f>"700065"</f>
        <v>700065</v>
      </c>
      <c r="H2605" t="str">
        <f>"אלתא מערכות בע""מ"</f>
        <v>אלתא מערכות בע"מ</v>
      </c>
      <c r="I2605" t="str">
        <f>"רוני דידי"</f>
        <v>רוני דידי</v>
      </c>
      <c r="J2605" t="str">
        <f>"PD0300543"</f>
        <v>PD0300543</v>
      </c>
      <c r="K2605" s="1" t="str">
        <f>"מעבד מוקשח BMEP581020H M580"</f>
        <v>מעבד מוקשח BMEP581020H M580</v>
      </c>
      <c r="L2605">
        <v>2</v>
      </c>
      <c r="M2605" t="str">
        <f>"PR23000390"</f>
        <v>PR23000390</v>
      </c>
      <c r="N2605" t="str">
        <f>"ח""ח E000395926"</f>
        <v>ח"ח E000395926</v>
      </c>
      <c r="O2605" s="2">
        <v>1904.79</v>
      </c>
      <c r="P2605" t="str">
        <f>"EUR"</f>
        <v>EUR</v>
      </c>
      <c r="Q2605" t="str">
        <f>"112"</f>
        <v>112</v>
      </c>
      <c r="R2605" t="str">
        <f>"תיקון תקלות"</f>
        <v>תיקון תקלות</v>
      </c>
      <c r="S2605" t="str">
        <f>"007"</f>
        <v>007</v>
      </c>
      <c r="T2605" t="str">
        <f>"גנם הודיה"</f>
        <v>גנם הודיה</v>
      </c>
      <c r="U2605">
        <v>0</v>
      </c>
      <c r="V2605">
        <v>0</v>
      </c>
      <c r="W2605" s="2">
        <v>1743.86</v>
      </c>
      <c r="X2605" s="2">
        <v>3809.57</v>
      </c>
      <c r="AA2605">
        <v>2</v>
      </c>
      <c r="AC2605">
        <v>0</v>
      </c>
      <c r="AE2605">
        <v>0</v>
      </c>
      <c r="AF2605">
        <v>0</v>
      </c>
      <c r="AG2605" s="2">
        <v>6861.04</v>
      </c>
      <c r="AH2605">
        <v>0</v>
      </c>
      <c r="AI2605" s="2">
        <v>13722.09</v>
      </c>
      <c r="AJ2605" s="2">
        <v>3487.72</v>
      </c>
      <c r="AK2605" s="2">
        <v>3487.72</v>
      </c>
      <c r="AL2605" t="str">
        <f>"EUR"</f>
        <v>EUR</v>
      </c>
    </row>
    <row r="2606" spans="1:38" x14ac:dyDescent="0.3">
      <c r="A2606" t="str">
        <f>"SO23000281"</f>
        <v>SO23000281</v>
      </c>
      <c r="B2606" t="str">
        <f>"E000395926"</f>
        <v>E000395926</v>
      </c>
      <c r="C2606" t="str">
        <f>"מאושרת לחיוב"</f>
        <v>מאושרת לחיוב</v>
      </c>
      <c r="E2606" s="3">
        <v>45096</v>
      </c>
      <c r="F2606" s="3">
        <v>45096</v>
      </c>
      <c r="G2606" t="str">
        <f>"700065"</f>
        <v>700065</v>
      </c>
      <c r="H2606" t="str">
        <f>"אלתא מערכות בע""מ"</f>
        <v>אלתא מערכות בע"מ</v>
      </c>
      <c r="I2606" t="str">
        <f>"רוני דידי"</f>
        <v>רוני דידי</v>
      </c>
      <c r="J2606" t="str">
        <f>"PD0300492"</f>
        <v>PD0300492</v>
      </c>
      <c r="K2606" s="1" t="str">
        <f>"BMXAMI0810H – מודול אנלוגי 8 כניסות"</f>
        <v>BMXAMI0810H – מודול אנלוגי 8 כניסות</v>
      </c>
      <c r="L2606">
        <v>3</v>
      </c>
      <c r="M2606" t="str">
        <f>"PR23000390"</f>
        <v>PR23000390</v>
      </c>
      <c r="N2606" t="str">
        <f>"ח""ח E000395926"</f>
        <v>ח"ח E000395926</v>
      </c>
      <c r="O2606">
        <v>757.67</v>
      </c>
      <c r="P2606" t="str">
        <f>"EUR"</f>
        <v>EUR</v>
      </c>
      <c r="Q2606" t="str">
        <f>"112"</f>
        <v>112</v>
      </c>
      <c r="R2606" t="str">
        <f>"תיקון תקלות"</f>
        <v>תיקון תקלות</v>
      </c>
      <c r="S2606" t="str">
        <f>"007"</f>
        <v>007</v>
      </c>
      <c r="T2606" t="str">
        <f>"גנם הודיה"</f>
        <v>גנם הודיה</v>
      </c>
      <c r="U2606">
        <v>0</v>
      </c>
      <c r="V2606">
        <v>0</v>
      </c>
      <c r="W2606">
        <v>693.66</v>
      </c>
      <c r="X2606" s="2">
        <v>2273.02</v>
      </c>
      <c r="AA2606">
        <v>3</v>
      </c>
      <c r="AC2606">
        <v>0</v>
      </c>
      <c r="AE2606">
        <v>0</v>
      </c>
      <c r="AF2606">
        <v>0</v>
      </c>
      <c r="AG2606" s="2">
        <v>2729.14</v>
      </c>
      <c r="AH2606">
        <v>0</v>
      </c>
      <c r="AI2606" s="2">
        <v>8187.41</v>
      </c>
      <c r="AJ2606" s="2">
        <v>2080.98</v>
      </c>
      <c r="AK2606" s="2">
        <v>2080.98</v>
      </c>
      <c r="AL2606" t="str">
        <f>"EUR"</f>
        <v>EUR</v>
      </c>
    </row>
    <row r="2607" spans="1:38" x14ac:dyDescent="0.3">
      <c r="A2607" t="str">
        <f>"SO23000281"</f>
        <v>SO23000281</v>
      </c>
      <c r="B2607" t="str">
        <f>"E000395926"</f>
        <v>E000395926</v>
      </c>
      <c r="C2607" t="str">
        <f>"מאושרת לחיוב"</f>
        <v>מאושרת לחיוב</v>
      </c>
      <c r="E2607" s="3">
        <v>45096</v>
      </c>
      <c r="F2607" s="3">
        <v>45096</v>
      </c>
      <c r="G2607" t="str">
        <f>"700065"</f>
        <v>700065</v>
      </c>
      <c r="H2607" t="str">
        <f>"אלתא מערכות בע""מ"</f>
        <v>אלתא מערכות בע"מ</v>
      </c>
      <c r="I2607" t="str">
        <f>"רוני דידי"</f>
        <v>רוני דידי</v>
      </c>
      <c r="J2607" t="str">
        <f>"PD0300546"</f>
        <v>PD0300546</v>
      </c>
      <c r="K2607" s="1" t="str">
        <f>"מודול מוקשח תקשורת סריאלית BMXNOM0200H RS485/232"</f>
        <v>מודול מוקשח תקשורת סריאלית BMXNOM0200H RS485/232</v>
      </c>
      <c r="L2607">
        <v>2</v>
      </c>
      <c r="M2607" t="str">
        <f>"PR23000390"</f>
        <v>PR23000390</v>
      </c>
      <c r="N2607" t="str">
        <f>"ח""ח E000395926"</f>
        <v>ח"ח E000395926</v>
      </c>
      <c r="O2607">
        <v>635.77</v>
      </c>
      <c r="P2607" t="str">
        <f>"EUR"</f>
        <v>EUR</v>
      </c>
      <c r="Q2607" t="str">
        <f>"112"</f>
        <v>112</v>
      </c>
      <c r="R2607" t="str">
        <f>"תיקון תקלות"</f>
        <v>תיקון תקלות</v>
      </c>
      <c r="S2607" t="str">
        <f>"007"</f>
        <v>007</v>
      </c>
      <c r="T2607" t="str">
        <f>"גנם הודיה"</f>
        <v>גנם הודיה</v>
      </c>
      <c r="U2607">
        <v>0</v>
      </c>
      <c r="V2607">
        <v>0</v>
      </c>
      <c r="W2607">
        <v>582.05999999999995</v>
      </c>
      <c r="X2607" s="2">
        <v>1271.55</v>
      </c>
      <c r="AA2607">
        <v>2</v>
      </c>
      <c r="AC2607">
        <v>0</v>
      </c>
      <c r="AE2607">
        <v>0</v>
      </c>
      <c r="AF2607">
        <v>0</v>
      </c>
      <c r="AG2607" s="2">
        <v>2290.06</v>
      </c>
      <c r="AH2607">
        <v>0</v>
      </c>
      <c r="AI2607" s="2">
        <v>4580.1099999999997</v>
      </c>
      <c r="AJ2607" s="2">
        <v>1164.1199999999999</v>
      </c>
      <c r="AK2607" s="2">
        <v>1164.1199999999999</v>
      </c>
      <c r="AL2607" t="str">
        <f>"EUR"</f>
        <v>EUR</v>
      </c>
    </row>
    <row r="2608" spans="1:38" x14ac:dyDescent="0.3">
      <c r="A2608" t="str">
        <f>"SO23000281"</f>
        <v>SO23000281</v>
      </c>
      <c r="B2608" t="str">
        <f>"E000395926"</f>
        <v>E000395926</v>
      </c>
      <c r="C2608" t="str">
        <f>"מאושרת לחיוב"</f>
        <v>מאושרת לחיוב</v>
      </c>
      <c r="E2608" s="3">
        <v>45096</v>
      </c>
      <c r="F2608" s="3">
        <v>45096</v>
      </c>
      <c r="G2608" t="str">
        <f>"700065"</f>
        <v>700065</v>
      </c>
      <c r="H2608" t="str">
        <f>"אלתא מערכות בע""מ"</f>
        <v>אלתא מערכות בע"מ</v>
      </c>
      <c r="I2608" t="str">
        <f>"רוני דידי"</f>
        <v>רוני דידי</v>
      </c>
      <c r="J2608" t="str">
        <f>"PD0300480"</f>
        <v>PD0300480</v>
      </c>
      <c r="K2608" s="1" t="str">
        <f>"מודול 8 כניסות אנלוגיות טמפרטורה שניידר BMXART0814H"</f>
        <v>מודול 8 כניסות אנלוגיות טמפרטורה שניידר BMXART0814H</v>
      </c>
      <c r="L2608">
        <v>3</v>
      </c>
      <c r="M2608" t="str">
        <f>"PR23000390"</f>
        <v>PR23000390</v>
      </c>
      <c r="N2608" t="str">
        <f>"ח""ח E000395926"</f>
        <v>ח"ח E000395926</v>
      </c>
      <c r="O2608">
        <v>925.76</v>
      </c>
      <c r="P2608" t="str">
        <f>"EUR"</f>
        <v>EUR</v>
      </c>
      <c r="Q2608" t="str">
        <f>"112"</f>
        <v>112</v>
      </c>
      <c r="R2608" t="str">
        <f>"תיקון תקלות"</f>
        <v>תיקון תקלות</v>
      </c>
      <c r="S2608" t="str">
        <f>"007"</f>
        <v>007</v>
      </c>
      <c r="T2608" t="str">
        <f>"גנם הודיה"</f>
        <v>גנם הודיה</v>
      </c>
      <c r="U2608">
        <v>0</v>
      </c>
      <c r="V2608">
        <v>0</v>
      </c>
      <c r="W2608">
        <v>847.55</v>
      </c>
      <c r="X2608" s="2">
        <v>2777.29</v>
      </c>
      <c r="AA2608">
        <v>3</v>
      </c>
      <c r="AC2608">
        <v>0</v>
      </c>
      <c r="AE2608">
        <v>0</v>
      </c>
      <c r="AF2608">
        <v>0</v>
      </c>
      <c r="AG2608" s="2">
        <v>3334.6</v>
      </c>
      <c r="AH2608">
        <v>0</v>
      </c>
      <c r="AI2608" s="2">
        <v>10003.799999999999</v>
      </c>
      <c r="AJ2608" s="2">
        <v>2542.65</v>
      </c>
      <c r="AK2608" s="2">
        <v>2542.65</v>
      </c>
      <c r="AL2608" t="str">
        <f>"EUR"</f>
        <v>EUR</v>
      </c>
    </row>
    <row r="2609" spans="1:38" x14ac:dyDescent="0.3">
      <c r="A2609" t="str">
        <f>"SO23000281"</f>
        <v>SO23000281</v>
      </c>
      <c r="B2609" t="str">
        <f>"E000395926"</f>
        <v>E000395926</v>
      </c>
      <c r="C2609" t="str">
        <f>"מאושרת לחיוב"</f>
        <v>מאושרת לחיוב</v>
      </c>
      <c r="E2609" s="3">
        <v>45096</v>
      </c>
      <c r="F2609" s="3">
        <v>45096</v>
      </c>
      <c r="G2609" t="str">
        <f>"700065"</f>
        <v>700065</v>
      </c>
      <c r="H2609" t="str">
        <f>"אלתא מערכות בע""מ"</f>
        <v>אלתא מערכות בע"מ</v>
      </c>
      <c r="I2609" t="str">
        <f>"רוני דידי"</f>
        <v>רוני דידי</v>
      </c>
      <c r="J2609" t="str">
        <f>"PD0300372"</f>
        <v>PD0300372</v>
      </c>
      <c r="K2609" s="1" t="str">
        <f>"ספק כוח לבקר BMXCPS3020H 24VDC"</f>
        <v>ספק כוח לבקר BMXCPS3020H 24VDC</v>
      </c>
      <c r="L2609">
        <v>3</v>
      </c>
      <c r="M2609" t="str">
        <f>"PR23000390"</f>
        <v>PR23000390</v>
      </c>
      <c r="N2609" t="str">
        <f>"ח""ח E000395926"</f>
        <v>ח"ח E000395926</v>
      </c>
      <c r="O2609">
        <v>519.66</v>
      </c>
      <c r="P2609" t="str">
        <f>"EUR"</f>
        <v>EUR</v>
      </c>
      <c r="Q2609" t="str">
        <f>"112"</f>
        <v>112</v>
      </c>
      <c r="R2609" t="str">
        <f>"תיקון תקלות"</f>
        <v>תיקון תקלות</v>
      </c>
      <c r="S2609" t="str">
        <f>"007"</f>
        <v>007</v>
      </c>
      <c r="T2609" t="str">
        <f>"גנם הודיה"</f>
        <v>גנם הודיה</v>
      </c>
      <c r="U2609">
        <v>0</v>
      </c>
      <c r="V2609">
        <v>0</v>
      </c>
      <c r="W2609">
        <v>475.76</v>
      </c>
      <c r="X2609" s="2">
        <v>1558.99</v>
      </c>
      <c r="AA2609">
        <v>3</v>
      </c>
      <c r="AC2609">
        <v>0</v>
      </c>
      <c r="AE2609">
        <v>0</v>
      </c>
      <c r="AF2609">
        <v>0</v>
      </c>
      <c r="AG2609" s="2">
        <v>1871.83</v>
      </c>
      <c r="AH2609">
        <v>0</v>
      </c>
      <c r="AI2609" s="2">
        <v>5615.49</v>
      </c>
      <c r="AJ2609" s="2">
        <v>1427.28</v>
      </c>
      <c r="AK2609" s="2">
        <v>1427.28</v>
      </c>
      <c r="AL2609" t="str">
        <f>"EUR"</f>
        <v>EUR</v>
      </c>
    </row>
    <row r="2610" spans="1:38" x14ac:dyDescent="0.3">
      <c r="A2610" t="str">
        <f>"SO23000281"</f>
        <v>SO23000281</v>
      </c>
      <c r="B2610" t="str">
        <f>"E000395926"</f>
        <v>E000395926</v>
      </c>
      <c r="C2610" t="str">
        <f>"מאושרת לחיוב"</f>
        <v>מאושרת לחיוב</v>
      </c>
      <c r="E2610" s="3">
        <v>45096</v>
      </c>
      <c r="F2610" s="3">
        <v>45097</v>
      </c>
      <c r="G2610" t="str">
        <f>"700065"</f>
        <v>700065</v>
      </c>
      <c r="H2610" t="str">
        <f>"אלתא מערכות בע""מ"</f>
        <v>אלתא מערכות בע"מ</v>
      </c>
      <c r="I2610" t="str">
        <f>"רוני דידי"</f>
        <v>רוני דידי</v>
      </c>
      <c r="J2610" t="str">
        <f>"PD0300550"</f>
        <v>PD0300550</v>
      </c>
      <c r="K2610" s="1" t="str">
        <f>"BMXDRC0805H MODULE SERIAL LINK 2XRS485/RS232 DIN"</f>
        <v>BMXDRC0805H MODULE SERIAL LINK 2XRS485/RS232 DIN</v>
      </c>
      <c r="L2610">
        <v>2</v>
      </c>
      <c r="M2610" t="str">
        <f>"PR23000390"</f>
        <v>PR23000390</v>
      </c>
      <c r="N2610" t="str">
        <f>"ח""ח E000395926"</f>
        <v>ח"ח E000395926</v>
      </c>
      <c r="O2610">
        <v>301.54000000000002</v>
      </c>
      <c r="P2610" t="str">
        <f>"EUR"</f>
        <v>EUR</v>
      </c>
      <c r="Q2610" t="str">
        <f>"112"</f>
        <v>112</v>
      </c>
      <c r="R2610" t="str">
        <f>"תיקון תקלות"</f>
        <v>תיקון תקלות</v>
      </c>
      <c r="S2610" t="str">
        <f>"007"</f>
        <v>007</v>
      </c>
      <c r="T2610" t="str">
        <f>"גנם הודיה"</f>
        <v>גנם הודיה</v>
      </c>
      <c r="U2610">
        <v>0</v>
      </c>
      <c r="V2610">
        <v>0</v>
      </c>
      <c r="W2610">
        <v>276.06</v>
      </c>
      <c r="X2610">
        <v>603.07000000000005</v>
      </c>
      <c r="AA2610">
        <v>2</v>
      </c>
      <c r="AC2610">
        <v>0</v>
      </c>
      <c r="AE2610">
        <v>0</v>
      </c>
      <c r="AF2610">
        <v>0</v>
      </c>
      <c r="AG2610" s="2">
        <v>1086.1300000000001</v>
      </c>
      <c r="AH2610">
        <v>0</v>
      </c>
      <c r="AI2610" s="2">
        <v>2172.2600000000002</v>
      </c>
      <c r="AJ2610">
        <v>552.12</v>
      </c>
      <c r="AK2610">
        <v>552.12</v>
      </c>
      <c r="AL2610" t="str">
        <f>"EUR"</f>
        <v>EUR</v>
      </c>
    </row>
    <row r="2611" spans="1:38" x14ac:dyDescent="0.3">
      <c r="A2611" t="str">
        <f>"SO23000281"</f>
        <v>SO23000281</v>
      </c>
      <c r="B2611" t="str">
        <f>"E000395926"</f>
        <v>E000395926</v>
      </c>
      <c r="C2611" t="str">
        <f>"מאושרת לחיוב"</f>
        <v>מאושרת לחיוב</v>
      </c>
      <c r="E2611" s="3">
        <v>45096</v>
      </c>
      <c r="F2611" s="3">
        <v>45097</v>
      </c>
      <c r="G2611" t="str">
        <f>"700065"</f>
        <v>700065</v>
      </c>
      <c r="H2611" t="str">
        <f>"אלתא מערכות בע""מ"</f>
        <v>אלתא מערכות בע"מ</v>
      </c>
      <c r="I2611" t="str">
        <f>"רוני דידי"</f>
        <v>רוני דידי</v>
      </c>
      <c r="J2611" t="str">
        <f>"PD0300551"</f>
        <v>PD0300551</v>
      </c>
      <c r="K2611" s="1" t="str">
        <f>"BMXDDI3232H INPUT MODULE 32-CH DISCRETE 12/24VDC"</f>
        <v>BMXDDI3232H INPUT MODULE 32-CH DISCRETE 12/24VDC</v>
      </c>
      <c r="L2611">
        <v>2</v>
      </c>
      <c r="M2611" t="str">
        <f>"PR23000390"</f>
        <v>PR23000390</v>
      </c>
      <c r="N2611" t="str">
        <f>"ח""ח E000395926"</f>
        <v>ח"ח E000395926</v>
      </c>
      <c r="O2611">
        <v>353.51</v>
      </c>
      <c r="P2611" t="str">
        <f>"EUR"</f>
        <v>EUR</v>
      </c>
      <c r="Q2611" t="str">
        <f>"112"</f>
        <v>112</v>
      </c>
      <c r="R2611" t="str">
        <f>"תיקון תקלות"</f>
        <v>תיקון תקלות</v>
      </c>
      <c r="S2611" t="str">
        <f>"007"</f>
        <v>007</v>
      </c>
      <c r="T2611" t="str">
        <f>"גנם הודיה"</f>
        <v>גנם הודיה</v>
      </c>
      <c r="U2611">
        <v>0</v>
      </c>
      <c r="V2611">
        <v>0</v>
      </c>
      <c r="W2611">
        <v>323.64</v>
      </c>
      <c r="X2611">
        <v>707.01</v>
      </c>
      <c r="AA2611">
        <v>2</v>
      </c>
      <c r="AC2611">
        <v>0</v>
      </c>
      <c r="AE2611">
        <v>0</v>
      </c>
      <c r="AF2611">
        <v>0</v>
      </c>
      <c r="AG2611" s="2">
        <v>1273.33</v>
      </c>
      <c r="AH2611">
        <v>0</v>
      </c>
      <c r="AI2611" s="2">
        <v>2546.66</v>
      </c>
      <c r="AJ2611">
        <v>647.28</v>
      </c>
      <c r="AK2611">
        <v>647.28</v>
      </c>
      <c r="AL2611" t="str">
        <f>"EUR"</f>
        <v>EUR</v>
      </c>
    </row>
    <row r="2612" spans="1:38" x14ac:dyDescent="0.3">
      <c r="A2612" t="str">
        <f>"SO23000281"</f>
        <v>SO23000281</v>
      </c>
      <c r="B2612" t="str">
        <f>"E000395926"</f>
        <v>E000395926</v>
      </c>
      <c r="C2612" t="str">
        <f>"מאושרת לחיוב"</f>
        <v>מאושרת לחיוב</v>
      </c>
      <c r="E2612" s="3">
        <v>45096</v>
      </c>
      <c r="F2612" s="3">
        <v>45097</v>
      </c>
      <c r="G2612" t="str">
        <f>"700065"</f>
        <v>700065</v>
      </c>
      <c r="H2612" t="str">
        <f>"אלתא מערכות בע""מ"</f>
        <v>אלתא מערכות בע"מ</v>
      </c>
      <c r="I2612" t="str">
        <f>"רוני דידי"</f>
        <v>רוני דידי</v>
      </c>
      <c r="J2612" t="str">
        <f>"PD0300552"</f>
        <v>PD0300552</v>
      </c>
      <c r="K2612" s="1" t="str">
        <f>"BMENUA0100H MODULE OPC UA ETH+X-BUS MODICON M580 DIN"</f>
        <v>BMENUA0100H MODULE OPC UA ETH+X-BUS MODICON M580 DIN</v>
      </c>
      <c r="L2612">
        <v>2</v>
      </c>
      <c r="M2612" t="str">
        <f>"PR23000390"</f>
        <v>PR23000390</v>
      </c>
      <c r="N2612" t="str">
        <f>"ח""ח E000395926"</f>
        <v>ח"ח E000395926</v>
      </c>
      <c r="O2612" s="2">
        <v>1184.4100000000001</v>
      </c>
      <c r="P2612" t="str">
        <f>"EUR"</f>
        <v>EUR</v>
      </c>
      <c r="Q2612" t="str">
        <f>"112"</f>
        <v>112</v>
      </c>
      <c r="R2612" t="str">
        <f>"תיקון תקלות"</f>
        <v>תיקון תקלות</v>
      </c>
      <c r="S2612" t="str">
        <f>"007"</f>
        <v>007</v>
      </c>
      <c r="T2612" t="str">
        <f>"גנם הודיה"</f>
        <v>גנם הודיה</v>
      </c>
      <c r="U2612">
        <v>0</v>
      </c>
      <c r="V2612">
        <v>0</v>
      </c>
      <c r="W2612" s="2">
        <v>1084.3399999999999</v>
      </c>
      <c r="X2612" s="2">
        <v>2368.81</v>
      </c>
      <c r="AA2612">
        <v>2</v>
      </c>
      <c r="AC2612">
        <v>0</v>
      </c>
      <c r="AE2612">
        <v>0</v>
      </c>
      <c r="AF2612">
        <v>0</v>
      </c>
      <c r="AG2612" s="2">
        <v>4266.2299999999996</v>
      </c>
      <c r="AH2612">
        <v>0</v>
      </c>
      <c r="AI2612" s="2">
        <v>8532.4500000000007</v>
      </c>
      <c r="AJ2612" s="2">
        <v>2168.6799999999998</v>
      </c>
      <c r="AK2612" s="2">
        <v>2168.6799999999998</v>
      </c>
      <c r="AL2612" t="str">
        <f>"EUR"</f>
        <v>EUR</v>
      </c>
    </row>
    <row r="2613" spans="1:38" x14ac:dyDescent="0.3">
      <c r="A2613" t="str">
        <f>"SO23000281"</f>
        <v>SO23000281</v>
      </c>
      <c r="B2613" t="str">
        <f>"E000395926"</f>
        <v>E000395926</v>
      </c>
      <c r="C2613" t="str">
        <f>"מאושרת לחיוב"</f>
        <v>מאושרת לחיוב</v>
      </c>
      <c r="E2613" s="3">
        <v>45096</v>
      </c>
      <c r="F2613" s="3">
        <v>45097</v>
      </c>
      <c r="G2613" t="str">
        <f>"700065"</f>
        <v>700065</v>
      </c>
      <c r="H2613" t="str">
        <f>"אלתא מערכות בע""מ"</f>
        <v>אלתא מערכות בע"מ</v>
      </c>
      <c r="I2613" t="str">
        <f>"רוני דידי"</f>
        <v>רוני דידי</v>
      </c>
      <c r="J2613" t="str">
        <f>"PD0300553"</f>
        <v>PD0300553</v>
      </c>
      <c r="K2613" s="1" t="str">
        <f>"BMXXBE1000H BACKPLANE EXPANDER, MODICON M340"</f>
        <v>BMXXBE1000H BACKPLANE EXPANDER, MODICON M340</v>
      </c>
      <c r="L2613">
        <v>2</v>
      </c>
      <c r="M2613" t="str">
        <f>"PR23000390"</f>
        <v>PR23000390</v>
      </c>
      <c r="N2613" t="str">
        <f>"ח""ח E000395926"</f>
        <v>ח"ח E000395926</v>
      </c>
      <c r="O2613">
        <v>321.43</v>
      </c>
      <c r="P2613" t="str">
        <f>"EUR"</f>
        <v>EUR</v>
      </c>
      <c r="Q2613" t="str">
        <f>"112"</f>
        <v>112</v>
      </c>
      <c r="R2613" t="str">
        <f>"תיקון תקלות"</f>
        <v>תיקון תקלות</v>
      </c>
      <c r="S2613" t="str">
        <f>"007"</f>
        <v>007</v>
      </c>
      <c r="T2613" t="str">
        <f>"גנם הודיה"</f>
        <v>גנם הודיה</v>
      </c>
      <c r="U2613">
        <v>0</v>
      </c>
      <c r="V2613">
        <v>0</v>
      </c>
      <c r="W2613">
        <v>294.27</v>
      </c>
      <c r="X2613">
        <v>642.85</v>
      </c>
      <c r="AA2613">
        <v>2</v>
      </c>
      <c r="AC2613">
        <v>0</v>
      </c>
      <c r="AE2613">
        <v>0</v>
      </c>
      <c r="AF2613">
        <v>0</v>
      </c>
      <c r="AG2613" s="2">
        <v>1157.78</v>
      </c>
      <c r="AH2613">
        <v>0</v>
      </c>
      <c r="AI2613" s="2">
        <v>2315.5500000000002</v>
      </c>
      <c r="AJ2613">
        <v>588.54</v>
      </c>
      <c r="AK2613">
        <v>588.54</v>
      </c>
      <c r="AL2613" t="str">
        <f>"EUR"</f>
        <v>EUR</v>
      </c>
    </row>
    <row r="2614" spans="1:38" x14ac:dyDescent="0.3">
      <c r="A2614" t="str">
        <f>"SO23000296"</f>
        <v>SO23000296</v>
      </c>
      <c r="B2614" t="str">
        <f>"E000394841"</f>
        <v>E000394841</v>
      </c>
      <c r="C2614" t="str">
        <f>"מאושרת לחיוב"</f>
        <v>מאושרת לחיוב</v>
      </c>
      <c r="E2614" s="3">
        <v>45102</v>
      </c>
      <c r="F2614" s="3">
        <v>45260</v>
      </c>
      <c r="G2614" t="str">
        <f>"700065"</f>
        <v>700065</v>
      </c>
      <c r="H2614" t="str">
        <f>"אלתא מערכות בע""מ"</f>
        <v>אלתא מערכות בע"מ</v>
      </c>
      <c r="I2614" t="str">
        <f>"רחמים זרוק"</f>
        <v>רחמים זרוק</v>
      </c>
      <c r="J2614" t="str">
        <f>"OP-AR03665"</f>
        <v>OP-AR03665</v>
      </c>
      <c r="K2614" s="1" t="str">
        <f>"4060D188-001    HARNESS WMD03 - EXTERNAL LOGIC"</f>
        <v>4060D188-001    HARNESS WMD03 - EXTERNAL LOGIC</v>
      </c>
      <c r="L2614">
        <v>24</v>
      </c>
      <c r="M2614" t="str">
        <f>"PR23000376"</f>
        <v>PR23000376</v>
      </c>
      <c r="N2614" t="str">
        <f>"E000394841"</f>
        <v>E000394841</v>
      </c>
      <c r="O2614">
        <v>949.49</v>
      </c>
      <c r="P2614" t="str">
        <f>"$"</f>
        <v>$</v>
      </c>
      <c r="Q2614" t="str">
        <f>"117"</f>
        <v>117</v>
      </c>
      <c r="R2614" t="str">
        <f>"רתמות"</f>
        <v>רתמות</v>
      </c>
      <c r="S2614" t="str">
        <f>"040"</f>
        <v>040</v>
      </c>
      <c r="T2614" t="str">
        <f>"גנם הודיה"</f>
        <v>גנם הודיה</v>
      </c>
      <c r="U2614">
        <v>0</v>
      </c>
      <c r="V2614">
        <v>0</v>
      </c>
      <c r="W2614">
        <v>949.49</v>
      </c>
      <c r="X2614" s="2">
        <v>22787.759999999998</v>
      </c>
      <c r="AA2614">
        <v>24</v>
      </c>
      <c r="AC2614">
        <v>0</v>
      </c>
      <c r="AE2614">
        <v>0</v>
      </c>
      <c r="AF2614">
        <v>0</v>
      </c>
      <c r="AG2614" s="2">
        <v>3444.75</v>
      </c>
      <c r="AH2614">
        <v>0</v>
      </c>
      <c r="AI2614" s="2">
        <v>82673.990000000005</v>
      </c>
      <c r="AJ2614" s="2">
        <v>22787.759999999998</v>
      </c>
      <c r="AK2614" s="2">
        <v>22787.759999999998</v>
      </c>
      <c r="AL2614" t="str">
        <f>"$"</f>
        <v>$</v>
      </c>
    </row>
    <row r="2615" spans="1:38" x14ac:dyDescent="0.3">
      <c r="A2615" t="str">
        <f>"SO23000296"</f>
        <v>SO23000296</v>
      </c>
      <c r="B2615" t="str">
        <f>"E000394841"</f>
        <v>E000394841</v>
      </c>
      <c r="C2615" t="str">
        <f>"מאושרת לחיוב"</f>
        <v>מאושרת לחיוב</v>
      </c>
      <c r="E2615" s="3">
        <v>45102</v>
      </c>
      <c r="F2615" s="3">
        <v>45260</v>
      </c>
      <c r="G2615" t="str">
        <f>"700065"</f>
        <v>700065</v>
      </c>
      <c r="H2615" t="str">
        <f>"אלתא מערכות בע""מ"</f>
        <v>אלתא מערכות בע"מ</v>
      </c>
      <c r="I2615" t="str">
        <f>"רחמים זרוק"</f>
        <v>רחמים זרוק</v>
      </c>
      <c r="J2615" t="str">
        <f>"OP-AR03666"</f>
        <v>OP-AR03666</v>
      </c>
      <c r="K2615" s="1" t="str">
        <f>"4060D187-001    HARNESS WMD02 - EXTERNAL POWER"</f>
        <v>4060D187-001    HARNESS WMD02 - EXTERNAL POWER</v>
      </c>
      <c r="L2615">
        <v>25</v>
      </c>
      <c r="M2615" t="str">
        <f>"PR23000376"</f>
        <v>PR23000376</v>
      </c>
      <c r="N2615" t="str">
        <f>"E000394841"</f>
        <v>E000394841</v>
      </c>
      <c r="O2615" s="2">
        <v>1902.54</v>
      </c>
      <c r="P2615" t="str">
        <f>"$"</f>
        <v>$</v>
      </c>
      <c r="Q2615" t="str">
        <f>"117"</f>
        <v>117</v>
      </c>
      <c r="R2615" t="str">
        <f>"רתמות"</f>
        <v>רתמות</v>
      </c>
      <c r="S2615" t="str">
        <f>"040"</f>
        <v>040</v>
      </c>
      <c r="T2615" t="str">
        <f>"גנם הודיה"</f>
        <v>גנם הודיה</v>
      </c>
      <c r="U2615">
        <v>0</v>
      </c>
      <c r="V2615">
        <v>0</v>
      </c>
      <c r="W2615" s="2">
        <v>1902.54</v>
      </c>
      <c r="X2615" s="2">
        <v>47563.5</v>
      </c>
      <c r="AA2615">
        <v>25</v>
      </c>
      <c r="AC2615">
        <v>0</v>
      </c>
      <c r="AE2615">
        <v>0</v>
      </c>
      <c r="AF2615">
        <v>0</v>
      </c>
      <c r="AG2615" s="2">
        <v>6902.42</v>
      </c>
      <c r="AH2615">
        <v>0</v>
      </c>
      <c r="AI2615" s="2">
        <v>172560.38</v>
      </c>
      <c r="AJ2615" s="2">
        <v>47563.5</v>
      </c>
      <c r="AK2615" s="2">
        <v>47563.5</v>
      </c>
      <c r="AL2615" t="str">
        <f>"$"</f>
        <v>$</v>
      </c>
    </row>
    <row r="2616" spans="1:38" x14ac:dyDescent="0.3">
      <c r="A2616" t="str">
        <f>"SO23000296"</f>
        <v>SO23000296</v>
      </c>
      <c r="B2616" t="str">
        <f>"E000394841"</f>
        <v>E000394841</v>
      </c>
      <c r="C2616" t="str">
        <f>"מאושרת לחיוב"</f>
        <v>מאושרת לחיוב</v>
      </c>
      <c r="E2616" s="3">
        <v>45102</v>
      </c>
      <c r="F2616" s="3">
        <v>45260</v>
      </c>
      <c r="G2616" t="str">
        <f>"700065"</f>
        <v>700065</v>
      </c>
      <c r="H2616" t="str">
        <f>"אלתא מערכות בע""מ"</f>
        <v>אלתא מערכות בע"מ</v>
      </c>
      <c r="I2616" t="str">
        <f>"רחמים זרוק"</f>
        <v>רחמים זרוק</v>
      </c>
      <c r="J2616" t="str">
        <f>"OP-AR03667"</f>
        <v>OP-AR03667</v>
      </c>
      <c r="K2616" s="1" t="str">
        <f>"4060D166-001    HARNESS WMD01 - MAIN HARNESS"</f>
        <v>4060D166-001    HARNESS WMD01 - MAIN HARNESS</v>
      </c>
      <c r="L2616">
        <v>25</v>
      </c>
      <c r="M2616" t="str">
        <f>"PR23000376"</f>
        <v>PR23000376</v>
      </c>
      <c r="N2616" t="str">
        <f>"E000394841"</f>
        <v>E000394841</v>
      </c>
      <c r="O2616" s="2">
        <v>2362.7800000000002</v>
      </c>
      <c r="P2616" t="str">
        <f>"$"</f>
        <v>$</v>
      </c>
      <c r="Q2616" t="str">
        <f>"117"</f>
        <v>117</v>
      </c>
      <c r="R2616" t="str">
        <f>"רתמות"</f>
        <v>רתמות</v>
      </c>
      <c r="S2616" t="str">
        <f>"040"</f>
        <v>040</v>
      </c>
      <c r="T2616" t="str">
        <f>"גנם הודיה"</f>
        <v>גנם הודיה</v>
      </c>
      <c r="U2616">
        <v>0</v>
      </c>
      <c r="V2616">
        <v>0</v>
      </c>
      <c r="W2616" s="2">
        <v>2362.7800000000002</v>
      </c>
      <c r="X2616" s="2">
        <v>59069.5</v>
      </c>
      <c r="AA2616">
        <v>25</v>
      </c>
      <c r="AC2616">
        <v>0</v>
      </c>
      <c r="AE2616">
        <v>0</v>
      </c>
      <c r="AF2616">
        <v>0</v>
      </c>
      <c r="AG2616" s="2">
        <v>8572.17</v>
      </c>
      <c r="AH2616">
        <v>0</v>
      </c>
      <c r="AI2616" s="2">
        <v>214304.15</v>
      </c>
      <c r="AJ2616" s="2">
        <v>59069.5</v>
      </c>
      <c r="AK2616" s="2">
        <v>59069.5</v>
      </c>
      <c r="AL2616" t="str">
        <f>"$"</f>
        <v>$</v>
      </c>
    </row>
    <row r="2617" spans="1:38" x14ac:dyDescent="0.3">
      <c r="A2617" t="str">
        <f>"SO23000297"</f>
        <v>SO23000297</v>
      </c>
      <c r="B2617" t="str">
        <f>"E000396385"</f>
        <v>E000396385</v>
      </c>
      <c r="C2617" t="str">
        <f>"מאושרת לחיוב"</f>
        <v>מאושרת לחיוב</v>
      </c>
      <c r="E2617" s="3">
        <v>45102</v>
      </c>
      <c r="F2617" s="3">
        <v>45103</v>
      </c>
      <c r="G2617" t="str">
        <f>"700065"</f>
        <v>700065</v>
      </c>
      <c r="H2617" t="str">
        <f>"אלתא מערכות בע""מ"</f>
        <v>אלתא מערכות בע"מ</v>
      </c>
      <c r="I2617" t="str">
        <f>"רחמים זרוק"</f>
        <v>רחמים זרוק</v>
      </c>
      <c r="J2617" t="str">
        <f>"OP-AR03682"</f>
        <v>OP-AR03682</v>
      </c>
      <c r="K2617" s="1" t="str">
        <f>"1042J280-001    HARNESS WY280 - NFTR - MAIN ELEC BOX TO"</f>
        <v>1042J280-001    HARNESS WY280 - NFTR - MAIN ELEC BOX TO</v>
      </c>
      <c r="L2617">
        <v>1</v>
      </c>
      <c r="M2617" t="str">
        <f>"PR23000421"</f>
        <v>PR23000421</v>
      </c>
      <c r="N2617" t="str">
        <f>"E000396385"</f>
        <v>E000396385</v>
      </c>
      <c r="O2617" s="2">
        <v>3822.17</v>
      </c>
      <c r="P2617" t="str">
        <f>"$"</f>
        <v>$</v>
      </c>
      <c r="Q2617" t="str">
        <f>"117"</f>
        <v>117</v>
      </c>
      <c r="R2617" t="str">
        <f>"רתמות"</f>
        <v>רתמות</v>
      </c>
      <c r="S2617" t="str">
        <f>"040"</f>
        <v>040</v>
      </c>
      <c r="T2617" t="str">
        <f>"גנם הודיה"</f>
        <v>גנם הודיה</v>
      </c>
      <c r="U2617">
        <v>0</v>
      </c>
      <c r="V2617">
        <v>0</v>
      </c>
      <c r="W2617" s="2">
        <v>3822.17</v>
      </c>
      <c r="X2617" s="2">
        <v>3822.17</v>
      </c>
      <c r="Z2617" t="str">
        <f>"Y"</f>
        <v>Y</v>
      </c>
      <c r="AA2617">
        <v>0</v>
      </c>
      <c r="AC2617">
        <v>0</v>
      </c>
      <c r="AE2617">
        <v>0</v>
      </c>
      <c r="AF2617">
        <v>0</v>
      </c>
      <c r="AG2617" s="2">
        <v>13866.83</v>
      </c>
      <c r="AH2617">
        <v>0</v>
      </c>
      <c r="AI2617" s="2">
        <v>13866.83</v>
      </c>
      <c r="AJ2617" s="2">
        <v>3822.17</v>
      </c>
      <c r="AK2617" s="2">
        <v>3822.17</v>
      </c>
      <c r="AL2617" t="str">
        <f>"$"</f>
        <v>$</v>
      </c>
    </row>
    <row r="2618" spans="1:38" x14ac:dyDescent="0.3">
      <c r="A2618" t="str">
        <f>"SO23000297"</f>
        <v>SO23000297</v>
      </c>
      <c r="B2618" t="str">
        <f>"E000396385"</f>
        <v>E000396385</v>
      </c>
      <c r="C2618" t="str">
        <f>"מאושרת לחיוב"</f>
        <v>מאושרת לחיוב</v>
      </c>
      <c r="E2618" s="3">
        <v>45102</v>
      </c>
      <c r="F2618" s="3">
        <v>45103</v>
      </c>
      <c r="G2618" t="str">
        <f>"700065"</f>
        <v>700065</v>
      </c>
      <c r="H2618" t="str">
        <f>"אלתא מערכות בע""מ"</f>
        <v>אלתא מערכות בע"מ</v>
      </c>
      <c r="I2618" t="str">
        <f>"רחמים זרוק"</f>
        <v>רחמים זרוק</v>
      </c>
      <c r="J2618" t="str">
        <f>"OP-AR03683"</f>
        <v>OP-AR03683</v>
      </c>
      <c r="K2618" s="1" t="str">
        <f>"1042J281-001    HARNESS WY281 - NFTR - MAIN ELEC BOX TO"</f>
        <v>1042J281-001    HARNESS WY281 - NFTR - MAIN ELEC BOX TO</v>
      </c>
      <c r="L2618">
        <v>1</v>
      </c>
      <c r="M2618" t="str">
        <f>"PR23000421"</f>
        <v>PR23000421</v>
      </c>
      <c r="N2618" t="str">
        <f>"E000396385"</f>
        <v>E000396385</v>
      </c>
      <c r="O2618" s="2">
        <v>3822.17</v>
      </c>
      <c r="P2618" t="str">
        <f>"$"</f>
        <v>$</v>
      </c>
      <c r="Q2618" t="str">
        <f>"117"</f>
        <v>117</v>
      </c>
      <c r="R2618" t="str">
        <f>"רתמות"</f>
        <v>רתמות</v>
      </c>
      <c r="S2618" t="str">
        <f>"040"</f>
        <v>040</v>
      </c>
      <c r="T2618" t="str">
        <f>"גנם הודיה"</f>
        <v>גנם הודיה</v>
      </c>
      <c r="U2618">
        <v>0</v>
      </c>
      <c r="V2618">
        <v>0</v>
      </c>
      <c r="W2618" s="2">
        <v>3822.17</v>
      </c>
      <c r="X2618" s="2">
        <v>3822.17</v>
      </c>
      <c r="Z2618" t="str">
        <f>"Y"</f>
        <v>Y</v>
      </c>
      <c r="AA2618">
        <v>0</v>
      </c>
      <c r="AC2618">
        <v>0</v>
      </c>
      <c r="AE2618">
        <v>0</v>
      </c>
      <c r="AF2618">
        <v>0</v>
      </c>
      <c r="AG2618" s="2">
        <v>13866.83</v>
      </c>
      <c r="AH2618">
        <v>0</v>
      </c>
      <c r="AI2618" s="2">
        <v>13866.83</v>
      </c>
      <c r="AJ2618" s="2">
        <v>3822.17</v>
      </c>
      <c r="AK2618" s="2">
        <v>3822.17</v>
      </c>
      <c r="AL2618" t="str">
        <f>"$"</f>
        <v>$</v>
      </c>
    </row>
    <row r="2619" spans="1:38" x14ac:dyDescent="0.3">
      <c r="A2619" t="str">
        <f>"SO23000297"</f>
        <v>SO23000297</v>
      </c>
      <c r="B2619" t="str">
        <f>"E000396385"</f>
        <v>E000396385</v>
      </c>
      <c r="C2619" t="str">
        <f>"מאושרת לחיוב"</f>
        <v>מאושרת לחיוב</v>
      </c>
      <c r="E2619" s="3">
        <v>45102</v>
      </c>
      <c r="F2619" s="3">
        <v>45103</v>
      </c>
      <c r="G2619" t="str">
        <f>"700065"</f>
        <v>700065</v>
      </c>
      <c r="H2619" t="str">
        <f>"אלתא מערכות בע""מ"</f>
        <v>אלתא מערכות בע"מ</v>
      </c>
      <c r="I2619" t="str">
        <f>"רחמים זרוק"</f>
        <v>רחמים זרוק</v>
      </c>
      <c r="J2619" t="str">
        <f>"OP-AR03684"</f>
        <v>OP-AR03684</v>
      </c>
      <c r="K2619" s="1" t="str">
        <f>"1042J282-001    HARNESS WY282 - NFTR - MAIN ELEC BOX TO"</f>
        <v>1042J282-001    HARNESS WY282 - NFTR - MAIN ELEC BOX TO</v>
      </c>
      <c r="L2619">
        <v>1</v>
      </c>
      <c r="M2619" t="str">
        <f>"PR23000421"</f>
        <v>PR23000421</v>
      </c>
      <c r="N2619" t="str">
        <f>"E000396385"</f>
        <v>E000396385</v>
      </c>
      <c r="O2619" s="2">
        <v>3822.17</v>
      </c>
      <c r="P2619" t="str">
        <f>"$"</f>
        <v>$</v>
      </c>
      <c r="Q2619" t="str">
        <f>"117"</f>
        <v>117</v>
      </c>
      <c r="R2619" t="str">
        <f>"רתמות"</f>
        <v>רתמות</v>
      </c>
      <c r="S2619" t="str">
        <f>"040"</f>
        <v>040</v>
      </c>
      <c r="T2619" t="str">
        <f>"גנם הודיה"</f>
        <v>גנם הודיה</v>
      </c>
      <c r="U2619">
        <v>0</v>
      </c>
      <c r="V2619">
        <v>0</v>
      </c>
      <c r="W2619" s="2">
        <v>3822.17</v>
      </c>
      <c r="X2619" s="2">
        <v>3822.17</v>
      </c>
      <c r="Z2619" t="str">
        <f>"Y"</f>
        <v>Y</v>
      </c>
      <c r="AA2619">
        <v>0</v>
      </c>
      <c r="AC2619">
        <v>0</v>
      </c>
      <c r="AE2619">
        <v>0</v>
      </c>
      <c r="AF2619">
        <v>0</v>
      </c>
      <c r="AG2619" s="2">
        <v>13866.83</v>
      </c>
      <c r="AH2619">
        <v>0</v>
      </c>
      <c r="AI2619" s="2">
        <v>13866.83</v>
      </c>
      <c r="AJ2619" s="2">
        <v>3822.17</v>
      </c>
      <c r="AK2619" s="2">
        <v>3822.17</v>
      </c>
      <c r="AL2619" t="str">
        <f>"$"</f>
        <v>$</v>
      </c>
    </row>
    <row r="2620" spans="1:38" x14ac:dyDescent="0.3">
      <c r="A2620" t="str">
        <f>"SO23000297"</f>
        <v>SO23000297</v>
      </c>
      <c r="B2620" t="str">
        <f>"E000396385"</f>
        <v>E000396385</v>
      </c>
      <c r="C2620" t="str">
        <f>"מאושרת לחיוב"</f>
        <v>מאושרת לחיוב</v>
      </c>
      <c r="E2620" s="3">
        <v>45102</v>
      </c>
      <c r="F2620" s="3">
        <v>45103</v>
      </c>
      <c r="G2620" t="str">
        <f>"700065"</f>
        <v>700065</v>
      </c>
      <c r="H2620" t="str">
        <f>"אלתא מערכות בע""מ"</f>
        <v>אלתא מערכות בע"מ</v>
      </c>
      <c r="I2620" t="str">
        <f>"רחמים זרוק"</f>
        <v>רחמים זרוק</v>
      </c>
      <c r="J2620" t="str">
        <f>"OP-AR03685"</f>
        <v>OP-AR03685</v>
      </c>
      <c r="K2620" s="1" t="str">
        <f>"1042J283-001    HARNESS WY283 - NFTR - MAIN ELEC BOX TO"</f>
        <v>1042J283-001    HARNESS WY283 - NFTR - MAIN ELEC BOX TO</v>
      </c>
      <c r="L2620">
        <v>1</v>
      </c>
      <c r="M2620" t="str">
        <f>"PR23000421"</f>
        <v>PR23000421</v>
      </c>
      <c r="N2620" t="str">
        <f>"E000396385"</f>
        <v>E000396385</v>
      </c>
      <c r="O2620" s="2">
        <v>3822.17</v>
      </c>
      <c r="P2620" t="str">
        <f>"$"</f>
        <v>$</v>
      </c>
      <c r="Q2620" t="str">
        <f>"117"</f>
        <v>117</v>
      </c>
      <c r="R2620" t="str">
        <f>"רתמות"</f>
        <v>רתמות</v>
      </c>
      <c r="S2620" t="str">
        <f>"040"</f>
        <v>040</v>
      </c>
      <c r="T2620" t="str">
        <f>"גנם הודיה"</f>
        <v>גנם הודיה</v>
      </c>
      <c r="U2620">
        <v>0</v>
      </c>
      <c r="V2620">
        <v>0</v>
      </c>
      <c r="W2620" s="2">
        <v>3822.17</v>
      </c>
      <c r="X2620" s="2">
        <v>3822.17</v>
      </c>
      <c r="AA2620">
        <v>1</v>
      </c>
      <c r="AC2620">
        <v>0</v>
      </c>
      <c r="AE2620">
        <v>0</v>
      </c>
      <c r="AF2620">
        <v>0</v>
      </c>
      <c r="AG2620" s="2">
        <v>13866.83</v>
      </c>
      <c r="AH2620">
        <v>0</v>
      </c>
      <c r="AI2620" s="2">
        <v>13866.83</v>
      </c>
      <c r="AJ2620" s="2">
        <v>3822.17</v>
      </c>
      <c r="AK2620" s="2">
        <v>3822.17</v>
      </c>
      <c r="AL2620" t="str">
        <f>"$"</f>
        <v>$</v>
      </c>
    </row>
    <row r="2621" spans="1:38" x14ac:dyDescent="0.3">
      <c r="A2621" t="str">
        <f>"SO23000298"</f>
        <v>SO23000298</v>
      </c>
      <c r="B2621" t="str">
        <f>"E000397729"</f>
        <v>E000397729</v>
      </c>
      <c r="C2621" t="str">
        <f>"בוצעה"</f>
        <v>בוצעה</v>
      </c>
      <c r="E2621" s="3">
        <v>45102</v>
      </c>
      <c r="F2621" s="3">
        <v>45109</v>
      </c>
      <c r="G2621" t="str">
        <f>"700065"</f>
        <v>700065</v>
      </c>
      <c r="H2621" t="str">
        <f>"אלתא מערכות בע""מ"</f>
        <v>אלתא מערכות בע"מ</v>
      </c>
      <c r="I2621" t="str">
        <f>"רחמים זרוק"</f>
        <v>רחמים זרוק</v>
      </c>
      <c r="J2621" t="str">
        <f>"OP-AR02064"</f>
        <v>OP-AR02064</v>
      </c>
      <c r="K2621" s="1" t="str">
        <f>"1017F131-001   CABLE ASSY EXTW1"</f>
        <v>1017F131-001   CABLE ASSY EXTW1</v>
      </c>
      <c r="L2621">
        <v>4</v>
      </c>
      <c r="M2621" t="str">
        <f>"PR23000420"</f>
        <v>PR23000420</v>
      </c>
      <c r="N2621" t="str">
        <f>"E000397729"</f>
        <v>E000397729</v>
      </c>
      <c r="O2621">
        <v>212.41</v>
      </c>
      <c r="P2621" t="str">
        <f>"$"</f>
        <v>$</v>
      </c>
      <c r="Q2621" t="str">
        <f>"117"</f>
        <v>117</v>
      </c>
      <c r="R2621" t="str">
        <f>"רתמות"</f>
        <v>רתמות</v>
      </c>
      <c r="S2621" t="str">
        <f>"040"</f>
        <v>040</v>
      </c>
      <c r="T2621" t="str">
        <f>"גנם הודיה"</f>
        <v>גנם הודיה</v>
      </c>
      <c r="U2621">
        <v>0</v>
      </c>
      <c r="V2621">
        <v>0</v>
      </c>
      <c r="W2621">
        <v>212.41</v>
      </c>
      <c r="X2621">
        <v>849.64</v>
      </c>
      <c r="Z2621" t="str">
        <f>"Y"</f>
        <v>Y</v>
      </c>
      <c r="AA2621">
        <v>0</v>
      </c>
      <c r="AC2621">
        <v>0</v>
      </c>
      <c r="AE2621">
        <v>0</v>
      </c>
      <c r="AF2621">
        <v>0</v>
      </c>
      <c r="AG2621">
        <v>770.62</v>
      </c>
      <c r="AH2621">
        <v>0</v>
      </c>
      <c r="AI2621" s="2">
        <v>3082.49</v>
      </c>
      <c r="AJ2621">
        <v>849.64</v>
      </c>
      <c r="AK2621">
        <v>849.64</v>
      </c>
      <c r="AL2621" t="str">
        <f>"$"</f>
        <v>$</v>
      </c>
    </row>
    <row r="2622" spans="1:38" x14ac:dyDescent="0.3">
      <c r="A2622" t="str">
        <f>"SO23000302"</f>
        <v>SO23000302</v>
      </c>
      <c r="B2622" t="str">
        <f>"E000391862"</f>
        <v>E000391862</v>
      </c>
      <c r="C2622" t="str">
        <f>"מאושרת לבצוע"</f>
        <v>מאושרת לבצוע</v>
      </c>
      <c r="E2622" s="3">
        <v>45104</v>
      </c>
      <c r="F2622" s="3">
        <v>45109</v>
      </c>
      <c r="G2622" t="str">
        <f>"700065"</f>
        <v>700065</v>
      </c>
      <c r="H2622" t="str">
        <f>"אלתא מערכות בע""מ"</f>
        <v>אלתא מערכות בע"מ</v>
      </c>
      <c r="I2622" t="str">
        <f>"רוני דידי"</f>
        <v>רוני דידי</v>
      </c>
      <c r="J2622" t="str">
        <f>"OP-KR00003"</f>
        <v>OP-KR00003</v>
      </c>
      <c r="K2622" s="1" t="str">
        <f>"MDN SHELTER 1039P040-002"</f>
        <v>MDN SHELTER 1039P040-002</v>
      </c>
      <c r="L2622">
        <v>2</v>
      </c>
      <c r="O2622" s="2">
        <v>293000</v>
      </c>
      <c r="P2622" t="str">
        <f>"$"</f>
        <v>$</v>
      </c>
      <c r="Q2622" t="str">
        <f>"119"</f>
        <v>119</v>
      </c>
      <c r="R2622" t="str">
        <f>"פלטפורמות"</f>
        <v>פלטפורמות</v>
      </c>
      <c r="S2622" t="str">
        <f>"007"</f>
        <v>007</v>
      </c>
      <c r="T2622" t="str">
        <f>"גנם הודיה"</f>
        <v>גנם הודיה</v>
      </c>
      <c r="U2622">
        <v>0</v>
      </c>
      <c r="V2622">
        <v>0</v>
      </c>
      <c r="W2622" s="2">
        <v>293000</v>
      </c>
      <c r="X2622" s="2">
        <v>586000</v>
      </c>
      <c r="AA2622">
        <v>2</v>
      </c>
      <c r="AC2622">
        <v>0</v>
      </c>
      <c r="AE2622">
        <v>0</v>
      </c>
      <c r="AF2622">
        <v>0</v>
      </c>
      <c r="AG2622" s="2">
        <v>1065934</v>
      </c>
      <c r="AH2622">
        <v>0</v>
      </c>
      <c r="AI2622" s="2">
        <v>2131868</v>
      </c>
      <c r="AJ2622" s="2">
        <v>586000</v>
      </c>
      <c r="AK2622" s="2">
        <v>586000</v>
      </c>
      <c r="AL2622" t="str">
        <f>"$"</f>
        <v>$</v>
      </c>
    </row>
    <row r="2623" spans="1:38" x14ac:dyDescent="0.3">
      <c r="A2623" t="str">
        <f>"SO23000302"</f>
        <v>SO23000302</v>
      </c>
      <c r="B2623" t="str">
        <f>"E000391862"</f>
        <v>E000391862</v>
      </c>
      <c r="C2623" t="str">
        <f>"מאושרת לבצוע"</f>
        <v>מאושרת לבצוע</v>
      </c>
      <c r="E2623" s="3">
        <v>45104</v>
      </c>
      <c r="F2623" s="3">
        <v>45109</v>
      </c>
      <c r="G2623" t="str">
        <f>"700065"</f>
        <v>700065</v>
      </c>
      <c r="H2623" t="str">
        <f>"אלתא מערכות בע""מ"</f>
        <v>אלתא מערכות בע"מ</v>
      </c>
      <c r="I2623" t="str">
        <f>"רוני דידי"</f>
        <v>רוני דידי</v>
      </c>
      <c r="J2623" t="str">
        <f>"OP-KR00003"</f>
        <v>OP-KR00003</v>
      </c>
      <c r="K2623" s="1" t="str">
        <f>"MDN SHELTER 1039P040-002"</f>
        <v>MDN SHELTER 1039P040-002</v>
      </c>
      <c r="L2623">
        <v>2</v>
      </c>
      <c r="O2623" s="2">
        <v>293000</v>
      </c>
      <c r="P2623" t="str">
        <f>"$"</f>
        <v>$</v>
      </c>
      <c r="Q2623" t="str">
        <f>"119"</f>
        <v>119</v>
      </c>
      <c r="R2623" t="str">
        <f>"פלטפורמות"</f>
        <v>פלטפורמות</v>
      </c>
      <c r="S2623" t="str">
        <f>"007"</f>
        <v>007</v>
      </c>
      <c r="T2623" t="str">
        <f>"גנם הודיה"</f>
        <v>גנם הודיה</v>
      </c>
      <c r="U2623">
        <v>0</v>
      </c>
      <c r="V2623">
        <v>0</v>
      </c>
      <c r="W2623" s="2">
        <v>293000</v>
      </c>
      <c r="X2623" s="2">
        <v>586000</v>
      </c>
      <c r="AA2623">
        <v>2</v>
      </c>
      <c r="AC2623">
        <v>0</v>
      </c>
      <c r="AE2623">
        <v>0</v>
      </c>
      <c r="AF2623">
        <v>0</v>
      </c>
      <c r="AG2623" s="2">
        <v>1065934</v>
      </c>
      <c r="AH2623">
        <v>0</v>
      </c>
      <c r="AI2623" s="2">
        <v>2131868</v>
      </c>
      <c r="AJ2623" s="2">
        <v>586000</v>
      </c>
      <c r="AK2623" s="2">
        <v>586000</v>
      </c>
      <c r="AL2623" t="str">
        <f>"$"</f>
        <v>$</v>
      </c>
    </row>
    <row r="2624" spans="1:38" x14ac:dyDescent="0.3">
      <c r="A2624" t="str">
        <f>"SO23000302"</f>
        <v>SO23000302</v>
      </c>
      <c r="B2624" t="str">
        <f>"E000391862"</f>
        <v>E000391862</v>
      </c>
      <c r="C2624" t="str">
        <f>"מאושרת לבצוע"</f>
        <v>מאושרת לבצוע</v>
      </c>
      <c r="E2624" s="3">
        <v>45104</v>
      </c>
      <c r="F2624" s="3">
        <v>45109</v>
      </c>
      <c r="G2624" t="str">
        <f>"700065"</f>
        <v>700065</v>
      </c>
      <c r="H2624" t="str">
        <f>"אלתא מערכות בע""מ"</f>
        <v>אלתא מערכות בע"מ</v>
      </c>
      <c r="I2624" t="str">
        <f>"רוני דידי"</f>
        <v>רוני דידי</v>
      </c>
      <c r="J2624" t="str">
        <f>"OP-KR00003"</f>
        <v>OP-KR00003</v>
      </c>
      <c r="K2624" s="1" t="str">
        <f>"MDN SHELTER 1039P040-002"</f>
        <v>MDN SHELTER 1039P040-002</v>
      </c>
      <c r="L2624">
        <v>2</v>
      </c>
      <c r="O2624" s="2">
        <v>293000</v>
      </c>
      <c r="P2624" t="str">
        <f>"$"</f>
        <v>$</v>
      </c>
      <c r="Q2624" t="str">
        <f>"119"</f>
        <v>119</v>
      </c>
      <c r="R2624" t="str">
        <f>"פלטפורמות"</f>
        <v>פלטפורמות</v>
      </c>
      <c r="S2624" t="str">
        <f>"007"</f>
        <v>007</v>
      </c>
      <c r="T2624" t="str">
        <f>"גנם הודיה"</f>
        <v>גנם הודיה</v>
      </c>
      <c r="U2624">
        <v>0</v>
      </c>
      <c r="V2624">
        <v>0</v>
      </c>
      <c r="W2624" s="2">
        <v>293000</v>
      </c>
      <c r="X2624" s="2">
        <v>586000</v>
      </c>
      <c r="AA2624">
        <v>2</v>
      </c>
      <c r="AC2624">
        <v>0</v>
      </c>
      <c r="AE2624">
        <v>0</v>
      </c>
      <c r="AF2624">
        <v>0</v>
      </c>
      <c r="AG2624" s="2">
        <v>1065934</v>
      </c>
      <c r="AH2624">
        <v>0</v>
      </c>
      <c r="AI2624" s="2">
        <v>2131868</v>
      </c>
      <c r="AJ2624" s="2">
        <v>586000</v>
      </c>
      <c r="AK2624" s="2">
        <v>586000</v>
      </c>
      <c r="AL2624" t="str">
        <f>"$"</f>
        <v>$</v>
      </c>
    </row>
    <row r="2625" spans="1:38" x14ac:dyDescent="0.3">
      <c r="A2625" t="str">
        <f>"SO23000305"</f>
        <v>SO23000305</v>
      </c>
      <c r="B2625" t="str">
        <f>"E000396816"</f>
        <v>E000396816</v>
      </c>
      <c r="C2625" t="str">
        <f>"מאושרת לבצוע"</f>
        <v>מאושרת לבצוע</v>
      </c>
      <c r="E2625" s="3">
        <v>45109</v>
      </c>
      <c r="F2625" s="3">
        <v>45109</v>
      </c>
      <c r="G2625" t="str">
        <f>"700065"</f>
        <v>700065</v>
      </c>
      <c r="H2625" t="str">
        <f>"אלתא מערכות בע""מ"</f>
        <v>אלתא מערכות בע"מ</v>
      </c>
      <c r="I2625" t="str">
        <f>"רוני דידי"</f>
        <v>רוני דידי</v>
      </c>
      <c r="J2625" t="str">
        <f>"cust001406"</f>
        <v>cust001406</v>
      </c>
      <c r="K2625" s="1" t="str">
        <f>"מטען מצברים 1039V517-001 ירוק ELTA"</f>
        <v>מטען מצברים 1039V517-001 ירוק ELTA</v>
      </c>
      <c r="L2625">
        <v>1</v>
      </c>
      <c r="O2625">
        <v>0</v>
      </c>
      <c r="P2625" t="str">
        <f>"$"</f>
        <v>$</v>
      </c>
      <c r="Q2625" t="str">
        <f>"118"</f>
        <v>118</v>
      </c>
      <c r="R2625" t="str">
        <f>"מערכות"</f>
        <v>מערכות</v>
      </c>
      <c r="S2625" t="str">
        <f>"007"</f>
        <v>007</v>
      </c>
      <c r="T2625" t="str">
        <f>"גנם הודיה"</f>
        <v>גנם הודיה</v>
      </c>
      <c r="U2625">
        <v>0</v>
      </c>
      <c r="V2625">
        <v>0</v>
      </c>
      <c r="W2625">
        <v>0</v>
      </c>
      <c r="X2625">
        <v>0</v>
      </c>
      <c r="AA2625">
        <v>1</v>
      </c>
      <c r="AC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 t="str">
        <f>"$"</f>
        <v>$</v>
      </c>
    </row>
    <row r="2626" spans="1:38" x14ac:dyDescent="0.3">
      <c r="A2626" t="str">
        <f>"SO23000306"</f>
        <v>SO23000306</v>
      </c>
      <c r="B2626" t="str">
        <f>"E000397967"</f>
        <v>E000397967</v>
      </c>
      <c r="C2626" t="str">
        <f>"מאושרת לבצוע"</f>
        <v>מאושרת לבצוע</v>
      </c>
      <c r="E2626" s="3">
        <v>45109</v>
      </c>
      <c r="F2626" s="3">
        <v>45175</v>
      </c>
      <c r="G2626" t="str">
        <f>"700065"</f>
        <v>700065</v>
      </c>
      <c r="H2626" t="str">
        <f>"אלתא מערכות בע""מ"</f>
        <v>אלתא מערכות בע"מ</v>
      </c>
      <c r="I2626" t="str">
        <f>"רוני דידי"</f>
        <v>רוני דידי</v>
      </c>
      <c r="J2626" t="str">
        <f>"OP-AR01607"</f>
        <v>OP-AR01607</v>
      </c>
      <c r="K2626" s="1" t="str">
        <f>"תיקון יחידה 1038H185-001"</f>
        <v>תיקון יחידה 1038H185-001</v>
      </c>
      <c r="L2626">
        <v>1</v>
      </c>
      <c r="M2626" t="str">
        <f>"PR23000419"</f>
        <v>PR23000419</v>
      </c>
      <c r="N2626" t="str">
        <f>"213  1038H185-001"</f>
        <v>213  1038H185-001</v>
      </c>
      <c r="O2626" s="2">
        <v>2750</v>
      </c>
      <c r="P2626" t="str">
        <f>"$"</f>
        <v>$</v>
      </c>
      <c r="Q2626" t="str">
        <f>"118"</f>
        <v>118</v>
      </c>
      <c r="R2626" t="str">
        <f>"מערכות"</f>
        <v>מערכות</v>
      </c>
      <c r="S2626" t="str">
        <f>"007"</f>
        <v>007</v>
      </c>
      <c r="T2626" t="str">
        <f>"גנם הודיה"</f>
        <v>גנם הודיה</v>
      </c>
      <c r="U2626">
        <v>0</v>
      </c>
      <c r="V2626">
        <v>0</v>
      </c>
      <c r="W2626" s="2">
        <v>2750</v>
      </c>
      <c r="X2626" s="2">
        <v>2750</v>
      </c>
      <c r="AA2626">
        <v>0</v>
      </c>
      <c r="AC2626">
        <v>0</v>
      </c>
      <c r="AE2626">
        <v>0</v>
      </c>
      <c r="AF2626">
        <v>0</v>
      </c>
      <c r="AG2626" s="2">
        <v>10175</v>
      </c>
      <c r="AH2626">
        <v>0</v>
      </c>
      <c r="AI2626" s="2">
        <v>10175</v>
      </c>
      <c r="AJ2626" s="2">
        <v>2750</v>
      </c>
      <c r="AK2626" s="2">
        <v>2750</v>
      </c>
      <c r="AL2626" t="str">
        <f>"$"</f>
        <v>$</v>
      </c>
    </row>
    <row r="2627" spans="1:38" x14ac:dyDescent="0.3">
      <c r="A2627" t="str">
        <f>"SO23000306"</f>
        <v>SO23000306</v>
      </c>
      <c r="B2627" t="str">
        <f>"E000397967"</f>
        <v>E000397967</v>
      </c>
      <c r="C2627" t="str">
        <f>"מאושרת לבצוע"</f>
        <v>מאושרת לבצוע</v>
      </c>
      <c r="E2627" s="3">
        <v>45109</v>
      </c>
      <c r="F2627" s="3">
        <v>45111</v>
      </c>
      <c r="G2627" t="str">
        <f>"700065"</f>
        <v>700065</v>
      </c>
      <c r="H2627" t="str">
        <f>"אלתא מערכות בע""מ"</f>
        <v>אלתא מערכות בע"מ</v>
      </c>
      <c r="I2627" t="str">
        <f>"רוני דידי"</f>
        <v>רוני דידי</v>
      </c>
      <c r="J2627" t="str">
        <f>"000"</f>
        <v>000</v>
      </c>
      <c r="K2627" s="1" t="str">
        <f>"עדכון תכן"</f>
        <v>עדכון תכן</v>
      </c>
      <c r="L2627">
        <v>1</v>
      </c>
      <c r="M2627" t="str">
        <f>"PR23000419"</f>
        <v>PR23000419</v>
      </c>
      <c r="N2627" t="str">
        <f>"213  1038H185-001"</f>
        <v>213  1038H185-001</v>
      </c>
      <c r="O2627" s="2">
        <v>5600</v>
      </c>
      <c r="P2627" t="str">
        <f>"$"</f>
        <v>$</v>
      </c>
      <c r="Q2627" t="str">
        <f>"118"</f>
        <v>118</v>
      </c>
      <c r="R2627" t="str">
        <f>"מערכות"</f>
        <v>מערכות</v>
      </c>
      <c r="S2627" t="str">
        <f>"007"</f>
        <v>007</v>
      </c>
      <c r="T2627" t="str">
        <f>"גנם הודיה"</f>
        <v>גנם הודיה</v>
      </c>
      <c r="U2627">
        <v>0</v>
      </c>
      <c r="V2627">
        <v>0</v>
      </c>
      <c r="W2627" s="2">
        <v>5600</v>
      </c>
      <c r="X2627" s="2">
        <v>5600</v>
      </c>
      <c r="AA2627">
        <v>1</v>
      </c>
      <c r="AC2627">
        <v>0</v>
      </c>
      <c r="AE2627">
        <v>0</v>
      </c>
      <c r="AF2627">
        <v>0</v>
      </c>
      <c r="AG2627" s="2">
        <v>20720</v>
      </c>
      <c r="AH2627">
        <v>0</v>
      </c>
      <c r="AI2627" s="2">
        <v>20720</v>
      </c>
      <c r="AJ2627" s="2">
        <v>5600</v>
      </c>
      <c r="AK2627" s="2">
        <v>5600</v>
      </c>
      <c r="AL2627" t="str">
        <f>"$"</f>
        <v>$</v>
      </c>
    </row>
    <row r="2628" spans="1:38" x14ac:dyDescent="0.3">
      <c r="A2628" t="str">
        <f>"SO23000307"</f>
        <v>SO23000307</v>
      </c>
      <c r="B2628" t="str">
        <f>"E000397683"</f>
        <v>E000397683</v>
      </c>
      <c r="C2628" t="str">
        <f>"הרכבה חלקית"</f>
        <v>הרכבה חלקית</v>
      </c>
      <c r="E2628" s="3">
        <v>45109</v>
      </c>
      <c r="F2628" s="3">
        <v>45109</v>
      </c>
      <c r="G2628" t="str">
        <f>"700065"</f>
        <v>700065</v>
      </c>
      <c r="H2628" t="str">
        <f>"אלתא מערכות בע""מ"</f>
        <v>אלתא מערכות בע"מ</v>
      </c>
      <c r="I2628" t="str">
        <f>"רחמים זרוק"</f>
        <v>רחמים זרוק</v>
      </c>
      <c r="J2628" t="str">
        <f>"OP-AR03700"</f>
        <v>OP-AR03700</v>
      </c>
      <c r="K2628" s="1" t="str">
        <f>"4080H421-001    HARNESS WS421 - PDU TO MCCS - POWER"</f>
        <v>4080H421-001    HARNESS WS421 - PDU TO MCCS - POWER</v>
      </c>
      <c r="L2628">
        <v>1</v>
      </c>
      <c r="M2628" t="str">
        <f>"PR23000433"</f>
        <v>PR23000433</v>
      </c>
      <c r="N2628" t="str">
        <f>"E000397683"</f>
        <v>E000397683</v>
      </c>
      <c r="O2628">
        <v>319</v>
      </c>
      <c r="P2628" t="str">
        <f>"$"</f>
        <v>$</v>
      </c>
      <c r="Q2628" t="str">
        <f>"117"</f>
        <v>117</v>
      </c>
      <c r="R2628" t="str">
        <f>"רתמות"</f>
        <v>רתמות</v>
      </c>
      <c r="S2628" t="str">
        <f>"040"</f>
        <v>040</v>
      </c>
      <c r="T2628" t="str">
        <f>"גנם הודיה"</f>
        <v>גנם הודיה</v>
      </c>
      <c r="U2628">
        <v>0</v>
      </c>
      <c r="V2628">
        <v>0</v>
      </c>
      <c r="W2628">
        <v>319</v>
      </c>
      <c r="X2628">
        <v>319</v>
      </c>
      <c r="Z2628" t="str">
        <f>"Y"</f>
        <v>Y</v>
      </c>
      <c r="AA2628">
        <v>0</v>
      </c>
      <c r="AC2628">
        <v>0</v>
      </c>
      <c r="AE2628">
        <v>0</v>
      </c>
      <c r="AF2628">
        <v>0</v>
      </c>
      <c r="AG2628" s="2">
        <v>1180.3</v>
      </c>
      <c r="AH2628">
        <v>0</v>
      </c>
      <c r="AI2628" s="2">
        <v>1180.3</v>
      </c>
      <c r="AJ2628">
        <v>319</v>
      </c>
      <c r="AK2628">
        <v>319</v>
      </c>
      <c r="AL2628" t="str">
        <f>"$"</f>
        <v>$</v>
      </c>
    </row>
    <row r="2629" spans="1:38" x14ac:dyDescent="0.3">
      <c r="A2629" t="str">
        <f>"SO23000307"</f>
        <v>SO23000307</v>
      </c>
      <c r="B2629" t="str">
        <f>"E000397683"</f>
        <v>E000397683</v>
      </c>
      <c r="C2629" t="str">
        <f>"הרכבה חלקית"</f>
        <v>הרכבה חלקית</v>
      </c>
      <c r="E2629" s="3">
        <v>45109</v>
      </c>
      <c r="F2629" s="3">
        <v>45109</v>
      </c>
      <c r="G2629" t="str">
        <f>"700065"</f>
        <v>700065</v>
      </c>
      <c r="H2629" t="str">
        <f>"אלתא מערכות בע""מ"</f>
        <v>אלתא מערכות בע"מ</v>
      </c>
      <c r="I2629" t="str">
        <f>"רחמים זרוק"</f>
        <v>רחמים זרוק</v>
      </c>
      <c r="J2629" t="str">
        <f>"OP-AR03700"</f>
        <v>OP-AR03700</v>
      </c>
      <c r="K2629" s="1" t="str">
        <f>"4080H421-001    HARNESS WS421 - PDU TO MCCS - POWER"</f>
        <v>4080H421-001    HARNESS WS421 - PDU TO MCCS - POWER</v>
      </c>
      <c r="L2629">
        <v>1</v>
      </c>
      <c r="M2629" t="str">
        <f>"PR23000433"</f>
        <v>PR23000433</v>
      </c>
      <c r="N2629" t="str">
        <f>"E000397683"</f>
        <v>E000397683</v>
      </c>
      <c r="O2629">
        <v>319</v>
      </c>
      <c r="P2629" t="str">
        <f>"$"</f>
        <v>$</v>
      </c>
      <c r="Q2629" t="str">
        <f>"117"</f>
        <v>117</v>
      </c>
      <c r="R2629" t="str">
        <f>"רתמות"</f>
        <v>רתמות</v>
      </c>
      <c r="S2629" t="str">
        <f>"040"</f>
        <v>040</v>
      </c>
      <c r="T2629" t="str">
        <f>"גנם הודיה"</f>
        <v>גנם הודיה</v>
      </c>
      <c r="U2629">
        <v>0</v>
      </c>
      <c r="V2629">
        <v>0</v>
      </c>
      <c r="W2629">
        <v>319</v>
      </c>
      <c r="X2629">
        <v>319</v>
      </c>
      <c r="Z2629" t="str">
        <f>"Y"</f>
        <v>Y</v>
      </c>
      <c r="AA2629">
        <v>0</v>
      </c>
      <c r="AC2629">
        <v>0</v>
      </c>
      <c r="AE2629">
        <v>0</v>
      </c>
      <c r="AF2629">
        <v>0</v>
      </c>
      <c r="AG2629" s="2">
        <v>1180.3</v>
      </c>
      <c r="AH2629">
        <v>0</v>
      </c>
      <c r="AI2629" s="2">
        <v>1180.3</v>
      </c>
      <c r="AJ2629">
        <v>319</v>
      </c>
      <c r="AK2629">
        <v>319</v>
      </c>
      <c r="AL2629" t="str">
        <f>"$"</f>
        <v>$</v>
      </c>
    </row>
    <row r="2630" spans="1:38" x14ac:dyDescent="0.3">
      <c r="A2630" t="str">
        <f>"SO23000307"</f>
        <v>SO23000307</v>
      </c>
      <c r="B2630" t="str">
        <f>"E000397683"</f>
        <v>E000397683</v>
      </c>
      <c r="C2630" t="str">
        <f>"הרכבה חלקית"</f>
        <v>הרכבה חלקית</v>
      </c>
      <c r="E2630" s="3">
        <v>45109</v>
      </c>
      <c r="F2630" s="3">
        <v>45109</v>
      </c>
      <c r="G2630" t="str">
        <f>"700065"</f>
        <v>700065</v>
      </c>
      <c r="H2630" t="str">
        <f>"אלתא מערכות בע""מ"</f>
        <v>אלתא מערכות בע"מ</v>
      </c>
      <c r="I2630" t="str">
        <f>"רחמים זרוק"</f>
        <v>רחמים זרוק</v>
      </c>
      <c r="J2630" t="str">
        <f>"OP-AR03700"</f>
        <v>OP-AR03700</v>
      </c>
      <c r="K2630" s="1" t="str">
        <f>"4080H421-001    HARNESS WS421 - PDU TO MCCS - POWER"</f>
        <v>4080H421-001    HARNESS WS421 - PDU TO MCCS - POWER</v>
      </c>
      <c r="L2630">
        <v>3</v>
      </c>
      <c r="M2630" t="str">
        <f>"PR23000433"</f>
        <v>PR23000433</v>
      </c>
      <c r="N2630" t="str">
        <f>"E000397683"</f>
        <v>E000397683</v>
      </c>
      <c r="O2630">
        <v>319</v>
      </c>
      <c r="P2630" t="str">
        <f>"$"</f>
        <v>$</v>
      </c>
      <c r="Q2630" t="str">
        <f>"117"</f>
        <v>117</v>
      </c>
      <c r="R2630" t="str">
        <f>"רתמות"</f>
        <v>רתמות</v>
      </c>
      <c r="S2630" t="str">
        <f>"040"</f>
        <v>040</v>
      </c>
      <c r="T2630" t="str">
        <f>"גנם הודיה"</f>
        <v>גנם הודיה</v>
      </c>
      <c r="U2630">
        <v>0</v>
      </c>
      <c r="V2630">
        <v>0</v>
      </c>
      <c r="W2630">
        <v>319</v>
      </c>
      <c r="X2630">
        <v>957</v>
      </c>
      <c r="AA2630">
        <v>3</v>
      </c>
      <c r="AC2630">
        <v>0</v>
      </c>
      <c r="AE2630">
        <v>0</v>
      </c>
      <c r="AF2630">
        <v>0</v>
      </c>
      <c r="AG2630" s="2">
        <v>1180.3</v>
      </c>
      <c r="AH2630">
        <v>0</v>
      </c>
      <c r="AI2630" s="2">
        <v>3540.9</v>
      </c>
      <c r="AJ2630">
        <v>957</v>
      </c>
      <c r="AK2630">
        <v>957</v>
      </c>
      <c r="AL2630" t="str">
        <f>"$"</f>
        <v>$</v>
      </c>
    </row>
    <row r="2631" spans="1:38" x14ac:dyDescent="0.3">
      <c r="A2631" t="str">
        <f>"SO23000307"</f>
        <v>SO23000307</v>
      </c>
      <c r="B2631" t="str">
        <f>"E000397683"</f>
        <v>E000397683</v>
      </c>
      <c r="C2631" t="str">
        <f>"הרכבה חלקית"</f>
        <v>הרכבה חלקית</v>
      </c>
      <c r="E2631" s="3">
        <v>45109</v>
      </c>
      <c r="F2631" s="3">
        <v>45109</v>
      </c>
      <c r="G2631" t="str">
        <f>"700065"</f>
        <v>700065</v>
      </c>
      <c r="H2631" t="str">
        <f>"אלתא מערכות בע""מ"</f>
        <v>אלתא מערכות בע"מ</v>
      </c>
      <c r="I2631" t="str">
        <f>"רחמים זרוק"</f>
        <v>רחמים זרוק</v>
      </c>
      <c r="J2631" t="str">
        <f>"OP-AR03701"</f>
        <v>OP-AR03701</v>
      </c>
      <c r="K2631" s="1" t="str">
        <f>"4080H411-001    HARNESS WS411 - PDU TO RIP J2 - POWER"</f>
        <v>4080H411-001    HARNESS WS411 - PDU TO RIP J2 - POWER</v>
      </c>
      <c r="L2631">
        <v>1</v>
      </c>
      <c r="M2631" t="str">
        <f>"PR23000433"</f>
        <v>PR23000433</v>
      </c>
      <c r="N2631" t="str">
        <f>"E000397683"</f>
        <v>E000397683</v>
      </c>
      <c r="O2631">
        <v>775.58</v>
      </c>
      <c r="P2631" t="str">
        <f>"$"</f>
        <v>$</v>
      </c>
      <c r="Q2631" t="str">
        <f>"117"</f>
        <v>117</v>
      </c>
      <c r="R2631" t="str">
        <f>"רתמות"</f>
        <v>רתמות</v>
      </c>
      <c r="S2631" t="str">
        <f>"040"</f>
        <v>040</v>
      </c>
      <c r="T2631" t="str">
        <f>"גנם הודיה"</f>
        <v>גנם הודיה</v>
      </c>
      <c r="U2631">
        <v>0</v>
      </c>
      <c r="V2631">
        <v>0</v>
      </c>
      <c r="W2631">
        <v>775.58</v>
      </c>
      <c r="X2631">
        <v>775.58</v>
      </c>
      <c r="Z2631" t="str">
        <f>"Y"</f>
        <v>Y</v>
      </c>
      <c r="AA2631">
        <v>0</v>
      </c>
      <c r="AC2631">
        <v>0</v>
      </c>
      <c r="AE2631">
        <v>0</v>
      </c>
      <c r="AF2631">
        <v>0</v>
      </c>
      <c r="AG2631" s="2">
        <v>2869.65</v>
      </c>
      <c r="AH2631">
        <v>0</v>
      </c>
      <c r="AI2631" s="2">
        <v>2869.65</v>
      </c>
      <c r="AJ2631">
        <v>775.58</v>
      </c>
      <c r="AK2631">
        <v>775.58</v>
      </c>
      <c r="AL2631" t="str">
        <f>"$"</f>
        <v>$</v>
      </c>
    </row>
    <row r="2632" spans="1:38" x14ac:dyDescent="0.3">
      <c r="A2632" t="str">
        <f>"SO23000307"</f>
        <v>SO23000307</v>
      </c>
      <c r="B2632" t="str">
        <f>"E000397683"</f>
        <v>E000397683</v>
      </c>
      <c r="C2632" t="str">
        <f>"הרכבה חלקית"</f>
        <v>הרכבה חלקית</v>
      </c>
      <c r="E2632" s="3">
        <v>45109</v>
      </c>
      <c r="F2632" s="3">
        <v>45109</v>
      </c>
      <c r="G2632" t="str">
        <f>"700065"</f>
        <v>700065</v>
      </c>
      <c r="H2632" t="str">
        <f>"אלתא מערכות בע""מ"</f>
        <v>אלתא מערכות בע"מ</v>
      </c>
      <c r="I2632" t="str">
        <f>"רחמים זרוק"</f>
        <v>רחמים זרוק</v>
      </c>
      <c r="J2632" t="str">
        <f>"OP-AR03701"</f>
        <v>OP-AR03701</v>
      </c>
      <c r="K2632" s="1" t="str">
        <f>"4080H411-001    HARNESS WS411 - PDU TO RIP J2 - POWER"</f>
        <v>4080H411-001    HARNESS WS411 - PDU TO RIP J2 - POWER</v>
      </c>
      <c r="L2632">
        <v>1</v>
      </c>
      <c r="M2632" t="str">
        <f>"PR23000433"</f>
        <v>PR23000433</v>
      </c>
      <c r="N2632" t="str">
        <f>"E000397683"</f>
        <v>E000397683</v>
      </c>
      <c r="O2632">
        <v>775.58</v>
      </c>
      <c r="P2632" t="str">
        <f>"$"</f>
        <v>$</v>
      </c>
      <c r="Q2632" t="str">
        <f>"117"</f>
        <v>117</v>
      </c>
      <c r="R2632" t="str">
        <f>"רתמות"</f>
        <v>רתמות</v>
      </c>
      <c r="S2632" t="str">
        <f>"040"</f>
        <v>040</v>
      </c>
      <c r="T2632" t="str">
        <f>"גנם הודיה"</f>
        <v>גנם הודיה</v>
      </c>
      <c r="U2632">
        <v>0</v>
      </c>
      <c r="V2632">
        <v>0</v>
      </c>
      <c r="W2632">
        <v>775.58</v>
      </c>
      <c r="X2632">
        <v>775.58</v>
      </c>
      <c r="Z2632" t="str">
        <f>"Y"</f>
        <v>Y</v>
      </c>
      <c r="AA2632">
        <v>0</v>
      </c>
      <c r="AC2632">
        <v>0</v>
      </c>
      <c r="AE2632">
        <v>0</v>
      </c>
      <c r="AF2632">
        <v>0</v>
      </c>
      <c r="AG2632" s="2">
        <v>2869.65</v>
      </c>
      <c r="AH2632">
        <v>0</v>
      </c>
      <c r="AI2632" s="2">
        <v>2869.65</v>
      </c>
      <c r="AJ2632">
        <v>775.58</v>
      </c>
      <c r="AK2632">
        <v>775.58</v>
      </c>
      <c r="AL2632" t="str">
        <f>"$"</f>
        <v>$</v>
      </c>
    </row>
    <row r="2633" spans="1:38" x14ac:dyDescent="0.3">
      <c r="A2633" t="str">
        <f>"SO23000307"</f>
        <v>SO23000307</v>
      </c>
      <c r="B2633" t="str">
        <f>"E000397683"</f>
        <v>E000397683</v>
      </c>
      <c r="C2633" t="str">
        <f>"הרכבה חלקית"</f>
        <v>הרכבה חלקית</v>
      </c>
      <c r="E2633" s="3">
        <v>45109</v>
      </c>
      <c r="F2633" s="3">
        <v>45109</v>
      </c>
      <c r="G2633" t="str">
        <f>"700065"</f>
        <v>700065</v>
      </c>
      <c r="H2633" t="str">
        <f>"אלתא מערכות בע""מ"</f>
        <v>אלתא מערכות בע"מ</v>
      </c>
      <c r="I2633" t="str">
        <f>"רחמים זרוק"</f>
        <v>רחמים זרוק</v>
      </c>
      <c r="J2633" t="str">
        <f>"OP-AR03701"</f>
        <v>OP-AR03701</v>
      </c>
      <c r="K2633" s="1" t="str">
        <f>"4080H411-001    HARNESS WS411 - PDU TO RIP J2 - POWER"</f>
        <v>4080H411-001    HARNESS WS411 - PDU TO RIP J2 - POWER</v>
      </c>
      <c r="L2633">
        <v>3</v>
      </c>
      <c r="M2633" t="str">
        <f>"PR23000433"</f>
        <v>PR23000433</v>
      </c>
      <c r="N2633" t="str">
        <f>"E000397683"</f>
        <v>E000397683</v>
      </c>
      <c r="O2633">
        <v>775.58</v>
      </c>
      <c r="P2633" t="str">
        <f>"$"</f>
        <v>$</v>
      </c>
      <c r="Q2633" t="str">
        <f>"117"</f>
        <v>117</v>
      </c>
      <c r="R2633" t="str">
        <f>"רתמות"</f>
        <v>רתמות</v>
      </c>
      <c r="S2633" t="str">
        <f>"040"</f>
        <v>040</v>
      </c>
      <c r="T2633" t="str">
        <f>"גנם הודיה"</f>
        <v>גנם הודיה</v>
      </c>
      <c r="U2633">
        <v>0</v>
      </c>
      <c r="V2633">
        <v>0</v>
      </c>
      <c r="W2633">
        <v>775.58</v>
      </c>
      <c r="X2633" s="2">
        <v>2326.7399999999998</v>
      </c>
      <c r="AA2633">
        <v>3</v>
      </c>
      <c r="AC2633">
        <v>0</v>
      </c>
      <c r="AE2633">
        <v>0</v>
      </c>
      <c r="AF2633">
        <v>0</v>
      </c>
      <c r="AG2633" s="2">
        <v>2869.65</v>
      </c>
      <c r="AH2633">
        <v>0</v>
      </c>
      <c r="AI2633" s="2">
        <v>8608.94</v>
      </c>
      <c r="AJ2633" s="2">
        <v>2326.7399999999998</v>
      </c>
      <c r="AK2633" s="2">
        <v>2326.7399999999998</v>
      </c>
      <c r="AL2633" t="str">
        <f>"$"</f>
        <v>$</v>
      </c>
    </row>
    <row r="2634" spans="1:38" x14ac:dyDescent="0.3">
      <c r="A2634" t="str">
        <f>"SO23000307"</f>
        <v>SO23000307</v>
      </c>
      <c r="B2634" t="str">
        <f>"E000397683"</f>
        <v>E000397683</v>
      </c>
      <c r="C2634" t="str">
        <f>"הרכבה חלקית"</f>
        <v>הרכבה חלקית</v>
      </c>
      <c r="E2634" s="3">
        <v>45109</v>
      </c>
      <c r="F2634" s="3">
        <v>45109</v>
      </c>
      <c r="G2634" t="str">
        <f>"700065"</f>
        <v>700065</v>
      </c>
      <c r="H2634" t="str">
        <f>"אלתא מערכות בע""מ"</f>
        <v>אלתא מערכות בע"מ</v>
      </c>
      <c r="I2634" t="str">
        <f>"רחמים זרוק"</f>
        <v>רחמים זרוק</v>
      </c>
      <c r="J2634" t="str">
        <f>"OP-AR03702"</f>
        <v>OP-AR03702</v>
      </c>
      <c r="K2634" s="1" t="str">
        <f>"4080H416-001    HARNESS WS416 - PDU TO LAN SWITH 1&amp;2 - P"</f>
        <v>4080H416-001    HARNESS WS416 - PDU TO LAN SWITH 1&amp;2 - P</v>
      </c>
      <c r="L2634">
        <v>1</v>
      </c>
      <c r="M2634" t="str">
        <f>"PR23000433"</f>
        <v>PR23000433</v>
      </c>
      <c r="N2634" t="str">
        <f>"E000397683"</f>
        <v>E000397683</v>
      </c>
      <c r="O2634">
        <v>539.66999999999996</v>
      </c>
      <c r="P2634" t="str">
        <f>"$"</f>
        <v>$</v>
      </c>
      <c r="Q2634" t="str">
        <f>"117"</f>
        <v>117</v>
      </c>
      <c r="R2634" t="str">
        <f>"רתמות"</f>
        <v>רתמות</v>
      </c>
      <c r="S2634" t="str">
        <f>"040"</f>
        <v>040</v>
      </c>
      <c r="T2634" t="str">
        <f>"גנם הודיה"</f>
        <v>גנם הודיה</v>
      </c>
      <c r="U2634">
        <v>0</v>
      </c>
      <c r="V2634">
        <v>0</v>
      </c>
      <c r="W2634">
        <v>539.66999999999996</v>
      </c>
      <c r="X2634">
        <v>539.66999999999996</v>
      </c>
      <c r="Z2634" t="str">
        <f>"Y"</f>
        <v>Y</v>
      </c>
      <c r="AA2634">
        <v>0</v>
      </c>
      <c r="AC2634">
        <v>0</v>
      </c>
      <c r="AE2634">
        <v>0</v>
      </c>
      <c r="AF2634">
        <v>0</v>
      </c>
      <c r="AG2634" s="2">
        <v>1996.78</v>
      </c>
      <c r="AH2634">
        <v>0</v>
      </c>
      <c r="AI2634" s="2">
        <v>1996.78</v>
      </c>
      <c r="AJ2634">
        <v>539.66999999999996</v>
      </c>
      <c r="AK2634">
        <v>539.66999999999996</v>
      </c>
      <c r="AL2634" t="str">
        <f>"$"</f>
        <v>$</v>
      </c>
    </row>
    <row r="2635" spans="1:38" x14ac:dyDescent="0.3">
      <c r="A2635" t="str">
        <f>"SO23000307"</f>
        <v>SO23000307</v>
      </c>
      <c r="B2635" t="str">
        <f>"E000397683"</f>
        <v>E000397683</v>
      </c>
      <c r="C2635" t="str">
        <f>"הרכבה חלקית"</f>
        <v>הרכבה חלקית</v>
      </c>
      <c r="E2635" s="3">
        <v>45109</v>
      </c>
      <c r="F2635" s="3">
        <v>45109</v>
      </c>
      <c r="G2635" t="str">
        <f>"700065"</f>
        <v>700065</v>
      </c>
      <c r="H2635" t="str">
        <f>"אלתא מערכות בע""מ"</f>
        <v>אלתא מערכות בע"מ</v>
      </c>
      <c r="I2635" t="str">
        <f>"רחמים זרוק"</f>
        <v>רחמים זרוק</v>
      </c>
      <c r="J2635" t="str">
        <f>"OP-AR03702"</f>
        <v>OP-AR03702</v>
      </c>
      <c r="K2635" s="1" t="str">
        <f>"4080H416-001    HARNESS WS416 - PDU TO LAN SWITH 1&amp;2 - P"</f>
        <v>4080H416-001    HARNESS WS416 - PDU TO LAN SWITH 1&amp;2 - P</v>
      </c>
      <c r="L2635">
        <v>1</v>
      </c>
      <c r="M2635" t="str">
        <f>"PR23000433"</f>
        <v>PR23000433</v>
      </c>
      <c r="N2635" t="str">
        <f>"E000397683"</f>
        <v>E000397683</v>
      </c>
      <c r="O2635">
        <v>539.66999999999996</v>
      </c>
      <c r="P2635" t="str">
        <f>"$"</f>
        <v>$</v>
      </c>
      <c r="Q2635" t="str">
        <f>"117"</f>
        <v>117</v>
      </c>
      <c r="R2635" t="str">
        <f>"רתמות"</f>
        <v>רתמות</v>
      </c>
      <c r="S2635" t="str">
        <f>"040"</f>
        <v>040</v>
      </c>
      <c r="T2635" t="str">
        <f>"גנם הודיה"</f>
        <v>גנם הודיה</v>
      </c>
      <c r="U2635">
        <v>0</v>
      </c>
      <c r="V2635">
        <v>0</v>
      </c>
      <c r="W2635">
        <v>539.66999999999996</v>
      </c>
      <c r="X2635">
        <v>539.66999999999996</v>
      </c>
      <c r="Z2635" t="str">
        <f>"Y"</f>
        <v>Y</v>
      </c>
      <c r="AA2635">
        <v>0</v>
      </c>
      <c r="AC2635">
        <v>0</v>
      </c>
      <c r="AE2635">
        <v>0</v>
      </c>
      <c r="AF2635">
        <v>0</v>
      </c>
      <c r="AG2635" s="2">
        <v>1996.78</v>
      </c>
      <c r="AH2635">
        <v>0</v>
      </c>
      <c r="AI2635" s="2">
        <v>1996.78</v>
      </c>
      <c r="AJ2635">
        <v>539.66999999999996</v>
      </c>
      <c r="AK2635">
        <v>539.66999999999996</v>
      </c>
      <c r="AL2635" t="str">
        <f>"$"</f>
        <v>$</v>
      </c>
    </row>
    <row r="2636" spans="1:38" x14ac:dyDescent="0.3">
      <c r="A2636" t="str">
        <f>"SO23000307"</f>
        <v>SO23000307</v>
      </c>
      <c r="B2636" t="str">
        <f>"E000397683"</f>
        <v>E000397683</v>
      </c>
      <c r="C2636" t="str">
        <f>"הרכבה חלקית"</f>
        <v>הרכבה חלקית</v>
      </c>
      <c r="E2636" s="3">
        <v>45109</v>
      </c>
      <c r="F2636" s="3">
        <v>45109</v>
      </c>
      <c r="G2636" t="str">
        <f>"700065"</f>
        <v>700065</v>
      </c>
      <c r="H2636" t="str">
        <f>"אלתא מערכות בע""מ"</f>
        <v>אלתא מערכות בע"מ</v>
      </c>
      <c r="I2636" t="str">
        <f>"רחמים זרוק"</f>
        <v>רחמים זרוק</v>
      </c>
      <c r="J2636" t="str">
        <f>"OP-AR03702"</f>
        <v>OP-AR03702</v>
      </c>
      <c r="K2636" s="1" t="str">
        <f>"4080H416-001    HARNESS WS416 - PDU TO LAN SWITH 1&amp;2 - P"</f>
        <v>4080H416-001    HARNESS WS416 - PDU TO LAN SWITH 1&amp;2 - P</v>
      </c>
      <c r="L2636">
        <v>3</v>
      </c>
      <c r="M2636" t="str">
        <f>"PR23000433"</f>
        <v>PR23000433</v>
      </c>
      <c r="N2636" t="str">
        <f>"E000397683"</f>
        <v>E000397683</v>
      </c>
      <c r="O2636">
        <v>539.66999999999996</v>
      </c>
      <c r="P2636" t="str">
        <f>"$"</f>
        <v>$</v>
      </c>
      <c r="Q2636" t="str">
        <f>"117"</f>
        <v>117</v>
      </c>
      <c r="R2636" t="str">
        <f>"רתמות"</f>
        <v>רתמות</v>
      </c>
      <c r="S2636" t="str">
        <f>"040"</f>
        <v>040</v>
      </c>
      <c r="T2636" t="str">
        <f>"גנם הודיה"</f>
        <v>גנם הודיה</v>
      </c>
      <c r="U2636">
        <v>0</v>
      </c>
      <c r="V2636">
        <v>0</v>
      </c>
      <c r="W2636">
        <v>539.66999999999996</v>
      </c>
      <c r="X2636" s="2">
        <v>1619.01</v>
      </c>
      <c r="AA2636">
        <v>3</v>
      </c>
      <c r="AC2636">
        <v>0</v>
      </c>
      <c r="AE2636">
        <v>0</v>
      </c>
      <c r="AF2636">
        <v>0</v>
      </c>
      <c r="AG2636" s="2">
        <v>1996.78</v>
      </c>
      <c r="AH2636">
        <v>0</v>
      </c>
      <c r="AI2636" s="2">
        <v>5990.34</v>
      </c>
      <c r="AJ2636" s="2">
        <v>1619.01</v>
      </c>
      <c r="AK2636" s="2">
        <v>1619.01</v>
      </c>
      <c r="AL2636" t="str">
        <f>"$"</f>
        <v>$</v>
      </c>
    </row>
    <row r="2637" spans="1:38" x14ac:dyDescent="0.3">
      <c r="A2637" t="str">
        <f>"SO23000307"</f>
        <v>SO23000307</v>
      </c>
      <c r="B2637" t="str">
        <f>"E000397683"</f>
        <v>E000397683</v>
      </c>
      <c r="C2637" t="str">
        <f>"הרכבה חלקית"</f>
        <v>הרכבה חלקית</v>
      </c>
      <c r="E2637" s="3">
        <v>45109</v>
      </c>
      <c r="F2637" s="3">
        <v>45109</v>
      </c>
      <c r="G2637" t="str">
        <f>"700065"</f>
        <v>700065</v>
      </c>
      <c r="H2637" t="str">
        <f>"אלתא מערכות בע""מ"</f>
        <v>אלתא מערכות בע"מ</v>
      </c>
      <c r="I2637" t="str">
        <f>"רחמים זרוק"</f>
        <v>רחמים זרוק</v>
      </c>
      <c r="J2637" t="str">
        <f>"OP-AR03703"</f>
        <v>OP-AR03703</v>
      </c>
      <c r="K2637" s="1" t="str">
        <f>"4080H417-001    HARNESS WS417 - PDU TO EPU 1-4 - POWER"</f>
        <v>4080H417-001    HARNESS WS417 - PDU TO EPU 1-4 - POWER</v>
      </c>
      <c r="L2637">
        <v>3</v>
      </c>
      <c r="M2637" t="str">
        <f>"PR23000433"</f>
        <v>PR23000433</v>
      </c>
      <c r="N2637" t="str">
        <f>"E000397683"</f>
        <v>E000397683</v>
      </c>
      <c r="O2637" s="2">
        <v>1496.5</v>
      </c>
      <c r="P2637" t="str">
        <f>"$"</f>
        <v>$</v>
      </c>
      <c r="Q2637" t="str">
        <f>"117"</f>
        <v>117</v>
      </c>
      <c r="R2637" t="str">
        <f>"רתמות"</f>
        <v>רתמות</v>
      </c>
      <c r="S2637" t="str">
        <f>"040"</f>
        <v>040</v>
      </c>
      <c r="T2637" t="str">
        <f>"גנם הודיה"</f>
        <v>גנם הודיה</v>
      </c>
      <c r="U2637">
        <v>0</v>
      </c>
      <c r="V2637">
        <v>0</v>
      </c>
      <c r="W2637" s="2">
        <v>1496.5</v>
      </c>
      <c r="X2637" s="2">
        <v>4489.5</v>
      </c>
      <c r="AA2637">
        <v>3</v>
      </c>
      <c r="AC2637">
        <v>0</v>
      </c>
      <c r="AE2637">
        <v>0</v>
      </c>
      <c r="AF2637">
        <v>0</v>
      </c>
      <c r="AG2637" s="2">
        <v>5537.05</v>
      </c>
      <c r="AH2637">
        <v>0</v>
      </c>
      <c r="AI2637" s="2">
        <v>16611.150000000001</v>
      </c>
      <c r="AJ2637" s="2">
        <v>4489.5</v>
      </c>
      <c r="AK2637" s="2">
        <v>4489.5</v>
      </c>
      <c r="AL2637" t="str">
        <f>"$"</f>
        <v>$</v>
      </c>
    </row>
    <row r="2638" spans="1:38" x14ac:dyDescent="0.3">
      <c r="A2638" t="str">
        <f>"SO23000307"</f>
        <v>SO23000307</v>
      </c>
      <c r="B2638" t="str">
        <f>"E000397683"</f>
        <v>E000397683</v>
      </c>
      <c r="C2638" t="str">
        <f>"הרכבה חלקית"</f>
        <v>הרכבה חלקית</v>
      </c>
      <c r="E2638" s="3">
        <v>45109</v>
      </c>
      <c r="F2638" s="3">
        <v>45109</v>
      </c>
      <c r="G2638" t="str">
        <f>"700065"</f>
        <v>700065</v>
      </c>
      <c r="H2638" t="str">
        <f>"אלתא מערכות בע""מ"</f>
        <v>אלתא מערכות בע"מ</v>
      </c>
      <c r="I2638" t="str">
        <f>"רחמים זרוק"</f>
        <v>רחמים זרוק</v>
      </c>
      <c r="J2638" t="str">
        <f>"OP-AR03703"</f>
        <v>OP-AR03703</v>
      </c>
      <c r="K2638" s="1" t="str">
        <f>"4080H417-001    HARNESS WS417 - PDU TO EPU 1-4 - POWER"</f>
        <v>4080H417-001    HARNESS WS417 - PDU TO EPU 1-4 - POWER</v>
      </c>
      <c r="L2638">
        <v>1</v>
      </c>
      <c r="M2638" t="str">
        <f>"PR23000433"</f>
        <v>PR23000433</v>
      </c>
      <c r="N2638" t="str">
        <f>"E000397683"</f>
        <v>E000397683</v>
      </c>
      <c r="O2638" s="2">
        <v>1496.5</v>
      </c>
      <c r="P2638" t="str">
        <f>"$"</f>
        <v>$</v>
      </c>
      <c r="Q2638" t="str">
        <f>"117"</f>
        <v>117</v>
      </c>
      <c r="R2638" t="str">
        <f>"רתמות"</f>
        <v>רתמות</v>
      </c>
      <c r="S2638" t="str">
        <f>"040"</f>
        <v>040</v>
      </c>
      <c r="T2638" t="str">
        <f>"גנם הודיה"</f>
        <v>גנם הודיה</v>
      </c>
      <c r="U2638">
        <v>0</v>
      </c>
      <c r="V2638">
        <v>0</v>
      </c>
      <c r="W2638" s="2">
        <v>1496.5</v>
      </c>
      <c r="X2638" s="2">
        <v>1496.5</v>
      </c>
      <c r="Z2638" t="str">
        <f>"Y"</f>
        <v>Y</v>
      </c>
      <c r="AA2638">
        <v>0</v>
      </c>
      <c r="AC2638">
        <v>0</v>
      </c>
      <c r="AE2638">
        <v>0</v>
      </c>
      <c r="AF2638">
        <v>0</v>
      </c>
      <c r="AG2638" s="2">
        <v>5537.05</v>
      </c>
      <c r="AH2638">
        <v>0</v>
      </c>
      <c r="AI2638" s="2">
        <v>5537.05</v>
      </c>
      <c r="AJ2638" s="2">
        <v>1496.5</v>
      </c>
      <c r="AK2638" s="2">
        <v>1496.5</v>
      </c>
      <c r="AL2638" t="str">
        <f>"$"</f>
        <v>$</v>
      </c>
    </row>
    <row r="2639" spans="1:38" x14ac:dyDescent="0.3">
      <c r="A2639" t="str">
        <f>"SO23000307"</f>
        <v>SO23000307</v>
      </c>
      <c r="B2639" t="str">
        <f>"E000397683"</f>
        <v>E000397683</v>
      </c>
      <c r="C2639" t="str">
        <f>"הרכבה חלקית"</f>
        <v>הרכבה חלקית</v>
      </c>
      <c r="E2639" s="3">
        <v>45109</v>
      </c>
      <c r="F2639" s="3">
        <v>45109</v>
      </c>
      <c r="G2639" t="str">
        <f>"700065"</f>
        <v>700065</v>
      </c>
      <c r="H2639" t="str">
        <f>"אלתא מערכות בע""מ"</f>
        <v>אלתא מערכות בע"מ</v>
      </c>
      <c r="I2639" t="str">
        <f>"רחמים זרוק"</f>
        <v>רחמים זרוק</v>
      </c>
      <c r="J2639" t="str">
        <f>"OP-AR03703"</f>
        <v>OP-AR03703</v>
      </c>
      <c r="K2639" s="1" t="str">
        <f>"4080H417-001    HARNESS WS417 - PDU TO EPU 1-4 - POWER"</f>
        <v>4080H417-001    HARNESS WS417 - PDU TO EPU 1-4 - POWER</v>
      </c>
      <c r="L2639">
        <v>1</v>
      </c>
      <c r="M2639" t="str">
        <f>"PR23000433"</f>
        <v>PR23000433</v>
      </c>
      <c r="N2639" t="str">
        <f>"E000397683"</f>
        <v>E000397683</v>
      </c>
      <c r="O2639" s="2">
        <v>1496.5</v>
      </c>
      <c r="P2639" t="str">
        <f>"$"</f>
        <v>$</v>
      </c>
      <c r="Q2639" t="str">
        <f>"117"</f>
        <v>117</v>
      </c>
      <c r="R2639" t="str">
        <f>"רתמות"</f>
        <v>רתמות</v>
      </c>
      <c r="S2639" t="str">
        <f>"040"</f>
        <v>040</v>
      </c>
      <c r="T2639" t="str">
        <f>"גנם הודיה"</f>
        <v>גנם הודיה</v>
      </c>
      <c r="U2639">
        <v>0</v>
      </c>
      <c r="V2639">
        <v>0</v>
      </c>
      <c r="W2639" s="2">
        <v>1496.5</v>
      </c>
      <c r="X2639" s="2">
        <v>1496.5</v>
      </c>
      <c r="Z2639" t="str">
        <f>"Y"</f>
        <v>Y</v>
      </c>
      <c r="AA2639">
        <v>0</v>
      </c>
      <c r="AC2639">
        <v>0</v>
      </c>
      <c r="AE2639">
        <v>0</v>
      </c>
      <c r="AF2639">
        <v>0</v>
      </c>
      <c r="AG2639" s="2">
        <v>5537.05</v>
      </c>
      <c r="AH2639">
        <v>0</v>
      </c>
      <c r="AI2639" s="2">
        <v>5537.05</v>
      </c>
      <c r="AJ2639" s="2">
        <v>1496.5</v>
      </c>
      <c r="AK2639" s="2">
        <v>1496.5</v>
      </c>
      <c r="AL2639" t="str">
        <f>"$"</f>
        <v>$</v>
      </c>
    </row>
    <row r="2640" spans="1:38" x14ac:dyDescent="0.3">
      <c r="A2640" t="str">
        <f>"SO23000307"</f>
        <v>SO23000307</v>
      </c>
      <c r="B2640" t="str">
        <f>"E000397683"</f>
        <v>E000397683</v>
      </c>
      <c r="C2640" t="str">
        <f>"הרכבה חלקית"</f>
        <v>הרכבה חלקית</v>
      </c>
      <c r="E2640" s="3">
        <v>45109</v>
      </c>
      <c r="F2640" s="3">
        <v>45109</v>
      </c>
      <c r="G2640" t="str">
        <f>"700065"</f>
        <v>700065</v>
      </c>
      <c r="H2640" t="str">
        <f>"אלתא מערכות בע""מ"</f>
        <v>אלתא מערכות בע"מ</v>
      </c>
      <c r="I2640" t="str">
        <f>"רחמים זרוק"</f>
        <v>רחמים זרוק</v>
      </c>
      <c r="J2640" t="str">
        <f>"OP-AR03704"</f>
        <v>OP-AR03704</v>
      </c>
      <c r="K2640" s="1" t="str">
        <f>"4080H434-001    ETHERNET CABLE WS434 - LS2 TO RFDU - 10/"</f>
        <v>4080H434-001    ETHERNET CABLE WS434 - LS2 TO RFDU - 10/</v>
      </c>
      <c r="L2640">
        <v>3</v>
      </c>
      <c r="M2640" t="str">
        <f>"PR23000433"</f>
        <v>PR23000433</v>
      </c>
      <c r="N2640" t="str">
        <f>"E000397683"</f>
        <v>E000397683</v>
      </c>
      <c r="O2640">
        <v>326.07</v>
      </c>
      <c r="P2640" t="str">
        <f>"$"</f>
        <v>$</v>
      </c>
      <c r="Q2640" t="str">
        <f>"117"</f>
        <v>117</v>
      </c>
      <c r="R2640" t="str">
        <f>"רתמות"</f>
        <v>רתמות</v>
      </c>
      <c r="S2640" t="str">
        <f>"040"</f>
        <v>040</v>
      </c>
      <c r="T2640" t="str">
        <f>"גנם הודיה"</f>
        <v>גנם הודיה</v>
      </c>
      <c r="U2640">
        <v>0</v>
      </c>
      <c r="V2640">
        <v>0</v>
      </c>
      <c r="W2640">
        <v>326.07</v>
      </c>
      <c r="X2640">
        <v>978.21</v>
      </c>
      <c r="Z2640" t="str">
        <f>"Y"</f>
        <v>Y</v>
      </c>
      <c r="AA2640">
        <v>0</v>
      </c>
      <c r="AC2640">
        <v>0</v>
      </c>
      <c r="AE2640">
        <v>0</v>
      </c>
      <c r="AF2640">
        <v>0</v>
      </c>
      <c r="AG2640" s="2">
        <v>1206.46</v>
      </c>
      <c r="AH2640">
        <v>0</v>
      </c>
      <c r="AI2640" s="2">
        <v>3619.38</v>
      </c>
      <c r="AJ2640">
        <v>978.21</v>
      </c>
      <c r="AK2640">
        <v>978.21</v>
      </c>
      <c r="AL2640" t="str">
        <f>"$"</f>
        <v>$</v>
      </c>
    </row>
    <row r="2641" spans="1:38" x14ac:dyDescent="0.3">
      <c r="A2641" t="str">
        <f>"SO23000307"</f>
        <v>SO23000307</v>
      </c>
      <c r="B2641" t="str">
        <f>"E000397683"</f>
        <v>E000397683</v>
      </c>
      <c r="C2641" t="str">
        <f>"הרכבה חלקית"</f>
        <v>הרכבה חלקית</v>
      </c>
      <c r="E2641" s="3">
        <v>45109</v>
      </c>
      <c r="F2641" s="3">
        <v>45109</v>
      </c>
      <c r="G2641" t="str">
        <f>"700065"</f>
        <v>700065</v>
      </c>
      <c r="H2641" t="str">
        <f>"אלתא מערכות בע""מ"</f>
        <v>אלתא מערכות בע"מ</v>
      </c>
      <c r="I2641" t="str">
        <f>"רחמים זרוק"</f>
        <v>רחמים זרוק</v>
      </c>
      <c r="J2641" t="str">
        <f>"OP-AR03704"</f>
        <v>OP-AR03704</v>
      </c>
      <c r="K2641" s="1" t="str">
        <f>"4080H434-001    ETHERNET CABLE WS434 - LS2 TO RFDU - 10/"</f>
        <v>4080H434-001    ETHERNET CABLE WS434 - LS2 TO RFDU - 10/</v>
      </c>
      <c r="L2641">
        <v>1</v>
      </c>
      <c r="M2641" t="str">
        <f>"PR23000433"</f>
        <v>PR23000433</v>
      </c>
      <c r="N2641" t="str">
        <f>"E000397683"</f>
        <v>E000397683</v>
      </c>
      <c r="O2641">
        <v>326.07</v>
      </c>
      <c r="P2641" t="str">
        <f>"$"</f>
        <v>$</v>
      </c>
      <c r="Q2641" t="str">
        <f>"117"</f>
        <v>117</v>
      </c>
      <c r="R2641" t="str">
        <f>"רתמות"</f>
        <v>רתמות</v>
      </c>
      <c r="S2641" t="str">
        <f>"040"</f>
        <v>040</v>
      </c>
      <c r="T2641" t="str">
        <f>"גנם הודיה"</f>
        <v>גנם הודיה</v>
      </c>
      <c r="U2641">
        <v>0</v>
      </c>
      <c r="V2641">
        <v>0</v>
      </c>
      <c r="W2641">
        <v>326.07</v>
      </c>
      <c r="X2641">
        <v>326.07</v>
      </c>
      <c r="Z2641" t="str">
        <f>"Y"</f>
        <v>Y</v>
      </c>
      <c r="AA2641">
        <v>0</v>
      </c>
      <c r="AC2641">
        <v>0</v>
      </c>
      <c r="AE2641">
        <v>0</v>
      </c>
      <c r="AF2641">
        <v>0</v>
      </c>
      <c r="AG2641" s="2">
        <v>1206.46</v>
      </c>
      <c r="AH2641">
        <v>0</v>
      </c>
      <c r="AI2641" s="2">
        <v>1206.46</v>
      </c>
      <c r="AJ2641">
        <v>326.07</v>
      </c>
      <c r="AK2641">
        <v>326.07</v>
      </c>
      <c r="AL2641" t="str">
        <f>"$"</f>
        <v>$</v>
      </c>
    </row>
    <row r="2642" spans="1:38" x14ac:dyDescent="0.3">
      <c r="A2642" t="str">
        <f>"SO23000307"</f>
        <v>SO23000307</v>
      </c>
      <c r="B2642" t="str">
        <f>"E000397683"</f>
        <v>E000397683</v>
      </c>
      <c r="C2642" t="str">
        <f>"הרכבה חלקית"</f>
        <v>הרכבה חלקית</v>
      </c>
      <c r="E2642" s="3">
        <v>45109</v>
      </c>
      <c r="F2642" s="3">
        <v>45109</v>
      </c>
      <c r="G2642" t="str">
        <f>"700065"</f>
        <v>700065</v>
      </c>
      <c r="H2642" t="str">
        <f>"אלתא מערכות בע""מ"</f>
        <v>אלתא מערכות בע"מ</v>
      </c>
      <c r="I2642" t="str">
        <f>"רחמים זרוק"</f>
        <v>רחמים זרוק</v>
      </c>
      <c r="J2642" t="str">
        <f>"OP-AR03704"</f>
        <v>OP-AR03704</v>
      </c>
      <c r="K2642" s="1" t="str">
        <f>"4080H434-001    ETHERNET CABLE WS434 - LS2 TO RFDU - 10/"</f>
        <v>4080H434-001    ETHERNET CABLE WS434 - LS2 TO RFDU - 10/</v>
      </c>
      <c r="L2642">
        <v>1</v>
      </c>
      <c r="M2642" t="str">
        <f>"PR23000433"</f>
        <v>PR23000433</v>
      </c>
      <c r="N2642" t="str">
        <f>"E000397683"</f>
        <v>E000397683</v>
      </c>
      <c r="O2642">
        <v>326.07</v>
      </c>
      <c r="P2642" t="str">
        <f>"$"</f>
        <v>$</v>
      </c>
      <c r="Q2642" t="str">
        <f>"117"</f>
        <v>117</v>
      </c>
      <c r="R2642" t="str">
        <f>"רתמות"</f>
        <v>רתמות</v>
      </c>
      <c r="S2642" t="str">
        <f>"040"</f>
        <v>040</v>
      </c>
      <c r="T2642" t="str">
        <f>"גנם הודיה"</f>
        <v>גנם הודיה</v>
      </c>
      <c r="U2642">
        <v>0</v>
      </c>
      <c r="V2642">
        <v>0</v>
      </c>
      <c r="W2642">
        <v>326.07</v>
      </c>
      <c r="X2642">
        <v>326.07</v>
      </c>
      <c r="Z2642" t="str">
        <f>"Y"</f>
        <v>Y</v>
      </c>
      <c r="AA2642">
        <v>0</v>
      </c>
      <c r="AC2642">
        <v>0</v>
      </c>
      <c r="AE2642">
        <v>0</v>
      </c>
      <c r="AF2642">
        <v>0</v>
      </c>
      <c r="AG2642" s="2">
        <v>1206.46</v>
      </c>
      <c r="AH2642">
        <v>0</v>
      </c>
      <c r="AI2642" s="2">
        <v>1206.46</v>
      </c>
      <c r="AJ2642">
        <v>326.07</v>
      </c>
      <c r="AK2642">
        <v>326.07</v>
      </c>
      <c r="AL2642" t="str">
        <f>"$"</f>
        <v>$</v>
      </c>
    </row>
    <row r="2643" spans="1:38" x14ac:dyDescent="0.3">
      <c r="A2643" t="str">
        <f>"SO23000307"</f>
        <v>SO23000307</v>
      </c>
      <c r="B2643" t="str">
        <f>"E000397683"</f>
        <v>E000397683</v>
      </c>
      <c r="C2643" t="str">
        <f>"הרכבה חלקית"</f>
        <v>הרכבה חלקית</v>
      </c>
      <c r="E2643" s="3">
        <v>45109</v>
      </c>
      <c r="F2643" s="3">
        <v>45109</v>
      </c>
      <c r="G2643" t="str">
        <f>"700065"</f>
        <v>700065</v>
      </c>
      <c r="H2643" t="str">
        <f>"אלתא מערכות בע""מ"</f>
        <v>אלתא מערכות בע"מ</v>
      </c>
      <c r="I2643" t="str">
        <f>"רחמים זרוק"</f>
        <v>רחמים זרוק</v>
      </c>
      <c r="J2643" t="str">
        <f>"OP-AR03705"</f>
        <v>OP-AR03705</v>
      </c>
      <c r="K2643" s="1" t="str">
        <f>"4080H437-001    ETHERNET CABLE WS437 - LS1 TO EPU1 - 1G"</f>
        <v>4080H437-001    ETHERNET CABLE WS437 - LS1 TO EPU1 - 1G</v>
      </c>
      <c r="L2643">
        <v>3</v>
      </c>
      <c r="M2643" t="str">
        <f>"PR23000433"</f>
        <v>PR23000433</v>
      </c>
      <c r="N2643" t="str">
        <f>"E000397683"</f>
        <v>E000397683</v>
      </c>
      <c r="O2643">
        <v>384.28</v>
      </c>
      <c r="P2643" t="str">
        <f>"$"</f>
        <v>$</v>
      </c>
      <c r="Q2643" t="str">
        <f>"117"</f>
        <v>117</v>
      </c>
      <c r="R2643" t="str">
        <f>"רתמות"</f>
        <v>רתמות</v>
      </c>
      <c r="S2643" t="str">
        <f>"040"</f>
        <v>040</v>
      </c>
      <c r="T2643" t="str">
        <f>"גנם הודיה"</f>
        <v>גנם הודיה</v>
      </c>
      <c r="U2643">
        <v>0</v>
      </c>
      <c r="V2643">
        <v>0</v>
      </c>
      <c r="W2643">
        <v>384.28</v>
      </c>
      <c r="X2643" s="2">
        <v>1152.8399999999999</v>
      </c>
      <c r="Z2643" t="str">
        <f>"Y"</f>
        <v>Y</v>
      </c>
      <c r="AA2643">
        <v>0</v>
      </c>
      <c r="AC2643">
        <v>0</v>
      </c>
      <c r="AE2643">
        <v>0</v>
      </c>
      <c r="AF2643">
        <v>0</v>
      </c>
      <c r="AG2643" s="2">
        <v>1421.84</v>
      </c>
      <c r="AH2643">
        <v>0</v>
      </c>
      <c r="AI2643" s="2">
        <v>4265.51</v>
      </c>
      <c r="AJ2643" s="2">
        <v>1152.8399999999999</v>
      </c>
      <c r="AK2643" s="2">
        <v>1152.8399999999999</v>
      </c>
      <c r="AL2643" t="str">
        <f>"$"</f>
        <v>$</v>
      </c>
    </row>
    <row r="2644" spans="1:38" x14ac:dyDescent="0.3">
      <c r="A2644" t="str">
        <f>"SO23000307"</f>
        <v>SO23000307</v>
      </c>
      <c r="B2644" t="str">
        <f>"E000397683"</f>
        <v>E000397683</v>
      </c>
      <c r="C2644" t="str">
        <f>"הרכבה חלקית"</f>
        <v>הרכבה חלקית</v>
      </c>
      <c r="E2644" s="3">
        <v>45109</v>
      </c>
      <c r="F2644" s="3">
        <v>45109</v>
      </c>
      <c r="G2644" t="str">
        <f>"700065"</f>
        <v>700065</v>
      </c>
      <c r="H2644" t="str">
        <f>"אלתא מערכות בע""מ"</f>
        <v>אלתא מערכות בע"מ</v>
      </c>
      <c r="I2644" t="str">
        <f>"רחמים זרוק"</f>
        <v>רחמים זרוק</v>
      </c>
      <c r="J2644" t="str">
        <f>"OP-AR03705"</f>
        <v>OP-AR03705</v>
      </c>
      <c r="K2644" s="1" t="str">
        <f>"4080H437-001    ETHERNET CABLE WS437 - LS1 TO EPU1 - 1G"</f>
        <v>4080H437-001    ETHERNET CABLE WS437 - LS1 TO EPU1 - 1G</v>
      </c>
      <c r="L2644">
        <v>1</v>
      </c>
      <c r="M2644" t="str">
        <f>"PR23000433"</f>
        <v>PR23000433</v>
      </c>
      <c r="N2644" t="str">
        <f>"E000397683"</f>
        <v>E000397683</v>
      </c>
      <c r="O2644">
        <v>384.28</v>
      </c>
      <c r="P2644" t="str">
        <f>"$"</f>
        <v>$</v>
      </c>
      <c r="Q2644" t="str">
        <f>"117"</f>
        <v>117</v>
      </c>
      <c r="R2644" t="str">
        <f>"רתמות"</f>
        <v>רתמות</v>
      </c>
      <c r="S2644" t="str">
        <f>"040"</f>
        <v>040</v>
      </c>
      <c r="T2644" t="str">
        <f>"גנם הודיה"</f>
        <v>גנם הודיה</v>
      </c>
      <c r="U2644">
        <v>0</v>
      </c>
      <c r="V2644">
        <v>0</v>
      </c>
      <c r="W2644">
        <v>384.28</v>
      </c>
      <c r="X2644">
        <v>384.28</v>
      </c>
      <c r="Z2644" t="str">
        <f>"Y"</f>
        <v>Y</v>
      </c>
      <c r="AA2644">
        <v>0</v>
      </c>
      <c r="AC2644">
        <v>0</v>
      </c>
      <c r="AE2644">
        <v>0</v>
      </c>
      <c r="AF2644">
        <v>0</v>
      </c>
      <c r="AG2644" s="2">
        <v>1421.84</v>
      </c>
      <c r="AH2644">
        <v>0</v>
      </c>
      <c r="AI2644" s="2">
        <v>1421.84</v>
      </c>
      <c r="AJ2644">
        <v>384.28</v>
      </c>
      <c r="AK2644">
        <v>384.28</v>
      </c>
      <c r="AL2644" t="str">
        <f>"$"</f>
        <v>$</v>
      </c>
    </row>
    <row r="2645" spans="1:38" x14ac:dyDescent="0.3">
      <c r="A2645" t="str">
        <f>"SO23000307"</f>
        <v>SO23000307</v>
      </c>
      <c r="B2645" t="str">
        <f>"E000397683"</f>
        <v>E000397683</v>
      </c>
      <c r="C2645" t="str">
        <f>"הרכבה חלקית"</f>
        <v>הרכבה חלקית</v>
      </c>
      <c r="E2645" s="3">
        <v>45109</v>
      </c>
      <c r="F2645" s="3">
        <v>45109</v>
      </c>
      <c r="G2645" t="str">
        <f>"700065"</f>
        <v>700065</v>
      </c>
      <c r="H2645" t="str">
        <f>"אלתא מערכות בע""מ"</f>
        <v>אלתא מערכות בע"מ</v>
      </c>
      <c r="I2645" t="str">
        <f>"רחמים זרוק"</f>
        <v>רחמים זרוק</v>
      </c>
      <c r="J2645" t="str">
        <f>"OP-AR03705"</f>
        <v>OP-AR03705</v>
      </c>
      <c r="K2645" s="1" t="str">
        <f>"4080H437-001    ETHERNET CABLE WS437 - LS1 TO EPU1 - 1G"</f>
        <v>4080H437-001    ETHERNET CABLE WS437 - LS1 TO EPU1 - 1G</v>
      </c>
      <c r="L2645">
        <v>1</v>
      </c>
      <c r="M2645" t="str">
        <f>"PR23000433"</f>
        <v>PR23000433</v>
      </c>
      <c r="N2645" t="str">
        <f>"E000397683"</f>
        <v>E000397683</v>
      </c>
      <c r="O2645">
        <v>384.28</v>
      </c>
      <c r="P2645" t="str">
        <f>"$"</f>
        <v>$</v>
      </c>
      <c r="Q2645" t="str">
        <f>"117"</f>
        <v>117</v>
      </c>
      <c r="R2645" t="str">
        <f>"רתמות"</f>
        <v>רתמות</v>
      </c>
      <c r="S2645" t="str">
        <f>"040"</f>
        <v>040</v>
      </c>
      <c r="T2645" t="str">
        <f>"גנם הודיה"</f>
        <v>גנם הודיה</v>
      </c>
      <c r="U2645">
        <v>0</v>
      </c>
      <c r="V2645">
        <v>0</v>
      </c>
      <c r="W2645">
        <v>384.28</v>
      </c>
      <c r="X2645">
        <v>384.28</v>
      </c>
      <c r="Z2645" t="str">
        <f>"Y"</f>
        <v>Y</v>
      </c>
      <c r="AA2645">
        <v>0</v>
      </c>
      <c r="AC2645">
        <v>0</v>
      </c>
      <c r="AE2645">
        <v>0</v>
      </c>
      <c r="AF2645">
        <v>0</v>
      </c>
      <c r="AG2645" s="2">
        <v>1421.84</v>
      </c>
      <c r="AH2645">
        <v>0</v>
      </c>
      <c r="AI2645" s="2">
        <v>1421.84</v>
      </c>
      <c r="AJ2645">
        <v>384.28</v>
      </c>
      <c r="AK2645">
        <v>384.28</v>
      </c>
      <c r="AL2645" t="str">
        <f>"$"</f>
        <v>$</v>
      </c>
    </row>
    <row r="2646" spans="1:38" x14ac:dyDescent="0.3">
      <c r="A2646" t="str">
        <f>"SO23000307"</f>
        <v>SO23000307</v>
      </c>
      <c r="B2646" t="str">
        <f>"E000397683"</f>
        <v>E000397683</v>
      </c>
      <c r="C2646" t="str">
        <f>"הרכבה חלקית"</f>
        <v>הרכבה חלקית</v>
      </c>
      <c r="E2646" s="3">
        <v>45109</v>
      </c>
      <c r="F2646" s="3">
        <v>45109</v>
      </c>
      <c r="G2646" t="str">
        <f>"700065"</f>
        <v>700065</v>
      </c>
      <c r="H2646" t="str">
        <f>"אלתא מערכות בע""מ"</f>
        <v>אלתא מערכות בע"מ</v>
      </c>
      <c r="I2646" t="str">
        <f>"רחמים זרוק"</f>
        <v>רחמים זרוק</v>
      </c>
      <c r="J2646" t="str">
        <f>"OP-AR03706"</f>
        <v>OP-AR03706</v>
      </c>
      <c r="K2646" s="1" t="str">
        <f>"4080H439-001    ETHERNET CABLE WS439 - LS1 TO EPU3 - 1G"</f>
        <v>4080H439-001    ETHERNET CABLE WS439 - LS1 TO EPU3 - 1G</v>
      </c>
      <c r="L2646">
        <v>3</v>
      </c>
      <c r="M2646" t="str">
        <f>"PR23000433"</f>
        <v>PR23000433</v>
      </c>
      <c r="N2646" t="str">
        <f>"E000397683"</f>
        <v>E000397683</v>
      </c>
      <c r="O2646">
        <v>413.76</v>
      </c>
      <c r="P2646" t="str">
        <f>"$"</f>
        <v>$</v>
      </c>
      <c r="Q2646" t="str">
        <f>"117"</f>
        <v>117</v>
      </c>
      <c r="R2646" t="str">
        <f>"רתמות"</f>
        <v>רתמות</v>
      </c>
      <c r="S2646" t="str">
        <f>"040"</f>
        <v>040</v>
      </c>
      <c r="T2646" t="str">
        <f>"גנם הודיה"</f>
        <v>גנם הודיה</v>
      </c>
      <c r="U2646">
        <v>0</v>
      </c>
      <c r="V2646">
        <v>0</v>
      </c>
      <c r="W2646">
        <v>413.76</v>
      </c>
      <c r="X2646" s="2">
        <v>1241.28</v>
      </c>
      <c r="Z2646" t="str">
        <f>"Y"</f>
        <v>Y</v>
      </c>
      <c r="AA2646">
        <v>0</v>
      </c>
      <c r="AC2646">
        <v>0</v>
      </c>
      <c r="AE2646">
        <v>0</v>
      </c>
      <c r="AF2646">
        <v>0</v>
      </c>
      <c r="AG2646" s="2">
        <v>1530.91</v>
      </c>
      <c r="AH2646">
        <v>0</v>
      </c>
      <c r="AI2646" s="2">
        <v>4592.74</v>
      </c>
      <c r="AJ2646" s="2">
        <v>1241.28</v>
      </c>
      <c r="AK2646" s="2">
        <v>1241.28</v>
      </c>
      <c r="AL2646" t="str">
        <f>"$"</f>
        <v>$</v>
      </c>
    </row>
    <row r="2647" spans="1:38" x14ac:dyDescent="0.3">
      <c r="A2647" t="str">
        <f>"SO23000307"</f>
        <v>SO23000307</v>
      </c>
      <c r="B2647" t="str">
        <f>"E000397683"</f>
        <v>E000397683</v>
      </c>
      <c r="C2647" t="str">
        <f>"הרכבה חלקית"</f>
        <v>הרכבה חלקית</v>
      </c>
      <c r="E2647" s="3">
        <v>45109</v>
      </c>
      <c r="F2647" s="3">
        <v>45109</v>
      </c>
      <c r="G2647" t="str">
        <f>"700065"</f>
        <v>700065</v>
      </c>
      <c r="H2647" t="str">
        <f>"אלתא מערכות בע""מ"</f>
        <v>אלתא מערכות בע"מ</v>
      </c>
      <c r="I2647" t="str">
        <f>"רחמים זרוק"</f>
        <v>רחמים זרוק</v>
      </c>
      <c r="J2647" t="str">
        <f>"OP-AR03706"</f>
        <v>OP-AR03706</v>
      </c>
      <c r="K2647" s="1" t="str">
        <f>"4080H439-001    ETHERNET CABLE WS439 - LS1 TO EPU3 - 1G"</f>
        <v>4080H439-001    ETHERNET CABLE WS439 - LS1 TO EPU3 - 1G</v>
      </c>
      <c r="L2647">
        <v>1</v>
      </c>
      <c r="M2647" t="str">
        <f>"PR23000433"</f>
        <v>PR23000433</v>
      </c>
      <c r="N2647" t="str">
        <f>"E000397683"</f>
        <v>E000397683</v>
      </c>
      <c r="O2647">
        <v>413.76</v>
      </c>
      <c r="P2647" t="str">
        <f>"$"</f>
        <v>$</v>
      </c>
      <c r="Q2647" t="str">
        <f>"117"</f>
        <v>117</v>
      </c>
      <c r="R2647" t="str">
        <f>"רתמות"</f>
        <v>רתמות</v>
      </c>
      <c r="S2647" t="str">
        <f>"040"</f>
        <v>040</v>
      </c>
      <c r="T2647" t="str">
        <f>"גנם הודיה"</f>
        <v>גנם הודיה</v>
      </c>
      <c r="U2647">
        <v>0</v>
      </c>
      <c r="V2647">
        <v>0</v>
      </c>
      <c r="W2647">
        <v>413.76</v>
      </c>
      <c r="X2647">
        <v>413.76</v>
      </c>
      <c r="Z2647" t="str">
        <f>"Y"</f>
        <v>Y</v>
      </c>
      <c r="AA2647">
        <v>0</v>
      </c>
      <c r="AC2647">
        <v>0</v>
      </c>
      <c r="AE2647">
        <v>0</v>
      </c>
      <c r="AF2647">
        <v>0</v>
      </c>
      <c r="AG2647" s="2">
        <v>1530.91</v>
      </c>
      <c r="AH2647">
        <v>0</v>
      </c>
      <c r="AI2647" s="2">
        <v>1530.91</v>
      </c>
      <c r="AJ2647">
        <v>413.76</v>
      </c>
      <c r="AK2647">
        <v>413.76</v>
      </c>
      <c r="AL2647" t="str">
        <f>"$"</f>
        <v>$</v>
      </c>
    </row>
    <row r="2648" spans="1:38" x14ac:dyDescent="0.3">
      <c r="A2648" t="str">
        <f>"SO23000307"</f>
        <v>SO23000307</v>
      </c>
      <c r="B2648" t="str">
        <f>"E000397683"</f>
        <v>E000397683</v>
      </c>
      <c r="C2648" t="str">
        <f>"הרכבה חלקית"</f>
        <v>הרכבה חלקית</v>
      </c>
      <c r="E2648" s="3">
        <v>45109</v>
      </c>
      <c r="F2648" s="3">
        <v>45109</v>
      </c>
      <c r="G2648" t="str">
        <f>"700065"</f>
        <v>700065</v>
      </c>
      <c r="H2648" t="str">
        <f>"אלתא מערכות בע""מ"</f>
        <v>אלתא מערכות בע"מ</v>
      </c>
      <c r="I2648" t="str">
        <f>"רחמים זרוק"</f>
        <v>רחמים זרוק</v>
      </c>
      <c r="J2648" t="str">
        <f>"OP-AR03706"</f>
        <v>OP-AR03706</v>
      </c>
      <c r="K2648" s="1" t="str">
        <f>"4080H439-001    ETHERNET CABLE WS439 - LS1 TO EPU3 - 1G"</f>
        <v>4080H439-001    ETHERNET CABLE WS439 - LS1 TO EPU3 - 1G</v>
      </c>
      <c r="L2648">
        <v>1</v>
      </c>
      <c r="M2648" t="str">
        <f>"PR23000433"</f>
        <v>PR23000433</v>
      </c>
      <c r="N2648" t="str">
        <f>"E000397683"</f>
        <v>E000397683</v>
      </c>
      <c r="O2648">
        <v>413.76</v>
      </c>
      <c r="P2648" t="str">
        <f>"$"</f>
        <v>$</v>
      </c>
      <c r="Q2648" t="str">
        <f>"117"</f>
        <v>117</v>
      </c>
      <c r="R2648" t="str">
        <f>"רתמות"</f>
        <v>רתמות</v>
      </c>
      <c r="S2648" t="str">
        <f>"040"</f>
        <v>040</v>
      </c>
      <c r="T2648" t="str">
        <f>"גנם הודיה"</f>
        <v>גנם הודיה</v>
      </c>
      <c r="U2648">
        <v>0</v>
      </c>
      <c r="V2648">
        <v>0</v>
      </c>
      <c r="W2648">
        <v>413.76</v>
      </c>
      <c r="X2648">
        <v>413.76</v>
      </c>
      <c r="Z2648" t="str">
        <f>"Y"</f>
        <v>Y</v>
      </c>
      <c r="AA2648">
        <v>0</v>
      </c>
      <c r="AC2648">
        <v>0</v>
      </c>
      <c r="AE2648">
        <v>0</v>
      </c>
      <c r="AF2648">
        <v>0</v>
      </c>
      <c r="AG2648" s="2">
        <v>1530.91</v>
      </c>
      <c r="AH2648">
        <v>0</v>
      </c>
      <c r="AI2648" s="2">
        <v>1530.91</v>
      </c>
      <c r="AJ2648">
        <v>413.76</v>
      </c>
      <c r="AK2648">
        <v>413.76</v>
      </c>
      <c r="AL2648" t="str">
        <f>"$"</f>
        <v>$</v>
      </c>
    </row>
    <row r="2649" spans="1:38" x14ac:dyDescent="0.3">
      <c r="A2649" t="str">
        <f>"SO23000307"</f>
        <v>SO23000307</v>
      </c>
      <c r="B2649" t="str">
        <f>"E000397683"</f>
        <v>E000397683</v>
      </c>
      <c r="C2649" t="str">
        <f>"הרכבה חלקית"</f>
        <v>הרכבה חלקית</v>
      </c>
      <c r="E2649" s="3">
        <v>45109</v>
      </c>
      <c r="F2649" s="3">
        <v>45109</v>
      </c>
      <c r="G2649" t="str">
        <f>"700065"</f>
        <v>700065</v>
      </c>
      <c r="H2649" t="str">
        <f>"אלתא מערכות בע""מ"</f>
        <v>אלתא מערכות בע"מ</v>
      </c>
      <c r="I2649" t="str">
        <f>"רחמים זרוק"</f>
        <v>רחמים זרוק</v>
      </c>
      <c r="J2649" t="str">
        <f>"OP-AR03707"</f>
        <v>OP-AR03707</v>
      </c>
      <c r="K2649" s="1" t="str">
        <f>"4080H440-001    ETHERNET CABLE WS440 - LS1 TO EPU4 - 1G"</f>
        <v>4080H440-001    ETHERNET CABLE WS440 - LS1 TO EPU4 - 1G</v>
      </c>
      <c r="L2649">
        <v>3</v>
      </c>
      <c r="M2649" t="str">
        <f>"PR23000433"</f>
        <v>PR23000433</v>
      </c>
      <c r="N2649" t="str">
        <f>"E000397683"</f>
        <v>E000397683</v>
      </c>
      <c r="O2649">
        <v>428.51</v>
      </c>
      <c r="P2649" t="str">
        <f>"$"</f>
        <v>$</v>
      </c>
      <c r="Q2649" t="str">
        <f>"117"</f>
        <v>117</v>
      </c>
      <c r="R2649" t="str">
        <f>"רתמות"</f>
        <v>רתמות</v>
      </c>
      <c r="S2649" t="str">
        <f>"040"</f>
        <v>040</v>
      </c>
      <c r="T2649" t="str">
        <f>"גנם הודיה"</f>
        <v>גנם הודיה</v>
      </c>
      <c r="U2649">
        <v>0</v>
      </c>
      <c r="V2649">
        <v>0</v>
      </c>
      <c r="W2649">
        <v>428.51</v>
      </c>
      <c r="X2649" s="2">
        <v>1285.53</v>
      </c>
      <c r="AA2649">
        <v>3</v>
      </c>
      <c r="AC2649">
        <v>0</v>
      </c>
      <c r="AE2649">
        <v>0</v>
      </c>
      <c r="AF2649">
        <v>0</v>
      </c>
      <c r="AG2649" s="2">
        <v>1585.49</v>
      </c>
      <c r="AH2649">
        <v>0</v>
      </c>
      <c r="AI2649" s="2">
        <v>4756.46</v>
      </c>
      <c r="AJ2649" s="2">
        <v>1285.53</v>
      </c>
      <c r="AK2649" s="2">
        <v>1285.53</v>
      </c>
      <c r="AL2649" t="str">
        <f>"$"</f>
        <v>$</v>
      </c>
    </row>
    <row r="2650" spans="1:38" x14ac:dyDescent="0.3">
      <c r="A2650" t="str">
        <f>"SO23000307"</f>
        <v>SO23000307</v>
      </c>
      <c r="B2650" t="str">
        <f>"E000397683"</f>
        <v>E000397683</v>
      </c>
      <c r="C2650" t="str">
        <f>"הרכבה חלקית"</f>
        <v>הרכבה חלקית</v>
      </c>
      <c r="E2650" s="3">
        <v>45109</v>
      </c>
      <c r="F2650" s="3">
        <v>45109</v>
      </c>
      <c r="G2650" t="str">
        <f>"700065"</f>
        <v>700065</v>
      </c>
      <c r="H2650" t="str">
        <f>"אלתא מערכות בע""מ"</f>
        <v>אלתא מערכות בע"מ</v>
      </c>
      <c r="I2650" t="str">
        <f>"רחמים זרוק"</f>
        <v>רחמים זרוק</v>
      </c>
      <c r="J2650" t="str">
        <f>"OP-AR03707"</f>
        <v>OP-AR03707</v>
      </c>
      <c r="K2650" s="1" t="str">
        <f>"4080H440-001    ETHERNET CABLE WS440 - LS1 TO EPU4 - 1G"</f>
        <v>4080H440-001    ETHERNET CABLE WS440 - LS1 TO EPU4 - 1G</v>
      </c>
      <c r="L2650">
        <v>1</v>
      </c>
      <c r="M2650" t="str">
        <f>"PR23000433"</f>
        <v>PR23000433</v>
      </c>
      <c r="N2650" t="str">
        <f>"E000397683"</f>
        <v>E000397683</v>
      </c>
      <c r="O2650">
        <v>428.51</v>
      </c>
      <c r="P2650" t="str">
        <f>"$"</f>
        <v>$</v>
      </c>
      <c r="Q2650" t="str">
        <f>"117"</f>
        <v>117</v>
      </c>
      <c r="R2650" t="str">
        <f>"רתמות"</f>
        <v>רתמות</v>
      </c>
      <c r="S2650" t="str">
        <f>"040"</f>
        <v>040</v>
      </c>
      <c r="T2650" t="str">
        <f>"גנם הודיה"</f>
        <v>גנם הודיה</v>
      </c>
      <c r="U2650">
        <v>0</v>
      </c>
      <c r="V2650">
        <v>0</v>
      </c>
      <c r="W2650">
        <v>428.51</v>
      </c>
      <c r="X2650">
        <v>428.51</v>
      </c>
      <c r="Z2650" t="str">
        <f>"Y"</f>
        <v>Y</v>
      </c>
      <c r="AA2650">
        <v>0</v>
      </c>
      <c r="AC2650">
        <v>0</v>
      </c>
      <c r="AE2650">
        <v>0</v>
      </c>
      <c r="AF2650">
        <v>0</v>
      </c>
      <c r="AG2650" s="2">
        <v>1585.49</v>
      </c>
      <c r="AH2650">
        <v>0</v>
      </c>
      <c r="AI2650" s="2">
        <v>1585.49</v>
      </c>
      <c r="AJ2650">
        <v>428.51</v>
      </c>
      <c r="AK2650">
        <v>428.51</v>
      </c>
      <c r="AL2650" t="str">
        <f>"$"</f>
        <v>$</v>
      </c>
    </row>
    <row r="2651" spans="1:38" x14ac:dyDescent="0.3">
      <c r="A2651" t="str">
        <f>"SO23000307"</f>
        <v>SO23000307</v>
      </c>
      <c r="B2651" t="str">
        <f>"E000397683"</f>
        <v>E000397683</v>
      </c>
      <c r="C2651" t="str">
        <f>"הרכבה חלקית"</f>
        <v>הרכבה חלקית</v>
      </c>
      <c r="E2651" s="3">
        <v>45109</v>
      </c>
      <c r="F2651" s="3">
        <v>45109</v>
      </c>
      <c r="G2651" t="str">
        <f>"700065"</f>
        <v>700065</v>
      </c>
      <c r="H2651" t="str">
        <f>"אלתא מערכות בע""מ"</f>
        <v>אלתא מערכות בע"מ</v>
      </c>
      <c r="I2651" t="str">
        <f>"רחמים זרוק"</f>
        <v>רחמים זרוק</v>
      </c>
      <c r="J2651" t="str">
        <f>"OP-AR03707"</f>
        <v>OP-AR03707</v>
      </c>
      <c r="K2651" s="1" t="str">
        <f>"4080H440-001    ETHERNET CABLE WS440 - LS1 TO EPU4 - 1G"</f>
        <v>4080H440-001    ETHERNET CABLE WS440 - LS1 TO EPU4 - 1G</v>
      </c>
      <c r="L2651">
        <v>1</v>
      </c>
      <c r="M2651" t="str">
        <f>"PR23000433"</f>
        <v>PR23000433</v>
      </c>
      <c r="N2651" t="str">
        <f>"E000397683"</f>
        <v>E000397683</v>
      </c>
      <c r="O2651">
        <v>428.51</v>
      </c>
      <c r="P2651" t="str">
        <f>"$"</f>
        <v>$</v>
      </c>
      <c r="Q2651" t="str">
        <f>"117"</f>
        <v>117</v>
      </c>
      <c r="R2651" t="str">
        <f>"רתמות"</f>
        <v>רתמות</v>
      </c>
      <c r="S2651" t="str">
        <f>"040"</f>
        <v>040</v>
      </c>
      <c r="T2651" t="str">
        <f>"גנם הודיה"</f>
        <v>גנם הודיה</v>
      </c>
      <c r="U2651">
        <v>0</v>
      </c>
      <c r="V2651">
        <v>0</v>
      </c>
      <c r="W2651">
        <v>428.51</v>
      </c>
      <c r="X2651">
        <v>428.51</v>
      </c>
      <c r="Z2651" t="str">
        <f>"Y"</f>
        <v>Y</v>
      </c>
      <c r="AA2651">
        <v>0</v>
      </c>
      <c r="AC2651">
        <v>0</v>
      </c>
      <c r="AE2651">
        <v>0</v>
      </c>
      <c r="AF2651">
        <v>0</v>
      </c>
      <c r="AG2651" s="2">
        <v>1585.49</v>
      </c>
      <c r="AH2651">
        <v>0</v>
      </c>
      <c r="AI2651" s="2">
        <v>1585.49</v>
      </c>
      <c r="AJ2651">
        <v>428.51</v>
      </c>
      <c r="AK2651">
        <v>428.51</v>
      </c>
      <c r="AL2651" t="str">
        <f>"$"</f>
        <v>$</v>
      </c>
    </row>
    <row r="2652" spans="1:38" x14ac:dyDescent="0.3">
      <c r="A2652" t="str">
        <f>"SO23000307"</f>
        <v>SO23000307</v>
      </c>
      <c r="B2652" t="str">
        <f>"E000397683"</f>
        <v>E000397683</v>
      </c>
      <c r="C2652" t="str">
        <f>"הרכבה חלקית"</f>
        <v>הרכבה חלקית</v>
      </c>
      <c r="E2652" s="3">
        <v>45109</v>
      </c>
      <c r="F2652" s="3">
        <v>45109</v>
      </c>
      <c r="G2652" t="str">
        <f>"700065"</f>
        <v>700065</v>
      </c>
      <c r="H2652" t="str">
        <f>"אלתא מערכות בע""מ"</f>
        <v>אלתא מערכות בע"מ</v>
      </c>
      <c r="I2652" t="str">
        <f>"רחמים זרוק"</f>
        <v>רחמים זרוק</v>
      </c>
      <c r="J2652" t="str">
        <f>"OP-AR03708"</f>
        <v>OP-AR03708</v>
      </c>
      <c r="K2652" s="1" t="str">
        <f>"4080H438-001    ETHERNET CABLE WS438 - LS1 TO EPU2 - 1G"</f>
        <v>4080H438-001    ETHERNET CABLE WS438 - LS1 TO EPU2 - 1G</v>
      </c>
      <c r="L2652">
        <v>3</v>
      </c>
      <c r="M2652" t="str">
        <f>"PR23000433"</f>
        <v>PR23000433</v>
      </c>
      <c r="N2652" t="str">
        <f>"E000397683"</f>
        <v>E000397683</v>
      </c>
      <c r="O2652">
        <v>399.02</v>
      </c>
      <c r="P2652" t="str">
        <f>"$"</f>
        <v>$</v>
      </c>
      <c r="Q2652" t="str">
        <f>"117"</f>
        <v>117</v>
      </c>
      <c r="R2652" t="str">
        <f>"רתמות"</f>
        <v>רתמות</v>
      </c>
      <c r="S2652" t="str">
        <f>"040"</f>
        <v>040</v>
      </c>
      <c r="T2652" t="str">
        <f>"גנם הודיה"</f>
        <v>גנם הודיה</v>
      </c>
      <c r="U2652">
        <v>0</v>
      </c>
      <c r="V2652">
        <v>0</v>
      </c>
      <c r="W2652">
        <v>399.02</v>
      </c>
      <c r="X2652" s="2">
        <v>1197.06</v>
      </c>
      <c r="Z2652" t="str">
        <f>"Y"</f>
        <v>Y</v>
      </c>
      <c r="AA2652">
        <v>0</v>
      </c>
      <c r="AC2652">
        <v>0</v>
      </c>
      <c r="AE2652">
        <v>0</v>
      </c>
      <c r="AF2652">
        <v>0</v>
      </c>
      <c r="AG2652" s="2">
        <v>1476.37</v>
      </c>
      <c r="AH2652">
        <v>0</v>
      </c>
      <c r="AI2652" s="2">
        <v>4429.12</v>
      </c>
      <c r="AJ2652" s="2">
        <v>1197.06</v>
      </c>
      <c r="AK2652" s="2">
        <v>1197.06</v>
      </c>
      <c r="AL2652" t="str">
        <f>"$"</f>
        <v>$</v>
      </c>
    </row>
    <row r="2653" spans="1:38" x14ac:dyDescent="0.3">
      <c r="A2653" t="str">
        <f>"SO23000307"</f>
        <v>SO23000307</v>
      </c>
      <c r="B2653" t="str">
        <f>"E000397683"</f>
        <v>E000397683</v>
      </c>
      <c r="C2653" t="str">
        <f>"הרכבה חלקית"</f>
        <v>הרכבה חלקית</v>
      </c>
      <c r="E2653" s="3">
        <v>45109</v>
      </c>
      <c r="F2653" s="3">
        <v>45109</v>
      </c>
      <c r="G2653" t="str">
        <f>"700065"</f>
        <v>700065</v>
      </c>
      <c r="H2653" t="str">
        <f>"אלתא מערכות בע""מ"</f>
        <v>אלתא מערכות בע"מ</v>
      </c>
      <c r="I2653" t="str">
        <f>"רחמים זרוק"</f>
        <v>רחמים זרוק</v>
      </c>
      <c r="J2653" t="str">
        <f>"OP-AR03708"</f>
        <v>OP-AR03708</v>
      </c>
      <c r="K2653" s="1" t="str">
        <f>"4080H438-001    ETHERNET CABLE WS438 - LS1 TO EPU2 - 1G"</f>
        <v>4080H438-001    ETHERNET CABLE WS438 - LS1 TO EPU2 - 1G</v>
      </c>
      <c r="L2653">
        <v>1</v>
      </c>
      <c r="M2653" t="str">
        <f>"PR23000433"</f>
        <v>PR23000433</v>
      </c>
      <c r="N2653" t="str">
        <f>"E000397683"</f>
        <v>E000397683</v>
      </c>
      <c r="O2653">
        <v>399.02</v>
      </c>
      <c r="P2653" t="str">
        <f>"$"</f>
        <v>$</v>
      </c>
      <c r="Q2653" t="str">
        <f>"117"</f>
        <v>117</v>
      </c>
      <c r="R2653" t="str">
        <f>"רתמות"</f>
        <v>רתמות</v>
      </c>
      <c r="S2653" t="str">
        <f>"040"</f>
        <v>040</v>
      </c>
      <c r="T2653" t="str">
        <f>"גנם הודיה"</f>
        <v>גנם הודיה</v>
      </c>
      <c r="U2653">
        <v>0</v>
      </c>
      <c r="V2653">
        <v>0</v>
      </c>
      <c r="W2653">
        <v>399.02</v>
      </c>
      <c r="X2653">
        <v>399.02</v>
      </c>
      <c r="Z2653" t="str">
        <f>"Y"</f>
        <v>Y</v>
      </c>
      <c r="AA2653">
        <v>0</v>
      </c>
      <c r="AC2653">
        <v>0</v>
      </c>
      <c r="AE2653">
        <v>0</v>
      </c>
      <c r="AF2653">
        <v>0</v>
      </c>
      <c r="AG2653" s="2">
        <v>1476.37</v>
      </c>
      <c r="AH2653">
        <v>0</v>
      </c>
      <c r="AI2653" s="2">
        <v>1476.37</v>
      </c>
      <c r="AJ2653">
        <v>399.02</v>
      </c>
      <c r="AK2653">
        <v>399.02</v>
      </c>
      <c r="AL2653" t="str">
        <f>"$"</f>
        <v>$</v>
      </c>
    </row>
    <row r="2654" spans="1:38" x14ac:dyDescent="0.3">
      <c r="A2654" t="str">
        <f>"SO23000307"</f>
        <v>SO23000307</v>
      </c>
      <c r="B2654" t="str">
        <f>"E000397683"</f>
        <v>E000397683</v>
      </c>
      <c r="C2654" t="str">
        <f>"הרכבה חלקית"</f>
        <v>הרכבה חלקית</v>
      </c>
      <c r="E2654" s="3">
        <v>45109</v>
      </c>
      <c r="F2654" s="3">
        <v>45109</v>
      </c>
      <c r="G2654" t="str">
        <f>"700065"</f>
        <v>700065</v>
      </c>
      <c r="H2654" t="str">
        <f>"אלתא מערכות בע""מ"</f>
        <v>אלתא מערכות בע"מ</v>
      </c>
      <c r="I2654" t="str">
        <f>"רחמים זרוק"</f>
        <v>רחמים זרוק</v>
      </c>
      <c r="J2654" t="str">
        <f>"OP-AR03708"</f>
        <v>OP-AR03708</v>
      </c>
      <c r="K2654" s="1" t="str">
        <f>"4080H438-001    ETHERNET CABLE WS438 - LS1 TO EPU2 - 1G"</f>
        <v>4080H438-001    ETHERNET CABLE WS438 - LS1 TO EPU2 - 1G</v>
      </c>
      <c r="L2654">
        <v>1</v>
      </c>
      <c r="M2654" t="str">
        <f>"PR23000433"</f>
        <v>PR23000433</v>
      </c>
      <c r="N2654" t="str">
        <f>"E000397683"</f>
        <v>E000397683</v>
      </c>
      <c r="O2654">
        <v>399.02</v>
      </c>
      <c r="P2654" t="str">
        <f>"$"</f>
        <v>$</v>
      </c>
      <c r="Q2654" t="str">
        <f>"117"</f>
        <v>117</v>
      </c>
      <c r="R2654" t="str">
        <f>"רתמות"</f>
        <v>רתמות</v>
      </c>
      <c r="S2654" t="str">
        <f>"040"</f>
        <v>040</v>
      </c>
      <c r="T2654" t="str">
        <f>"גנם הודיה"</f>
        <v>גנם הודיה</v>
      </c>
      <c r="U2654">
        <v>0</v>
      </c>
      <c r="V2654">
        <v>0</v>
      </c>
      <c r="W2654">
        <v>399.02</v>
      </c>
      <c r="X2654">
        <v>399.02</v>
      </c>
      <c r="Z2654" t="str">
        <f>"Y"</f>
        <v>Y</v>
      </c>
      <c r="AA2654">
        <v>0</v>
      </c>
      <c r="AC2654">
        <v>0</v>
      </c>
      <c r="AE2654">
        <v>0</v>
      </c>
      <c r="AF2654">
        <v>0</v>
      </c>
      <c r="AG2654" s="2">
        <v>1476.37</v>
      </c>
      <c r="AH2654">
        <v>0</v>
      </c>
      <c r="AI2654" s="2">
        <v>1476.37</v>
      </c>
      <c r="AJ2654">
        <v>399.02</v>
      </c>
      <c r="AK2654">
        <v>399.02</v>
      </c>
      <c r="AL2654" t="str">
        <f>"$"</f>
        <v>$</v>
      </c>
    </row>
    <row r="2655" spans="1:38" x14ac:dyDescent="0.3">
      <c r="A2655" t="str">
        <f>"SO23000307"</f>
        <v>SO23000307</v>
      </c>
      <c r="B2655" t="str">
        <f>"E000397683"</f>
        <v>E000397683</v>
      </c>
      <c r="C2655" t="str">
        <f>"הרכבה חלקית"</f>
        <v>הרכבה חלקית</v>
      </c>
      <c r="E2655" s="3">
        <v>45109</v>
      </c>
      <c r="F2655" s="3">
        <v>45109</v>
      </c>
      <c r="G2655" t="str">
        <f>"700065"</f>
        <v>700065</v>
      </c>
      <c r="H2655" t="str">
        <f>"אלתא מערכות בע""מ"</f>
        <v>אלתא מערכות בע"מ</v>
      </c>
      <c r="I2655" t="str">
        <f>"רחמים זרוק"</f>
        <v>רחמים זרוק</v>
      </c>
      <c r="J2655" t="str">
        <f>"OP-AR03709"</f>
        <v>OP-AR03709</v>
      </c>
      <c r="K2655" s="1" t="str">
        <f>"4080H433-001    ETHERNET CABLE WS433 - LS2 TO MCCS - 1G"</f>
        <v>4080H433-001    ETHERNET CABLE WS433 - LS2 TO MCCS - 1G</v>
      </c>
      <c r="L2655">
        <v>3</v>
      </c>
      <c r="M2655" t="str">
        <f>"PR23000433"</f>
        <v>PR23000433</v>
      </c>
      <c r="N2655" t="str">
        <f>"E000397683"</f>
        <v>E000397683</v>
      </c>
      <c r="O2655">
        <v>252.98</v>
      </c>
      <c r="P2655" t="str">
        <f>"$"</f>
        <v>$</v>
      </c>
      <c r="Q2655" t="str">
        <f>"117"</f>
        <v>117</v>
      </c>
      <c r="R2655" t="str">
        <f>"רתמות"</f>
        <v>רתמות</v>
      </c>
      <c r="S2655" t="str">
        <f>"040"</f>
        <v>040</v>
      </c>
      <c r="T2655" t="str">
        <f>"גנם הודיה"</f>
        <v>גנם הודיה</v>
      </c>
      <c r="U2655">
        <v>0</v>
      </c>
      <c r="V2655">
        <v>0</v>
      </c>
      <c r="W2655">
        <v>252.98</v>
      </c>
      <c r="X2655">
        <v>758.94</v>
      </c>
      <c r="AA2655">
        <v>3</v>
      </c>
      <c r="AC2655">
        <v>0</v>
      </c>
      <c r="AE2655">
        <v>0</v>
      </c>
      <c r="AF2655">
        <v>0</v>
      </c>
      <c r="AG2655">
        <v>936.03</v>
      </c>
      <c r="AH2655">
        <v>0</v>
      </c>
      <c r="AI2655" s="2">
        <v>2808.08</v>
      </c>
      <c r="AJ2655">
        <v>758.94</v>
      </c>
      <c r="AK2655">
        <v>758.94</v>
      </c>
      <c r="AL2655" t="str">
        <f>"$"</f>
        <v>$</v>
      </c>
    </row>
    <row r="2656" spans="1:38" x14ac:dyDescent="0.3">
      <c r="A2656" t="str">
        <f>"SO23000307"</f>
        <v>SO23000307</v>
      </c>
      <c r="B2656" t="str">
        <f>"E000397683"</f>
        <v>E000397683</v>
      </c>
      <c r="C2656" t="str">
        <f>"הרכבה חלקית"</f>
        <v>הרכבה חלקית</v>
      </c>
      <c r="E2656" s="3">
        <v>45109</v>
      </c>
      <c r="F2656" s="3">
        <v>45109</v>
      </c>
      <c r="G2656" t="str">
        <f>"700065"</f>
        <v>700065</v>
      </c>
      <c r="H2656" t="str">
        <f>"אלתא מערכות בע""מ"</f>
        <v>אלתא מערכות בע"מ</v>
      </c>
      <c r="I2656" t="str">
        <f>"רחמים זרוק"</f>
        <v>רחמים זרוק</v>
      </c>
      <c r="J2656" t="str">
        <f>"OP-AR03709"</f>
        <v>OP-AR03709</v>
      </c>
      <c r="K2656" s="1" t="str">
        <f>"4080H433-001    ETHERNET CABLE WS433 - LS2 TO MCCS - 1G"</f>
        <v>4080H433-001    ETHERNET CABLE WS433 - LS2 TO MCCS - 1G</v>
      </c>
      <c r="L2656">
        <v>1</v>
      </c>
      <c r="M2656" t="str">
        <f>"PR23000433"</f>
        <v>PR23000433</v>
      </c>
      <c r="N2656" t="str">
        <f>"E000397683"</f>
        <v>E000397683</v>
      </c>
      <c r="O2656">
        <v>252.98</v>
      </c>
      <c r="P2656" t="str">
        <f>"$"</f>
        <v>$</v>
      </c>
      <c r="Q2656" t="str">
        <f>"117"</f>
        <v>117</v>
      </c>
      <c r="R2656" t="str">
        <f>"רתמות"</f>
        <v>רתמות</v>
      </c>
      <c r="S2656" t="str">
        <f>"040"</f>
        <v>040</v>
      </c>
      <c r="T2656" t="str">
        <f>"גנם הודיה"</f>
        <v>גנם הודיה</v>
      </c>
      <c r="U2656">
        <v>0</v>
      </c>
      <c r="V2656">
        <v>0</v>
      </c>
      <c r="W2656">
        <v>252.98</v>
      </c>
      <c r="X2656">
        <v>252.98</v>
      </c>
      <c r="AA2656">
        <v>1</v>
      </c>
      <c r="AC2656">
        <v>0</v>
      </c>
      <c r="AE2656">
        <v>0</v>
      </c>
      <c r="AF2656">
        <v>0</v>
      </c>
      <c r="AG2656">
        <v>936.03</v>
      </c>
      <c r="AH2656">
        <v>0</v>
      </c>
      <c r="AI2656">
        <v>936.03</v>
      </c>
      <c r="AJ2656">
        <v>252.98</v>
      </c>
      <c r="AK2656">
        <v>252.98</v>
      </c>
      <c r="AL2656" t="str">
        <f>"$"</f>
        <v>$</v>
      </c>
    </row>
    <row r="2657" spans="1:38" x14ac:dyDescent="0.3">
      <c r="A2657" t="str">
        <f>"SO23000307"</f>
        <v>SO23000307</v>
      </c>
      <c r="B2657" t="str">
        <f>"E000397683"</f>
        <v>E000397683</v>
      </c>
      <c r="C2657" t="str">
        <f>"הרכבה חלקית"</f>
        <v>הרכבה חלקית</v>
      </c>
      <c r="E2657" s="3">
        <v>45109</v>
      </c>
      <c r="F2657" s="3">
        <v>45109</v>
      </c>
      <c r="G2657" t="str">
        <f>"700065"</f>
        <v>700065</v>
      </c>
      <c r="H2657" t="str">
        <f>"אלתא מערכות בע""מ"</f>
        <v>אלתא מערכות בע"מ</v>
      </c>
      <c r="I2657" t="str">
        <f>"רחמים זרוק"</f>
        <v>רחמים זרוק</v>
      </c>
      <c r="J2657" t="str">
        <f>"OP-AR03709"</f>
        <v>OP-AR03709</v>
      </c>
      <c r="K2657" s="1" t="str">
        <f>"4080H433-001    ETHERNET CABLE WS433 - LS2 TO MCCS - 1G"</f>
        <v>4080H433-001    ETHERNET CABLE WS433 - LS2 TO MCCS - 1G</v>
      </c>
      <c r="L2657">
        <v>1</v>
      </c>
      <c r="M2657" t="str">
        <f>"PR23000433"</f>
        <v>PR23000433</v>
      </c>
      <c r="N2657" t="str">
        <f>"E000397683"</f>
        <v>E000397683</v>
      </c>
      <c r="O2657">
        <v>252.98</v>
      </c>
      <c r="P2657" t="str">
        <f>"$"</f>
        <v>$</v>
      </c>
      <c r="Q2657" t="str">
        <f>"117"</f>
        <v>117</v>
      </c>
      <c r="R2657" t="str">
        <f>"רתמות"</f>
        <v>רתמות</v>
      </c>
      <c r="S2657" t="str">
        <f>"040"</f>
        <v>040</v>
      </c>
      <c r="T2657" t="str">
        <f>"גנם הודיה"</f>
        <v>גנם הודיה</v>
      </c>
      <c r="U2657">
        <v>0</v>
      </c>
      <c r="V2657">
        <v>0</v>
      </c>
      <c r="W2657">
        <v>252.98</v>
      </c>
      <c r="X2657">
        <v>252.98</v>
      </c>
      <c r="AA2657">
        <v>1</v>
      </c>
      <c r="AC2657">
        <v>0</v>
      </c>
      <c r="AE2657">
        <v>0</v>
      </c>
      <c r="AF2657">
        <v>0</v>
      </c>
      <c r="AG2657">
        <v>936.03</v>
      </c>
      <c r="AH2657">
        <v>0</v>
      </c>
      <c r="AI2657">
        <v>936.03</v>
      </c>
      <c r="AJ2657">
        <v>252.98</v>
      </c>
      <c r="AK2657">
        <v>252.98</v>
      </c>
      <c r="AL2657" t="str">
        <f>"$"</f>
        <v>$</v>
      </c>
    </row>
    <row r="2658" spans="1:38" x14ac:dyDescent="0.3">
      <c r="A2658" t="str">
        <f>"SO23000307"</f>
        <v>SO23000307</v>
      </c>
      <c r="B2658" t="str">
        <f>"E000397683"</f>
        <v>E000397683</v>
      </c>
      <c r="C2658" t="str">
        <f>"הרכבה חלקית"</f>
        <v>הרכבה חלקית</v>
      </c>
      <c r="E2658" s="3">
        <v>45109</v>
      </c>
      <c r="F2658" s="3">
        <v>45109</v>
      </c>
      <c r="G2658" t="str">
        <f>"700065"</f>
        <v>700065</v>
      </c>
      <c r="H2658" t="str">
        <f>"אלתא מערכות בע""מ"</f>
        <v>אלתא מערכות בע"מ</v>
      </c>
      <c r="I2658" t="str">
        <f>"רחמים זרוק"</f>
        <v>רחמים זרוק</v>
      </c>
      <c r="J2658" t="str">
        <f>"OP-AR03710"</f>
        <v>OP-AR03710</v>
      </c>
      <c r="K2658" s="1" t="str">
        <f>"4080H435-001    ETHERNET CABLE WS435 - LS2 TO PDU - 10/1"</f>
        <v>4080H435-001    ETHERNET CABLE WS435 - LS2 TO PDU - 10/1</v>
      </c>
      <c r="L2658">
        <v>3</v>
      </c>
      <c r="M2658" t="str">
        <f>"PR23000433"</f>
        <v>PR23000433</v>
      </c>
      <c r="N2658" t="str">
        <f>"E000397683"</f>
        <v>E000397683</v>
      </c>
      <c r="O2658">
        <v>352.95</v>
      </c>
      <c r="P2658" t="str">
        <f>"$"</f>
        <v>$</v>
      </c>
      <c r="Q2658" t="str">
        <f>"117"</f>
        <v>117</v>
      </c>
      <c r="R2658" t="str">
        <f>"רתמות"</f>
        <v>רתמות</v>
      </c>
      <c r="S2658" t="str">
        <f>"040"</f>
        <v>040</v>
      </c>
      <c r="T2658" t="str">
        <f>"גנם הודיה"</f>
        <v>גנם הודיה</v>
      </c>
      <c r="U2658">
        <v>0</v>
      </c>
      <c r="V2658">
        <v>0</v>
      </c>
      <c r="W2658">
        <v>352.95</v>
      </c>
      <c r="X2658" s="2">
        <v>1058.8499999999999</v>
      </c>
      <c r="AA2658">
        <v>3</v>
      </c>
      <c r="AC2658">
        <v>0</v>
      </c>
      <c r="AE2658">
        <v>0</v>
      </c>
      <c r="AF2658">
        <v>0</v>
      </c>
      <c r="AG2658" s="2">
        <v>1305.92</v>
      </c>
      <c r="AH2658">
        <v>0</v>
      </c>
      <c r="AI2658" s="2">
        <v>3917.75</v>
      </c>
      <c r="AJ2658" s="2">
        <v>1058.8499999999999</v>
      </c>
      <c r="AK2658" s="2">
        <v>1058.8499999999999</v>
      </c>
      <c r="AL2658" t="str">
        <f>"$"</f>
        <v>$</v>
      </c>
    </row>
    <row r="2659" spans="1:38" x14ac:dyDescent="0.3">
      <c r="A2659" t="str">
        <f>"SO23000307"</f>
        <v>SO23000307</v>
      </c>
      <c r="B2659" t="str">
        <f>"E000397683"</f>
        <v>E000397683</v>
      </c>
      <c r="C2659" t="str">
        <f>"הרכבה חלקית"</f>
        <v>הרכבה חלקית</v>
      </c>
      <c r="E2659" s="3">
        <v>45109</v>
      </c>
      <c r="F2659" s="3">
        <v>45109</v>
      </c>
      <c r="G2659" t="str">
        <f>"700065"</f>
        <v>700065</v>
      </c>
      <c r="H2659" t="str">
        <f>"אלתא מערכות בע""מ"</f>
        <v>אלתא מערכות בע"מ</v>
      </c>
      <c r="I2659" t="str">
        <f>"רחמים זרוק"</f>
        <v>רחמים זרוק</v>
      </c>
      <c r="J2659" t="str">
        <f>"OP-AR03710"</f>
        <v>OP-AR03710</v>
      </c>
      <c r="K2659" s="1" t="str">
        <f>"4080H435-001    ETHERNET CABLE WS435 - LS2 TO PDU - 10/1"</f>
        <v>4080H435-001    ETHERNET CABLE WS435 - LS2 TO PDU - 10/1</v>
      </c>
      <c r="L2659">
        <v>1</v>
      </c>
      <c r="M2659" t="str">
        <f>"PR23000433"</f>
        <v>PR23000433</v>
      </c>
      <c r="N2659" t="str">
        <f>"E000397683"</f>
        <v>E000397683</v>
      </c>
      <c r="O2659">
        <v>352.95</v>
      </c>
      <c r="P2659" t="str">
        <f>"$"</f>
        <v>$</v>
      </c>
      <c r="Q2659" t="str">
        <f>"117"</f>
        <v>117</v>
      </c>
      <c r="R2659" t="str">
        <f>"רתמות"</f>
        <v>רתמות</v>
      </c>
      <c r="S2659" t="str">
        <f>"040"</f>
        <v>040</v>
      </c>
      <c r="T2659" t="str">
        <f>"גנם הודיה"</f>
        <v>גנם הודיה</v>
      </c>
      <c r="U2659">
        <v>0</v>
      </c>
      <c r="V2659">
        <v>0</v>
      </c>
      <c r="W2659">
        <v>352.95</v>
      </c>
      <c r="X2659">
        <v>352.95</v>
      </c>
      <c r="Z2659" t="str">
        <f>"Y"</f>
        <v>Y</v>
      </c>
      <c r="AA2659">
        <v>0</v>
      </c>
      <c r="AC2659">
        <v>0</v>
      </c>
      <c r="AE2659">
        <v>0</v>
      </c>
      <c r="AF2659">
        <v>0</v>
      </c>
      <c r="AG2659" s="2">
        <v>1305.92</v>
      </c>
      <c r="AH2659">
        <v>0</v>
      </c>
      <c r="AI2659" s="2">
        <v>1305.92</v>
      </c>
      <c r="AJ2659">
        <v>352.95</v>
      </c>
      <c r="AK2659">
        <v>352.95</v>
      </c>
      <c r="AL2659" t="str">
        <f>"$"</f>
        <v>$</v>
      </c>
    </row>
    <row r="2660" spans="1:38" x14ac:dyDescent="0.3">
      <c r="A2660" t="str">
        <f>"SO23000307"</f>
        <v>SO23000307</v>
      </c>
      <c r="B2660" t="str">
        <f>"E000397683"</f>
        <v>E000397683</v>
      </c>
      <c r="C2660" t="str">
        <f>"הרכבה חלקית"</f>
        <v>הרכבה חלקית</v>
      </c>
      <c r="E2660" s="3">
        <v>45109</v>
      </c>
      <c r="F2660" s="3">
        <v>45109</v>
      </c>
      <c r="G2660" t="str">
        <f>"700065"</f>
        <v>700065</v>
      </c>
      <c r="H2660" t="str">
        <f>"אלתא מערכות בע""מ"</f>
        <v>אלתא מערכות בע"מ</v>
      </c>
      <c r="I2660" t="str">
        <f>"רחמים זרוק"</f>
        <v>רחמים זרוק</v>
      </c>
      <c r="J2660" t="str">
        <f>"OP-AR03710"</f>
        <v>OP-AR03710</v>
      </c>
      <c r="K2660" s="1" t="str">
        <f>"4080H435-001    ETHERNET CABLE WS435 - LS2 TO PDU - 10/1"</f>
        <v>4080H435-001    ETHERNET CABLE WS435 - LS2 TO PDU - 10/1</v>
      </c>
      <c r="L2660">
        <v>1</v>
      </c>
      <c r="M2660" t="str">
        <f>"PR23000433"</f>
        <v>PR23000433</v>
      </c>
      <c r="N2660" t="str">
        <f>"E000397683"</f>
        <v>E000397683</v>
      </c>
      <c r="O2660">
        <v>352.95</v>
      </c>
      <c r="P2660" t="str">
        <f>"$"</f>
        <v>$</v>
      </c>
      <c r="Q2660" t="str">
        <f>"117"</f>
        <v>117</v>
      </c>
      <c r="R2660" t="str">
        <f>"רתמות"</f>
        <v>רתמות</v>
      </c>
      <c r="S2660" t="str">
        <f>"040"</f>
        <v>040</v>
      </c>
      <c r="T2660" t="str">
        <f>"גנם הודיה"</f>
        <v>גנם הודיה</v>
      </c>
      <c r="U2660">
        <v>0</v>
      </c>
      <c r="V2660">
        <v>0</v>
      </c>
      <c r="W2660">
        <v>352.95</v>
      </c>
      <c r="X2660">
        <v>352.95</v>
      </c>
      <c r="Z2660" t="str">
        <f>"Y"</f>
        <v>Y</v>
      </c>
      <c r="AA2660">
        <v>0</v>
      </c>
      <c r="AC2660">
        <v>0</v>
      </c>
      <c r="AE2660">
        <v>0</v>
      </c>
      <c r="AF2660">
        <v>0</v>
      </c>
      <c r="AG2660" s="2">
        <v>1305.92</v>
      </c>
      <c r="AH2660">
        <v>0</v>
      </c>
      <c r="AI2660" s="2">
        <v>1305.92</v>
      </c>
      <c r="AJ2660">
        <v>352.95</v>
      </c>
      <c r="AK2660">
        <v>352.95</v>
      </c>
      <c r="AL2660" t="str">
        <f>"$"</f>
        <v>$</v>
      </c>
    </row>
    <row r="2661" spans="1:38" x14ac:dyDescent="0.3">
      <c r="A2661" t="str">
        <f>"SO23000307"</f>
        <v>SO23000307</v>
      </c>
      <c r="B2661" t="str">
        <f>"E000397683"</f>
        <v>E000397683</v>
      </c>
      <c r="C2661" t="str">
        <f>"הרכבה חלקית"</f>
        <v>הרכבה חלקית</v>
      </c>
      <c r="E2661" s="3">
        <v>45109</v>
      </c>
      <c r="F2661" s="3">
        <v>45109</v>
      </c>
      <c r="G2661" t="str">
        <f>"700065"</f>
        <v>700065</v>
      </c>
      <c r="H2661" t="str">
        <f>"אלתא מערכות בע""מ"</f>
        <v>אלתא מערכות בע"מ</v>
      </c>
      <c r="I2661" t="str">
        <f>"רחמים זרוק"</f>
        <v>רחמים זרוק</v>
      </c>
      <c r="J2661" t="str">
        <f>"OP-AR03711"</f>
        <v>OP-AR03711</v>
      </c>
      <c r="K2661" s="1" t="str">
        <f>"4080H424-001    ETHERNET CABLE WS424 - LS1 TO MAINTENANC"</f>
        <v>4080H424-001    ETHERNET CABLE WS424 - LS1 TO MAINTENANC</v>
      </c>
      <c r="L2661">
        <v>3</v>
      </c>
      <c r="M2661" t="str">
        <f>"PR23000433"</f>
        <v>PR23000433</v>
      </c>
      <c r="N2661" t="str">
        <f>"E000397683"</f>
        <v>E000397683</v>
      </c>
      <c r="O2661">
        <v>368.58</v>
      </c>
      <c r="P2661" t="str">
        <f>"$"</f>
        <v>$</v>
      </c>
      <c r="Q2661" t="str">
        <f>"117"</f>
        <v>117</v>
      </c>
      <c r="R2661" t="str">
        <f>"רתמות"</f>
        <v>רתמות</v>
      </c>
      <c r="S2661" t="str">
        <f>"040"</f>
        <v>040</v>
      </c>
      <c r="T2661" t="str">
        <f>"גנם הודיה"</f>
        <v>גנם הודיה</v>
      </c>
      <c r="U2661">
        <v>0</v>
      </c>
      <c r="V2661">
        <v>0</v>
      </c>
      <c r="W2661">
        <v>368.58</v>
      </c>
      <c r="X2661" s="2">
        <v>1105.74</v>
      </c>
      <c r="Z2661" t="str">
        <f>"Y"</f>
        <v>Y</v>
      </c>
      <c r="AA2661">
        <v>0</v>
      </c>
      <c r="AC2661">
        <v>0</v>
      </c>
      <c r="AE2661">
        <v>0</v>
      </c>
      <c r="AF2661">
        <v>0</v>
      </c>
      <c r="AG2661" s="2">
        <v>1363.75</v>
      </c>
      <c r="AH2661">
        <v>0</v>
      </c>
      <c r="AI2661" s="2">
        <v>4091.24</v>
      </c>
      <c r="AJ2661" s="2">
        <v>1105.74</v>
      </c>
      <c r="AK2661" s="2">
        <v>1105.74</v>
      </c>
      <c r="AL2661" t="str">
        <f>"$"</f>
        <v>$</v>
      </c>
    </row>
    <row r="2662" spans="1:38" x14ac:dyDescent="0.3">
      <c r="A2662" t="str">
        <f>"SO23000307"</f>
        <v>SO23000307</v>
      </c>
      <c r="B2662" t="str">
        <f>"E000397683"</f>
        <v>E000397683</v>
      </c>
      <c r="C2662" t="str">
        <f>"הרכבה חלקית"</f>
        <v>הרכבה חלקית</v>
      </c>
      <c r="E2662" s="3">
        <v>45109</v>
      </c>
      <c r="F2662" s="3">
        <v>45109</v>
      </c>
      <c r="G2662" t="str">
        <f>"700065"</f>
        <v>700065</v>
      </c>
      <c r="H2662" t="str">
        <f>"אלתא מערכות בע""מ"</f>
        <v>אלתא מערכות בע"מ</v>
      </c>
      <c r="I2662" t="str">
        <f>"רחמים זרוק"</f>
        <v>רחמים זרוק</v>
      </c>
      <c r="J2662" t="str">
        <f>"OP-AR03711"</f>
        <v>OP-AR03711</v>
      </c>
      <c r="K2662" s="1" t="str">
        <f>"4080H424-001    ETHERNET CABLE WS424 - LS1 TO MAINTENANC"</f>
        <v>4080H424-001    ETHERNET CABLE WS424 - LS1 TO MAINTENANC</v>
      </c>
      <c r="L2662">
        <v>1</v>
      </c>
      <c r="M2662" t="str">
        <f>"PR23000433"</f>
        <v>PR23000433</v>
      </c>
      <c r="N2662" t="str">
        <f>"E000397683"</f>
        <v>E000397683</v>
      </c>
      <c r="O2662">
        <v>368.58</v>
      </c>
      <c r="P2662" t="str">
        <f>"$"</f>
        <v>$</v>
      </c>
      <c r="Q2662" t="str">
        <f>"117"</f>
        <v>117</v>
      </c>
      <c r="R2662" t="str">
        <f>"רתמות"</f>
        <v>רתמות</v>
      </c>
      <c r="S2662" t="str">
        <f>"040"</f>
        <v>040</v>
      </c>
      <c r="T2662" t="str">
        <f>"גנם הודיה"</f>
        <v>גנם הודיה</v>
      </c>
      <c r="U2662">
        <v>0</v>
      </c>
      <c r="V2662">
        <v>0</v>
      </c>
      <c r="W2662">
        <v>368.58</v>
      </c>
      <c r="X2662">
        <v>368.58</v>
      </c>
      <c r="Z2662" t="str">
        <f>"Y"</f>
        <v>Y</v>
      </c>
      <c r="AA2662">
        <v>0</v>
      </c>
      <c r="AC2662">
        <v>0</v>
      </c>
      <c r="AE2662">
        <v>0</v>
      </c>
      <c r="AF2662">
        <v>0</v>
      </c>
      <c r="AG2662" s="2">
        <v>1363.75</v>
      </c>
      <c r="AH2662">
        <v>0</v>
      </c>
      <c r="AI2662" s="2">
        <v>1363.75</v>
      </c>
      <c r="AJ2662">
        <v>368.58</v>
      </c>
      <c r="AK2662">
        <v>368.58</v>
      </c>
      <c r="AL2662" t="str">
        <f>"$"</f>
        <v>$</v>
      </c>
    </row>
    <row r="2663" spans="1:38" x14ac:dyDescent="0.3">
      <c r="A2663" t="str">
        <f>"SO23000307"</f>
        <v>SO23000307</v>
      </c>
      <c r="B2663" t="str">
        <f>"E000397683"</f>
        <v>E000397683</v>
      </c>
      <c r="C2663" t="str">
        <f>"הרכבה חלקית"</f>
        <v>הרכבה חלקית</v>
      </c>
      <c r="E2663" s="3">
        <v>45109</v>
      </c>
      <c r="F2663" s="3">
        <v>45109</v>
      </c>
      <c r="G2663" t="str">
        <f>"700065"</f>
        <v>700065</v>
      </c>
      <c r="H2663" t="str">
        <f>"אלתא מערכות בע""מ"</f>
        <v>אלתא מערכות בע"מ</v>
      </c>
      <c r="I2663" t="str">
        <f>"רחמים זרוק"</f>
        <v>רחמים זרוק</v>
      </c>
      <c r="J2663" t="str">
        <f>"OP-AR03711"</f>
        <v>OP-AR03711</v>
      </c>
      <c r="K2663" s="1" t="str">
        <f>"4080H424-001    ETHERNET CABLE WS424 - LS1 TO MAINTENANC"</f>
        <v>4080H424-001    ETHERNET CABLE WS424 - LS1 TO MAINTENANC</v>
      </c>
      <c r="L2663">
        <v>1</v>
      </c>
      <c r="M2663" t="str">
        <f>"PR23000433"</f>
        <v>PR23000433</v>
      </c>
      <c r="N2663" t="str">
        <f>"E000397683"</f>
        <v>E000397683</v>
      </c>
      <c r="O2663">
        <v>368.58</v>
      </c>
      <c r="P2663" t="str">
        <f>"$"</f>
        <v>$</v>
      </c>
      <c r="Q2663" t="str">
        <f>"117"</f>
        <v>117</v>
      </c>
      <c r="R2663" t="str">
        <f>"רתמות"</f>
        <v>רתמות</v>
      </c>
      <c r="S2663" t="str">
        <f>"040"</f>
        <v>040</v>
      </c>
      <c r="T2663" t="str">
        <f>"גנם הודיה"</f>
        <v>גנם הודיה</v>
      </c>
      <c r="U2663">
        <v>0</v>
      </c>
      <c r="V2663">
        <v>0</v>
      </c>
      <c r="W2663">
        <v>368.58</v>
      </c>
      <c r="X2663">
        <v>368.58</v>
      </c>
      <c r="Z2663" t="str">
        <f>"Y"</f>
        <v>Y</v>
      </c>
      <c r="AA2663">
        <v>0</v>
      </c>
      <c r="AC2663">
        <v>0</v>
      </c>
      <c r="AE2663">
        <v>0</v>
      </c>
      <c r="AF2663">
        <v>0</v>
      </c>
      <c r="AG2663" s="2">
        <v>1363.75</v>
      </c>
      <c r="AH2663">
        <v>0</v>
      </c>
      <c r="AI2663" s="2">
        <v>1363.75</v>
      </c>
      <c r="AJ2663">
        <v>368.58</v>
      </c>
      <c r="AK2663">
        <v>368.58</v>
      </c>
      <c r="AL2663" t="str">
        <f>"$"</f>
        <v>$</v>
      </c>
    </row>
    <row r="2664" spans="1:38" x14ac:dyDescent="0.3">
      <c r="A2664" t="str">
        <f>"SO23000307"</f>
        <v>SO23000307</v>
      </c>
      <c r="B2664" t="str">
        <f>"E000397683"</f>
        <v>E000397683</v>
      </c>
      <c r="C2664" t="str">
        <f>"הרכבה חלקית"</f>
        <v>הרכבה חלקית</v>
      </c>
      <c r="E2664" s="3">
        <v>45109</v>
      </c>
      <c r="F2664" s="3">
        <v>45109</v>
      </c>
      <c r="G2664" t="str">
        <f>"700065"</f>
        <v>700065</v>
      </c>
      <c r="H2664" t="str">
        <f>"אלתא מערכות בע""מ"</f>
        <v>אלתא מערכות בע"מ</v>
      </c>
      <c r="I2664" t="str">
        <f>"רחמים זרוק"</f>
        <v>רחמים זרוק</v>
      </c>
      <c r="J2664" t="str">
        <f>"OP-AR03712"</f>
        <v>OP-AR03712</v>
      </c>
      <c r="K2664" s="1" t="str">
        <f>"4080H413-001    HARNESS WS413 - PDU TO RIP J3 - POWER"</f>
        <v>4080H413-001    HARNESS WS413 - PDU TO RIP J3 - POWER</v>
      </c>
      <c r="L2664">
        <v>3</v>
      </c>
      <c r="M2664" t="str">
        <f>"PR23000433"</f>
        <v>PR23000433</v>
      </c>
      <c r="N2664" t="str">
        <f>"E000397683"</f>
        <v>E000397683</v>
      </c>
      <c r="O2664" s="2">
        <v>1424.04</v>
      </c>
      <c r="P2664" t="str">
        <f>"$"</f>
        <v>$</v>
      </c>
      <c r="Q2664" t="str">
        <f>"117"</f>
        <v>117</v>
      </c>
      <c r="R2664" t="str">
        <f>"רתמות"</f>
        <v>רתמות</v>
      </c>
      <c r="S2664" t="str">
        <f>"040"</f>
        <v>040</v>
      </c>
      <c r="T2664" t="str">
        <f>"גנם הודיה"</f>
        <v>גנם הודיה</v>
      </c>
      <c r="U2664">
        <v>0</v>
      </c>
      <c r="V2664">
        <v>0</v>
      </c>
      <c r="W2664" s="2">
        <v>1424.04</v>
      </c>
      <c r="X2664" s="2">
        <v>4272.12</v>
      </c>
      <c r="AA2664">
        <v>3</v>
      </c>
      <c r="AC2664">
        <v>0</v>
      </c>
      <c r="AE2664">
        <v>0</v>
      </c>
      <c r="AF2664">
        <v>0</v>
      </c>
      <c r="AG2664" s="2">
        <v>5268.95</v>
      </c>
      <c r="AH2664">
        <v>0</v>
      </c>
      <c r="AI2664" s="2">
        <v>15806.84</v>
      </c>
      <c r="AJ2664" s="2">
        <v>4272.12</v>
      </c>
      <c r="AK2664" s="2">
        <v>4272.12</v>
      </c>
      <c r="AL2664" t="str">
        <f>"$"</f>
        <v>$</v>
      </c>
    </row>
    <row r="2665" spans="1:38" x14ac:dyDescent="0.3">
      <c r="A2665" t="str">
        <f>"SO23000307"</f>
        <v>SO23000307</v>
      </c>
      <c r="B2665" t="str">
        <f>"E000397683"</f>
        <v>E000397683</v>
      </c>
      <c r="C2665" t="str">
        <f>"הרכבה חלקית"</f>
        <v>הרכבה חלקית</v>
      </c>
      <c r="E2665" s="3">
        <v>45109</v>
      </c>
      <c r="F2665" s="3">
        <v>45109</v>
      </c>
      <c r="G2665" t="str">
        <f>"700065"</f>
        <v>700065</v>
      </c>
      <c r="H2665" t="str">
        <f>"אלתא מערכות בע""מ"</f>
        <v>אלתא מערכות בע"מ</v>
      </c>
      <c r="I2665" t="str">
        <f>"רחמים זרוק"</f>
        <v>רחמים זרוק</v>
      </c>
      <c r="J2665" t="str">
        <f>"OP-AR03712"</f>
        <v>OP-AR03712</v>
      </c>
      <c r="K2665" s="1" t="str">
        <f>"4080H413-001    HARNESS WS413 - PDU TO RIP J3 - POWER"</f>
        <v>4080H413-001    HARNESS WS413 - PDU TO RIP J3 - POWER</v>
      </c>
      <c r="L2665">
        <v>1</v>
      </c>
      <c r="M2665" t="str">
        <f>"PR23000433"</f>
        <v>PR23000433</v>
      </c>
      <c r="N2665" t="str">
        <f>"E000397683"</f>
        <v>E000397683</v>
      </c>
      <c r="O2665" s="2">
        <v>1424.04</v>
      </c>
      <c r="P2665" t="str">
        <f>"$"</f>
        <v>$</v>
      </c>
      <c r="Q2665" t="str">
        <f>"117"</f>
        <v>117</v>
      </c>
      <c r="R2665" t="str">
        <f>"רתמות"</f>
        <v>רתמות</v>
      </c>
      <c r="S2665" t="str">
        <f>"040"</f>
        <v>040</v>
      </c>
      <c r="T2665" t="str">
        <f>"גנם הודיה"</f>
        <v>גנם הודיה</v>
      </c>
      <c r="U2665">
        <v>0</v>
      </c>
      <c r="V2665">
        <v>0</v>
      </c>
      <c r="W2665" s="2">
        <v>1424.04</v>
      </c>
      <c r="X2665" s="2">
        <v>1424.04</v>
      </c>
      <c r="AA2665">
        <v>1</v>
      </c>
      <c r="AC2665">
        <v>0</v>
      </c>
      <c r="AE2665">
        <v>0</v>
      </c>
      <c r="AF2665">
        <v>0</v>
      </c>
      <c r="AG2665" s="2">
        <v>5268.95</v>
      </c>
      <c r="AH2665">
        <v>0</v>
      </c>
      <c r="AI2665" s="2">
        <v>5268.95</v>
      </c>
      <c r="AJ2665" s="2">
        <v>1424.04</v>
      </c>
      <c r="AK2665" s="2">
        <v>1424.04</v>
      </c>
      <c r="AL2665" t="str">
        <f>"$"</f>
        <v>$</v>
      </c>
    </row>
    <row r="2666" spans="1:38" x14ac:dyDescent="0.3">
      <c r="A2666" t="str">
        <f>"SO23000307"</f>
        <v>SO23000307</v>
      </c>
      <c r="B2666" t="str">
        <f>"E000397683"</f>
        <v>E000397683</v>
      </c>
      <c r="C2666" t="str">
        <f>"הרכבה חלקית"</f>
        <v>הרכבה חלקית</v>
      </c>
      <c r="E2666" s="3">
        <v>45109</v>
      </c>
      <c r="F2666" s="3">
        <v>45109</v>
      </c>
      <c r="G2666" t="str">
        <f>"700065"</f>
        <v>700065</v>
      </c>
      <c r="H2666" t="str">
        <f>"אלתא מערכות בע""מ"</f>
        <v>אלתא מערכות בע"מ</v>
      </c>
      <c r="I2666" t="str">
        <f>"רחמים זרוק"</f>
        <v>רחמים זרוק</v>
      </c>
      <c r="J2666" t="str">
        <f>"OP-AR03712"</f>
        <v>OP-AR03712</v>
      </c>
      <c r="K2666" s="1" t="str">
        <f>"4080H413-001    HARNESS WS413 - PDU TO RIP J3 - POWER"</f>
        <v>4080H413-001    HARNESS WS413 - PDU TO RIP J3 - POWER</v>
      </c>
      <c r="L2666">
        <v>1</v>
      </c>
      <c r="M2666" t="str">
        <f>"PR23000433"</f>
        <v>PR23000433</v>
      </c>
      <c r="N2666" t="str">
        <f>"E000397683"</f>
        <v>E000397683</v>
      </c>
      <c r="O2666" s="2">
        <v>1424.04</v>
      </c>
      <c r="P2666" t="str">
        <f>"$"</f>
        <v>$</v>
      </c>
      <c r="Q2666" t="str">
        <f>"117"</f>
        <v>117</v>
      </c>
      <c r="R2666" t="str">
        <f>"רתמות"</f>
        <v>רתמות</v>
      </c>
      <c r="S2666" t="str">
        <f>"040"</f>
        <v>040</v>
      </c>
      <c r="T2666" t="str">
        <f>"גנם הודיה"</f>
        <v>גנם הודיה</v>
      </c>
      <c r="U2666">
        <v>0</v>
      </c>
      <c r="V2666">
        <v>0</v>
      </c>
      <c r="W2666" s="2">
        <v>1424.04</v>
      </c>
      <c r="X2666" s="2">
        <v>1424.04</v>
      </c>
      <c r="AA2666">
        <v>1</v>
      </c>
      <c r="AC2666">
        <v>0</v>
      </c>
      <c r="AE2666">
        <v>0</v>
      </c>
      <c r="AF2666">
        <v>0</v>
      </c>
      <c r="AG2666" s="2">
        <v>5268.95</v>
      </c>
      <c r="AH2666">
        <v>0</v>
      </c>
      <c r="AI2666" s="2">
        <v>5268.95</v>
      </c>
      <c r="AJ2666" s="2">
        <v>1424.04</v>
      </c>
      <c r="AK2666" s="2">
        <v>1424.04</v>
      </c>
      <c r="AL2666" t="str">
        <f>"$"</f>
        <v>$</v>
      </c>
    </row>
    <row r="2667" spans="1:38" x14ac:dyDescent="0.3">
      <c r="A2667" t="str">
        <f>"SO23000307"</f>
        <v>SO23000307</v>
      </c>
      <c r="B2667" t="str">
        <f>"E000397683"</f>
        <v>E000397683</v>
      </c>
      <c r="C2667" t="str">
        <f>"הרכבה חלקית"</f>
        <v>הרכבה חלקית</v>
      </c>
      <c r="E2667" s="3">
        <v>45109</v>
      </c>
      <c r="F2667" s="3">
        <v>45109</v>
      </c>
      <c r="G2667" t="str">
        <f>"700065"</f>
        <v>700065</v>
      </c>
      <c r="H2667" t="str">
        <f>"אלתא מערכות בע""מ"</f>
        <v>אלתא מערכות בע"מ</v>
      </c>
      <c r="I2667" t="str">
        <f>"רחמים זרוק"</f>
        <v>רחמים זרוק</v>
      </c>
      <c r="J2667" t="str">
        <f>"OP-AR03713"</f>
        <v>OP-AR03713</v>
      </c>
      <c r="K2667" s="1" t="str">
        <f>"4080H412-001    HARNESS WS412 - PDU TO RIP J1 - POWER"</f>
        <v>4080H412-001    HARNESS WS412 - PDU TO RIP J1 - POWER</v>
      </c>
      <c r="L2667">
        <v>3</v>
      </c>
      <c r="M2667" t="str">
        <f>"PR23000433"</f>
        <v>PR23000433</v>
      </c>
      <c r="N2667" t="str">
        <f>"E000397683"</f>
        <v>E000397683</v>
      </c>
      <c r="O2667" s="2">
        <v>1547.36</v>
      </c>
      <c r="P2667" t="str">
        <f>"$"</f>
        <v>$</v>
      </c>
      <c r="Q2667" t="str">
        <f>"117"</f>
        <v>117</v>
      </c>
      <c r="R2667" t="str">
        <f>"רתמות"</f>
        <v>רתמות</v>
      </c>
      <c r="S2667" t="str">
        <f>"040"</f>
        <v>040</v>
      </c>
      <c r="T2667" t="str">
        <f>"גנם הודיה"</f>
        <v>גנם הודיה</v>
      </c>
      <c r="U2667">
        <v>0</v>
      </c>
      <c r="V2667">
        <v>0</v>
      </c>
      <c r="W2667" s="2">
        <v>1547.36</v>
      </c>
      <c r="X2667" s="2">
        <v>4642.08</v>
      </c>
      <c r="AA2667">
        <v>3</v>
      </c>
      <c r="AC2667">
        <v>0</v>
      </c>
      <c r="AE2667">
        <v>0</v>
      </c>
      <c r="AF2667">
        <v>0</v>
      </c>
      <c r="AG2667" s="2">
        <v>5725.23</v>
      </c>
      <c r="AH2667">
        <v>0</v>
      </c>
      <c r="AI2667" s="2">
        <v>17175.7</v>
      </c>
      <c r="AJ2667" s="2">
        <v>4642.08</v>
      </c>
      <c r="AK2667" s="2">
        <v>4642.08</v>
      </c>
      <c r="AL2667" t="str">
        <f>"$"</f>
        <v>$</v>
      </c>
    </row>
    <row r="2668" spans="1:38" x14ac:dyDescent="0.3">
      <c r="A2668" t="str">
        <f>"SO23000307"</f>
        <v>SO23000307</v>
      </c>
      <c r="B2668" t="str">
        <f>"E000397683"</f>
        <v>E000397683</v>
      </c>
      <c r="C2668" t="str">
        <f>"הרכבה חלקית"</f>
        <v>הרכבה חלקית</v>
      </c>
      <c r="E2668" s="3">
        <v>45109</v>
      </c>
      <c r="F2668" s="3">
        <v>45109</v>
      </c>
      <c r="G2668" t="str">
        <f>"700065"</f>
        <v>700065</v>
      </c>
      <c r="H2668" t="str">
        <f>"אלתא מערכות בע""מ"</f>
        <v>אלתא מערכות בע"מ</v>
      </c>
      <c r="I2668" t="str">
        <f>"רחמים זרוק"</f>
        <v>רחמים זרוק</v>
      </c>
      <c r="J2668" t="str">
        <f>"OP-AR03713"</f>
        <v>OP-AR03713</v>
      </c>
      <c r="K2668" s="1" t="str">
        <f>"4080H412-001    HARNESS WS412 - PDU TO RIP J1 - POWER"</f>
        <v>4080H412-001    HARNESS WS412 - PDU TO RIP J1 - POWER</v>
      </c>
      <c r="L2668">
        <v>1</v>
      </c>
      <c r="M2668" t="str">
        <f>"PR23000433"</f>
        <v>PR23000433</v>
      </c>
      <c r="N2668" t="str">
        <f>"E000397683"</f>
        <v>E000397683</v>
      </c>
      <c r="O2668" s="2">
        <v>1547.36</v>
      </c>
      <c r="P2668" t="str">
        <f>"$"</f>
        <v>$</v>
      </c>
      <c r="Q2668" t="str">
        <f>"117"</f>
        <v>117</v>
      </c>
      <c r="R2668" t="str">
        <f>"רתמות"</f>
        <v>רתמות</v>
      </c>
      <c r="S2668" t="str">
        <f>"040"</f>
        <v>040</v>
      </c>
      <c r="T2668" t="str">
        <f>"גנם הודיה"</f>
        <v>גנם הודיה</v>
      </c>
      <c r="U2668">
        <v>0</v>
      </c>
      <c r="V2668">
        <v>0</v>
      </c>
      <c r="W2668" s="2">
        <v>1547.36</v>
      </c>
      <c r="X2668" s="2">
        <v>1547.36</v>
      </c>
      <c r="Z2668" t="str">
        <f>"Y"</f>
        <v>Y</v>
      </c>
      <c r="AA2668">
        <v>0</v>
      </c>
      <c r="AC2668">
        <v>0</v>
      </c>
      <c r="AE2668">
        <v>0</v>
      </c>
      <c r="AF2668">
        <v>0</v>
      </c>
      <c r="AG2668" s="2">
        <v>5725.23</v>
      </c>
      <c r="AH2668">
        <v>0</v>
      </c>
      <c r="AI2668" s="2">
        <v>5725.23</v>
      </c>
      <c r="AJ2668" s="2">
        <v>1547.36</v>
      </c>
      <c r="AK2668" s="2">
        <v>1547.36</v>
      </c>
      <c r="AL2668" t="str">
        <f>"$"</f>
        <v>$</v>
      </c>
    </row>
    <row r="2669" spans="1:38" x14ac:dyDescent="0.3">
      <c r="A2669" t="str">
        <f>"SO23000307"</f>
        <v>SO23000307</v>
      </c>
      <c r="B2669" t="str">
        <f>"E000397683"</f>
        <v>E000397683</v>
      </c>
      <c r="C2669" t="str">
        <f>"הרכבה חלקית"</f>
        <v>הרכבה חלקית</v>
      </c>
      <c r="E2669" s="3">
        <v>45109</v>
      </c>
      <c r="F2669" s="3">
        <v>45109</v>
      </c>
      <c r="G2669" t="str">
        <f>"700065"</f>
        <v>700065</v>
      </c>
      <c r="H2669" t="str">
        <f>"אלתא מערכות בע""מ"</f>
        <v>אלתא מערכות בע"מ</v>
      </c>
      <c r="I2669" t="str">
        <f>"רחמים זרוק"</f>
        <v>רחמים זרוק</v>
      </c>
      <c r="J2669" t="str">
        <f>"OP-AR03713"</f>
        <v>OP-AR03713</v>
      </c>
      <c r="K2669" s="1" t="str">
        <f>"4080H412-001    HARNESS WS412 - PDU TO RIP J1 - POWER"</f>
        <v>4080H412-001    HARNESS WS412 - PDU TO RIP J1 - POWER</v>
      </c>
      <c r="L2669">
        <v>1</v>
      </c>
      <c r="M2669" t="str">
        <f>"PR23000433"</f>
        <v>PR23000433</v>
      </c>
      <c r="N2669" t="str">
        <f>"E000397683"</f>
        <v>E000397683</v>
      </c>
      <c r="O2669" s="2">
        <v>1547.36</v>
      </c>
      <c r="P2669" t="str">
        <f>"$"</f>
        <v>$</v>
      </c>
      <c r="Q2669" t="str">
        <f>"117"</f>
        <v>117</v>
      </c>
      <c r="R2669" t="str">
        <f>"רתמות"</f>
        <v>רתמות</v>
      </c>
      <c r="S2669" t="str">
        <f>"040"</f>
        <v>040</v>
      </c>
      <c r="T2669" t="str">
        <f>"גנם הודיה"</f>
        <v>גנם הודיה</v>
      </c>
      <c r="U2669">
        <v>0</v>
      </c>
      <c r="V2669">
        <v>0</v>
      </c>
      <c r="W2669" s="2">
        <v>1547.36</v>
      </c>
      <c r="X2669" s="2">
        <v>1547.36</v>
      </c>
      <c r="Z2669" t="str">
        <f>"Y"</f>
        <v>Y</v>
      </c>
      <c r="AA2669">
        <v>0</v>
      </c>
      <c r="AC2669">
        <v>0</v>
      </c>
      <c r="AE2669">
        <v>0</v>
      </c>
      <c r="AF2669">
        <v>0</v>
      </c>
      <c r="AG2669" s="2">
        <v>5725.23</v>
      </c>
      <c r="AH2669">
        <v>0</v>
      </c>
      <c r="AI2669" s="2">
        <v>5725.23</v>
      </c>
      <c r="AJ2669" s="2">
        <v>1547.36</v>
      </c>
      <c r="AK2669" s="2">
        <v>1547.36</v>
      </c>
      <c r="AL2669" t="str">
        <f>"$"</f>
        <v>$</v>
      </c>
    </row>
    <row r="2670" spans="1:38" x14ac:dyDescent="0.3">
      <c r="A2670" t="str">
        <f>"SO23000307"</f>
        <v>SO23000307</v>
      </c>
      <c r="B2670" t="str">
        <f>"E000397683"</f>
        <v>E000397683</v>
      </c>
      <c r="C2670" t="str">
        <f>"הרכבה חלקית"</f>
        <v>הרכבה חלקית</v>
      </c>
      <c r="E2670" s="3">
        <v>45109</v>
      </c>
      <c r="F2670" s="3">
        <v>45109</v>
      </c>
      <c r="G2670" t="str">
        <f>"700065"</f>
        <v>700065</v>
      </c>
      <c r="H2670" t="str">
        <f>"אלתא מערכות בע""מ"</f>
        <v>אלתא מערכות בע"מ</v>
      </c>
      <c r="I2670" t="str">
        <f>"רחמים זרוק"</f>
        <v>רחמים זרוק</v>
      </c>
      <c r="J2670" t="str">
        <f>"OP-AR03714"</f>
        <v>OP-AR03714</v>
      </c>
      <c r="K2670" s="1" t="str">
        <f>"4080H425-001    ETHERNET CABLE WS425 - LS1 TO MAINTENANC"</f>
        <v>4080H425-001    ETHERNET CABLE WS425 - LS1 TO MAINTENANC</v>
      </c>
      <c r="L2670">
        <v>3</v>
      </c>
      <c r="M2670" t="str">
        <f>"PR23000433"</f>
        <v>PR23000433</v>
      </c>
      <c r="N2670" t="str">
        <f>"E000397683"</f>
        <v>E000397683</v>
      </c>
      <c r="O2670">
        <v>571.15</v>
      </c>
      <c r="P2670" t="str">
        <f>"$"</f>
        <v>$</v>
      </c>
      <c r="Q2670" t="str">
        <f>"117"</f>
        <v>117</v>
      </c>
      <c r="R2670" t="str">
        <f>"רתמות"</f>
        <v>רתמות</v>
      </c>
      <c r="S2670" t="str">
        <f>"040"</f>
        <v>040</v>
      </c>
      <c r="T2670" t="str">
        <f>"גנם הודיה"</f>
        <v>גנם הודיה</v>
      </c>
      <c r="U2670">
        <v>0</v>
      </c>
      <c r="V2670">
        <v>0</v>
      </c>
      <c r="W2670">
        <v>571.15</v>
      </c>
      <c r="X2670" s="2">
        <v>1713.45</v>
      </c>
      <c r="AA2670">
        <v>3</v>
      </c>
      <c r="AC2670">
        <v>0</v>
      </c>
      <c r="AE2670">
        <v>0</v>
      </c>
      <c r="AF2670">
        <v>0</v>
      </c>
      <c r="AG2670" s="2">
        <v>2113.2600000000002</v>
      </c>
      <c r="AH2670">
        <v>0</v>
      </c>
      <c r="AI2670" s="2">
        <v>6339.77</v>
      </c>
      <c r="AJ2670" s="2">
        <v>1713.45</v>
      </c>
      <c r="AK2670" s="2">
        <v>1713.45</v>
      </c>
      <c r="AL2670" t="str">
        <f>"$"</f>
        <v>$</v>
      </c>
    </row>
    <row r="2671" spans="1:38" x14ac:dyDescent="0.3">
      <c r="A2671" t="str">
        <f>"SO23000307"</f>
        <v>SO23000307</v>
      </c>
      <c r="B2671" t="str">
        <f>"E000397683"</f>
        <v>E000397683</v>
      </c>
      <c r="C2671" t="str">
        <f>"הרכבה חלקית"</f>
        <v>הרכבה חלקית</v>
      </c>
      <c r="E2671" s="3">
        <v>45109</v>
      </c>
      <c r="F2671" s="3">
        <v>45109</v>
      </c>
      <c r="G2671" t="str">
        <f>"700065"</f>
        <v>700065</v>
      </c>
      <c r="H2671" t="str">
        <f>"אלתא מערכות בע""מ"</f>
        <v>אלתא מערכות בע"מ</v>
      </c>
      <c r="I2671" t="str">
        <f>"רחמים זרוק"</f>
        <v>רחמים זרוק</v>
      </c>
      <c r="J2671" t="str">
        <f>"OP-AR03714"</f>
        <v>OP-AR03714</v>
      </c>
      <c r="K2671" s="1" t="str">
        <f>"4080H425-001    ETHERNET CABLE WS425 - LS1 TO MAINTENANC"</f>
        <v>4080H425-001    ETHERNET CABLE WS425 - LS1 TO MAINTENANC</v>
      </c>
      <c r="L2671">
        <v>1</v>
      </c>
      <c r="M2671" t="str">
        <f>"PR23000433"</f>
        <v>PR23000433</v>
      </c>
      <c r="N2671" t="str">
        <f>"E000397683"</f>
        <v>E000397683</v>
      </c>
      <c r="O2671">
        <v>571.15</v>
      </c>
      <c r="P2671" t="str">
        <f>"$"</f>
        <v>$</v>
      </c>
      <c r="Q2671" t="str">
        <f>"117"</f>
        <v>117</v>
      </c>
      <c r="R2671" t="str">
        <f>"רתמות"</f>
        <v>רתמות</v>
      </c>
      <c r="S2671" t="str">
        <f>"040"</f>
        <v>040</v>
      </c>
      <c r="T2671" t="str">
        <f>"גנם הודיה"</f>
        <v>גנם הודיה</v>
      </c>
      <c r="U2671">
        <v>0</v>
      </c>
      <c r="V2671">
        <v>0</v>
      </c>
      <c r="W2671">
        <v>571.15</v>
      </c>
      <c r="X2671">
        <v>571.15</v>
      </c>
      <c r="Z2671" t="str">
        <f>"Y"</f>
        <v>Y</v>
      </c>
      <c r="AA2671">
        <v>0</v>
      </c>
      <c r="AC2671">
        <v>0</v>
      </c>
      <c r="AE2671">
        <v>0</v>
      </c>
      <c r="AF2671">
        <v>0</v>
      </c>
      <c r="AG2671" s="2">
        <v>2113.2600000000002</v>
      </c>
      <c r="AH2671">
        <v>0</v>
      </c>
      <c r="AI2671" s="2">
        <v>2113.2600000000002</v>
      </c>
      <c r="AJ2671">
        <v>571.15</v>
      </c>
      <c r="AK2671">
        <v>571.15</v>
      </c>
      <c r="AL2671" t="str">
        <f>"$"</f>
        <v>$</v>
      </c>
    </row>
    <row r="2672" spans="1:38" x14ac:dyDescent="0.3">
      <c r="A2672" t="str">
        <f>"SO23000307"</f>
        <v>SO23000307</v>
      </c>
      <c r="B2672" t="str">
        <f>"E000397683"</f>
        <v>E000397683</v>
      </c>
      <c r="C2672" t="str">
        <f>"הרכבה חלקית"</f>
        <v>הרכבה חלקית</v>
      </c>
      <c r="E2672" s="3">
        <v>45109</v>
      </c>
      <c r="F2672" s="3">
        <v>45109</v>
      </c>
      <c r="G2672" t="str">
        <f>"700065"</f>
        <v>700065</v>
      </c>
      <c r="H2672" t="str">
        <f>"אלתא מערכות בע""מ"</f>
        <v>אלתא מערכות בע"מ</v>
      </c>
      <c r="I2672" t="str">
        <f>"רחמים זרוק"</f>
        <v>רחמים זרוק</v>
      </c>
      <c r="J2672" t="str">
        <f>"OP-AR03714"</f>
        <v>OP-AR03714</v>
      </c>
      <c r="K2672" s="1" t="str">
        <f>"4080H425-001    ETHERNET CABLE WS425 - LS1 TO MAINTENANC"</f>
        <v>4080H425-001    ETHERNET CABLE WS425 - LS1 TO MAINTENANC</v>
      </c>
      <c r="L2672">
        <v>1</v>
      </c>
      <c r="M2672" t="str">
        <f>"PR23000433"</f>
        <v>PR23000433</v>
      </c>
      <c r="N2672" t="str">
        <f>"E000397683"</f>
        <v>E000397683</v>
      </c>
      <c r="O2672">
        <v>571.15</v>
      </c>
      <c r="P2672" t="str">
        <f>"$"</f>
        <v>$</v>
      </c>
      <c r="Q2672" t="str">
        <f>"117"</f>
        <v>117</v>
      </c>
      <c r="R2672" t="str">
        <f>"רתמות"</f>
        <v>רתמות</v>
      </c>
      <c r="S2672" t="str">
        <f>"040"</f>
        <v>040</v>
      </c>
      <c r="T2672" t="str">
        <f>"גנם הודיה"</f>
        <v>גנם הודיה</v>
      </c>
      <c r="U2672">
        <v>0</v>
      </c>
      <c r="V2672">
        <v>0</v>
      </c>
      <c r="W2672">
        <v>571.15</v>
      </c>
      <c r="X2672">
        <v>571.15</v>
      </c>
      <c r="Z2672" t="str">
        <f>"Y"</f>
        <v>Y</v>
      </c>
      <c r="AA2672">
        <v>0</v>
      </c>
      <c r="AC2672">
        <v>0</v>
      </c>
      <c r="AE2672">
        <v>0</v>
      </c>
      <c r="AF2672">
        <v>0</v>
      </c>
      <c r="AG2672" s="2">
        <v>2113.2600000000002</v>
      </c>
      <c r="AH2672">
        <v>0</v>
      </c>
      <c r="AI2672" s="2">
        <v>2113.2600000000002</v>
      </c>
      <c r="AJ2672">
        <v>571.15</v>
      </c>
      <c r="AK2672">
        <v>571.15</v>
      </c>
      <c r="AL2672" t="str">
        <f>"$"</f>
        <v>$</v>
      </c>
    </row>
    <row r="2673" spans="1:38" x14ac:dyDescent="0.3">
      <c r="A2673" t="str">
        <f>"SO23000307"</f>
        <v>SO23000307</v>
      </c>
      <c r="B2673" t="str">
        <f>"E000397683"</f>
        <v>E000397683</v>
      </c>
      <c r="C2673" t="str">
        <f>"הרכבה חלקית"</f>
        <v>הרכבה חלקית</v>
      </c>
      <c r="E2673" s="3">
        <v>45109</v>
      </c>
      <c r="F2673" s="3">
        <v>45109</v>
      </c>
      <c r="G2673" t="str">
        <f>"700065"</f>
        <v>700065</v>
      </c>
      <c r="H2673" t="str">
        <f>"אלתא מערכות בע""מ"</f>
        <v>אלתא מערכות בע"מ</v>
      </c>
      <c r="I2673" t="str">
        <f>"רחמים זרוק"</f>
        <v>רחמים זרוק</v>
      </c>
      <c r="J2673" t="str">
        <f>"OP-AR03715"</f>
        <v>OP-AR03715</v>
      </c>
      <c r="K2673" s="1" t="str">
        <f>"4080H426-001    ETHERNET CABLE WS426 - LS1 TO LS2 - 1G"</f>
        <v>4080H426-001    ETHERNET CABLE WS426 - LS1 TO LS2 - 1G</v>
      </c>
      <c r="L2673">
        <v>3</v>
      </c>
      <c r="M2673" t="str">
        <f>"PR23000433"</f>
        <v>PR23000433</v>
      </c>
      <c r="N2673" t="str">
        <f>"E000397683"</f>
        <v>E000397683</v>
      </c>
      <c r="O2673">
        <v>139.32</v>
      </c>
      <c r="P2673" t="str">
        <f>"$"</f>
        <v>$</v>
      </c>
      <c r="Q2673" t="str">
        <f>"117"</f>
        <v>117</v>
      </c>
      <c r="R2673" t="str">
        <f>"רתמות"</f>
        <v>רתמות</v>
      </c>
      <c r="S2673" t="str">
        <f>"040"</f>
        <v>040</v>
      </c>
      <c r="T2673" t="str">
        <f>"גנם הודיה"</f>
        <v>גנם הודיה</v>
      </c>
      <c r="U2673">
        <v>0</v>
      </c>
      <c r="V2673">
        <v>0</v>
      </c>
      <c r="W2673">
        <v>139.32</v>
      </c>
      <c r="X2673">
        <v>417.96</v>
      </c>
      <c r="Z2673" t="str">
        <f>"Y"</f>
        <v>Y</v>
      </c>
      <c r="AA2673">
        <v>0</v>
      </c>
      <c r="AC2673">
        <v>0</v>
      </c>
      <c r="AE2673">
        <v>0</v>
      </c>
      <c r="AF2673">
        <v>0</v>
      </c>
      <c r="AG2673">
        <v>515.48</v>
      </c>
      <c r="AH2673">
        <v>0</v>
      </c>
      <c r="AI2673" s="2">
        <v>1546.45</v>
      </c>
      <c r="AJ2673">
        <v>417.96</v>
      </c>
      <c r="AK2673">
        <v>417.96</v>
      </c>
      <c r="AL2673" t="str">
        <f>"$"</f>
        <v>$</v>
      </c>
    </row>
    <row r="2674" spans="1:38" x14ac:dyDescent="0.3">
      <c r="A2674" t="str">
        <f>"SO23000307"</f>
        <v>SO23000307</v>
      </c>
      <c r="B2674" t="str">
        <f>"E000397683"</f>
        <v>E000397683</v>
      </c>
      <c r="C2674" t="str">
        <f>"הרכבה חלקית"</f>
        <v>הרכבה חלקית</v>
      </c>
      <c r="E2674" s="3">
        <v>45109</v>
      </c>
      <c r="F2674" s="3">
        <v>45109</v>
      </c>
      <c r="G2674" t="str">
        <f>"700065"</f>
        <v>700065</v>
      </c>
      <c r="H2674" t="str">
        <f>"אלתא מערכות בע""מ"</f>
        <v>אלתא מערכות בע"מ</v>
      </c>
      <c r="I2674" t="str">
        <f>"רחמים זרוק"</f>
        <v>רחמים זרוק</v>
      </c>
      <c r="J2674" t="str">
        <f>"OP-AR03715"</f>
        <v>OP-AR03715</v>
      </c>
      <c r="K2674" s="1" t="str">
        <f>"4080H426-001    ETHERNET CABLE WS426 - LS1 TO LS2 - 1G"</f>
        <v>4080H426-001    ETHERNET CABLE WS426 - LS1 TO LS2 - 1G</v>
      </c>
      <c r="L2674">
        <v>1</v>
      </c>
      <c r="M2674" t="str">
        <f>"PR23000433"</f>
        <v>PR23000433</v>
      </c>
      <c r="N2674" t="str">
        <f>"E000397683"</f>
        <v>E000397683</v>
      </c>
      <c r="O2674">
        <v>139.32</v>
      </c>
      <c r="P2674" t="str">
        <f>"$"</f>
        <v>$</v>
      </c>
      <c r="Q2674" t="str">
        <f>"117"</f>
        <v>117</v>
      </c>
      <c r="R2674" t="str">
        <f>"רתמות"</f>
        <v>רתמות</v>
      </c>
      <c r="S2674" t="str">
        <f>"040"</f>
        <v>040</v>
      </c>
      <c r="T2674" t="str">
        <f>"גנם הודיה"</f>
        <v>גנם הודיה</v>
      </c>
      <c r="U2674">
        <v>0</v>
      </c>
      <c r="V2674">
        <v>0</v>
      </c>
      <c r="W2674">
        <v>139.32</v>
      </c>
      <c r="X2674">
        <v>139.32</v>
      </c>
      <c r="Z2674" t="str">
        <f>"Y"</f>
        <v>Y</v>
      </c>
      <c r="AA2674">
        <v>0</v>
      </c>
      <c r="AC2674">
        <v>0</v>
      </c>
      <c r="AE2674">
        <v>0</v>
      </c>
      <c r="AF2674">
        <v>0</v>
      </c>
      <c r="AG2674">
        <v>515.48</v>
      </c>
      <c r="AH2674">
        <v>0</v>
      </c>
      <c r="AI2674">
        <v>515.48</v>
      </c>
      <c r="AJ2674">
        <v>139.32</v>
      </c>
      <c r="AK2674">
        <v>139.32</v>
      </c>
      <c r="AL2674" t="str">
        <f>"$"</f>
        <v>$</v>
      </c>
    </row>
    <row r="2675" spans="1:38" x14ac:dyDescent="0.3">
      <c r="A2675" t="str">
        <f>"SO23000307"</f>
        <v>SO23000307</v>
      </c>
      <c r="B2675" t="str">
        <f>"E000397683"</f>
        <v>E000397683</v>
      </c>
      <c r="C2675" t="str">
        <f>"הרכבה חלקית"</f>
        <v>הרכבה חלקית</v>
      </c>
      <c r="E2675" s="3">
        <v>45109</v>
      </c>
      <c r="F2675" s="3">
        <v>45109</v>
      </c>
      <c r="G2675" t="str">
        <f>"700065"</f>
        <v>700065</v>
      </c>
      <c r="H2675" t="str">
        <f>"אלתא מערכות בע""מ"</f>
        <v>אלתא מערכות בע"מ</v>
      </c>
      <c r="I2675" t="str">
        <f>"רחמים זרוק"</f>
        <v>רחמים זרוק</v>
      </c>
      <c r="J2675" t="str">
        <f>"OP-AR03715"</f>
        <v>OP-AR03715</v>
      </c>
      <c r="K2675" s="1" t="str">
        <f>"4080H426-001    ETHERNET CABLE WS426 - LS1 TO LS2 - 1G"</f>
        <v>4080H426-001    ETHERNET CABLE WS426 - LS1 TO LS2 - 1G</v>
      </c>
      <c r="L2675">
        <v>1</v>
      </c>
      <c r="M2675" t="str">
        <f>"PR23000433"</f>
        <v>PR23000433</v>
      </c>
      <c r="N2675" t="str">
        <f>"E000397683"</f>
        <v>E000397683</v>
      </c>
      <c r="O2675">
        <v>139.32</v>
      </c>
      <c r="P2675" t="str">
        <f>"$"</f>
        <v>$</v>
      </c>
      <c r="Q2675" t="str">
        <f>"117"</f>
        <v>117</v>
      </c>
      <c r="R2675" t="str">
        <f>"רתמות"</f>
        <v>רתמות</v>
      </c>
      <c r="S2675" t="str">
        <f>"040"</f>
        <v>040</v>
      </c>
      <c r="T2675" t="str">
        <f>"גנם הודיה"</f>
        <v>גנם הודיה</v>
      </c>
      <c r="U2675">
        <v>0</v>
      </c>
      <c r="V2675">
        <v>0</v>
      </c>
      <c r="W2675">
        <v>139.32</v>
      </c>
      <c r="X2675">
        <v>139.32</v>
      </c>
      <c r="Z2675" t="str">
        <f>"Y"</f>
        <v>Y</v>
      </c>
      <c r="AA2675">
        <v>0</v>
      </c>
      <c r="AC2675">
        <v>0</v>
      </c>
      <c r="AE2675">
        <v>0</v>
      </c>
      <c r="AF2675">
        <v>0</v>
      </c>
      <c r="AG2675">
        <v>515.48</v>
      </c>
      <c r="AH2675">
        <v>0</v>
      </c>
      <c r="AI2675">
        <v>515.48</v>
      </c>
      <c r="AJ2675">
        <v>139.32</v>
      </c>
      <c r="AK2675">
        <v>139.32</v>
      </c>
      <c r="AL2675" t="str">
        <f>"$"</f>
        <v>$</v>
      </c>
    </row>
    <row r="2676" spans="1:38" x14ac:dyDescent="0.3">
      <c r="A2676" t="str">
        <f>"SO23000307"</f>
        <v>SO23000307</v>
      </c>
      <c r="B2676" t="str">
        <f>"E000397683"</f>
        <v>E000397683</v>
      </c>
      <c r="C2676" t="str">
        <f>"הרכבה חלקית"</f>
        <v>הרכבה חלקית</v>
      </c>
      <c r="E2676" s="3">
        <v>45109</v>
      </c>
      <c r="F2676" s="3">
        <v>45109</v>
      </c>
      <c r="G2676" t="str">
        <f>"700065"</f>
        <v>700065</v>
      </c>
      <c r="H2676" t="str">
        <f>"אלתא מערכות בע""מ"</f>
        <v>אלתא מערכות בע"מ</v>
      </c>
      <c r="I2676" t="str">
        <f>"רחמים זרוק"</f>
        <v>רחמים זרוק</v>
      </c>
      <c r="J2676" t="str">
        <f>"OP-AR03716"</f>
        <v>OP-AR03716</v>
      </c>
      <c r="K2676" s="1" t="str">
        <f>"4080H414-001     HARNESS WS414 - PDU TO ATRU AND IPZ - PO"</f>
        <v>4080H414-001     HARNESS WS414 - PDU TO ATRU AND IPZ - PO</v>
      </c>
      <c r="L2676">
        <v>3</v>
      </c>
      <c r="M2676" t="str">
        <f>"PR23000433"</f>
        <v>PR23000433</v>
      </c>
      <c r="N2676" t="str">
        <f>"E000397683"</f>
        <v>E000397683</v>
      </c>
      <c r="O2676" s="2">
        <v>1287.06</v>
      </c>
      <c r="P2676" t="str">
        <f>"$"</f>
        <v>$</v>
      </c>
      <c r="Q2676" t="str">
        <f>"117"</f>
        <v>117</v>
      </c>
      <c r="R2676" t="str">
        <f>"רתמות"</f>
        <v>רתמות</v>
      </c>
      <c r="S2676" t="str">
        <f>"040"</f>
        <v>040</v>
      </c>
      <c r="T2676" t="str">
        <f>"גנם הודיה"</f>
        <v>גנם הודיה</v>
      </c>
      <c r="U2676">
        <v>0</v>
      </c>
      <c r="V2676">
        <v>0</v>
      </c>
      <c r="W2676" s="2">
        <v>1287.06</v>
      </c>
      <c r="X2676" s="2">
        <v>3861.18</v>
      </c>
      <c r="AA2676">
        <v>3</v>
      </c>
      <c r="AC2676">
        <v>0</v>
      </c>
      <c r="AE2676">
        <v>0</v>
      </c>
      <c r="AF2676">
        <v>0</v>
      </c>
      <c r="AG2676" s="2">
        <v>4762.12</v>
      </c>
      <c r="AH2676">
        <v>0</v>
      </c>
      <c r="AI2676" s="2">
        <v>14286.37</v>
      </c>
      <c r="AJ2676" s="2">
        <v>3861.18</v>
      </c>
      <c r="AK2676" s="2">
        <v>3861.18</v>
      </c>
      <c r="AL2676" t="str">
        <f>"$"</f>
        <v>$</v>
      </c>
    </row>
    <row r="2677" spans="1:38" x14ac:dyDescent="0.3">
      <c r="A2677" t="str">
        <f>"SO23000307"</f>
        <v>SO23000307</v>
      </c>
      <c r="B2677" t="str">
        <f>"E000397683"</f>
        <v>E000397683</v>
      </c>
      <c r="C2677" t="str">
        <f>"הרכבה חלקית"</f>
        <v>הרכבה חלקית</v>
      </c>
      <c r="E2677" s="3">
        <v>45109</v>
      </c>
      <c r="F2677" s="3">
        <v>45109</v>
      </c>
      <c r="G2677" t="str">
        <f>"700065"</f>
        <v>700065</v>
      </c>
      <c r="H2677" t="str">
        <f>"אלתא מערכות בע""מ"</f>
        <v>אלתא מערכות בע"מ</v>
      </c>
      <c r="I2677" t="str">
        <f>"רחמים זרוק"</f>
        <v>רחמים זרוק</v>
      </c>
      <c r="J2677" t="str">
        <f>"OP-AR03716"</f>
        <v>OP-AR03716</v>
      </c>
      <c r="K2677" s="1" t="str">
        <f>"4080H414-001     HARNESS WS414 - PDU TO ATRU AND IPZ - PO"</f>
        <v>4080H414-001     HARNESS WS414 - PDU TO ATRU AND IPZ - PO</v>
      </c>
      <c r="L2677">
        <v>1</v>
      </c>
      <c r="M2677" t="str">
        <f>"PR23000433"</f>
        <v>PR23000433</v>
      </c>
      <c r="N2677" t="str">
        <f>"E000397683"</f>
        <v>E000397683</v>
      </c>
      <c r="O2677" s="2">
        <v>1287.06</v>
      </c>
      <c r="P2677" t="str">
        <f>"$"</f>
        <v>$</v>
      </c>
      <c r="Q2677" t="str">
        <f>"117"</f>
        <v>117</v>
      </c>
      <c r="R2677" t="str">
        <f>"רתמות"</f>
        <v>רתמות</v>
      </c>
      <c r="S2677" t="str">
        <f>"040"</f>
        <v>040</v>
      </c>
      <c r="T2677" t="str">
        <f>"גנם הודיה"</f>
        <v>גנם הודיה</v>
      </c>
      <c r="U2677">
        <v>0</v>
      </c>
      <c r="V2677">
        <v>0</v>
      </c>
      <c r="W2677" s="2">
        <v>1287.06</v>
      </c>
      <c r="X2677" s="2">
        <v>1287.06</v>
      </c>
      <c r="Z2677" t="str">
        <f>"Y"</f>
        <v>Y</v>
      </c>
      <c r="AA2677">
        <v>0</v>
      </c>
      <c r="AC2677">
        <v>0</v>
      </c>
      <c r="AE2677">
        <v>0</v>
      </c>
      <c r="AF2677">
        <v>0</v>
      </c>
      <c r="AG2677" s="2">
        <v>4762.12</v>
      </c>
      <c r="AH2677">
        <v>0</v>
      </c>
      <c r="AI2677" s="2">
        <v>4762.12</v>
      </c>
      <c r="AJ2677" s="2">
        <v>1287.06</v>
      </c>
      <c r="AK2677" s="2">
        <v>1287.06</v>
      </c>
      <c r="AL2677" t="str">
        <f>"$"</f>
        <v>$</v>
      </c>
    </row>
    <row r="2678" spans="1:38" x14ac:dyDescent="0.3">
      <c r="A2678" t="str">
        <f>"SO23000307"</f>
        <v>SO23000307</v>
      </c>
      <c r="B2678" t="str">
        <f>"E000397683"</f>
        <v>E000397683</v>
      </c>
      <c r="C2678" t="str">
        <f>"הרכבה חלקית"</f>
        <v>הרכבה חלקית</v>
      </c>
      <c r="E2678" s="3">
        <v>45109</v>
      </c>
      <c r="F2678" s="3">
        <v>45109</v>
      </c>
      <c r="G2678" t="str">
        <f>"700065"</f>
        <v>700065</v>
      </c>
      <c r="H2678" t="str">
        <f>"אלתא מערכות בע""מ"</f>
        <v>אלתא מערכות בע"מ</v>
      </c>
      <c r="I2678" t="str">
        <f>"רחמים זרוק"</f>
        <v>רחמים זרוק</v>
      </c>
      <c r="J2678" t="str">
        <f>"OP-AR03716"</f>
        <v>OP-AR03716</v>
      </c>
      <c r="K2678" s="1" t="str">
        <f>"4080H414-001     HARNESS WS414 - PDU TO ATRU AND IPZ - PO"</f>
        <v>4080H414-001     HARNESS WS414 - PDU TO ATRU AND IPZ - PO</v>
      </c>
      <c r="L2678">
        <v>1</v>
      </c>
      <c r="M2678" t="str">
        <f>"PR23000433"</f>
        <v>PR23000433</v>
      </c>
      <c r="N2678" t="str">
        <f>"E000397683"</f>
        <v>E000397683</v>
      </c>
      <c r="O2678" s="2">
        <v>1287.06</v>
      </c>
      <c r="P2678" t="str">
        <f>"$"</f>
        <v>$</v>
      </c>
      <c r="Q2678" t="str">
        <f>"117"</f>
        <v>117</v>
      </c>
      <c r="R2678" t="str">
        <f>"רתמות"</f>
        <v>רתמות</v>
      </c>
      <c r="S2678" t="str">
        <f>"040"</f>
        <v>040</v>
      </c>
      <c r="T2678" t="str">
        <f>"גנם הודיה"</f>
        <v>גנם הודיה</v>
      </c>
      <c r="U2678">
        <v>0</v>
      </c>
      <c r="V2678">
        <v>0</v>
      </c>
      <c r="W2678" s="2">
        <v>1287.06</v>
      </c>
      <c r="X2678" s="2">
        <v>1287.06</v>
      </c>
      <c r="Z2678" t="str">
        <f>"Y"</f>
        <v>Y</v>
      </c>
      <c r="AA2678">
        <v>0</v>
      </c>
      <c r="AC2678">
        <v>0</v>
      </c>
      <c r="AE2678">
        <v>0</v>
      </c>
      <c r="AF2678">
        <v>0</v>
      </c>
      <c r="AG2678" s="2">
        <v>4762.12</v>
      </c>
      <c r="AH2678">
        <v>0</v>
      </c>
      <c r="AI2678" s="2">
        <v>4762.12</v>
      </c>
      <c r="AJ2678" s="2">
        <v>1287.06</v>
      </c>
      <c r="AK2678" s="2">
        <v>1287.06</v>
      </c>
      <c r="AL2678" t="str">
        <f>"$"</f>
        <v>$</v>
      </c>
    </row>
    <row r="2679" spans="1:38" x14ac:dyDescent="0.3">
      <c r="A2679" t="str">
        <f>"SO23000307"</f>
        <v>SO23000307</v>
      </c>
      <c r="B2679" t="str">
        <f>"E000397683"</f>
        <v>E000397683</v>
      </c>
      <c r="C2679" t="str">
        <f>"הרכבה חלקית"</f>
        <v>הרכבה חלקית</v>
      </c>
      <c r="E2679" s="3">
        <v>45109</v>
      </c>
      <c r="F2679" s="3">
        <v>45109</v>
      </c>
      <c r="G2679" t="str">
        <f>"700065"</f>
        <v>700065</v>
      </c>
      <c r="H2679" t="str">
        <f>"אלתא מערכות בע""מ"</f>
        <v>אלתא מערכות בע"מ</v>
      </c>
      <c r="I2679" t="str">
        <f>"רחמים זרוק"</f>
        <v>רחמים זרוק</v>
      </c>
      <c r="J2679" t="str">
        <f>"OP-AR03717"</f>
        <v>OP-AR03717</v>
      </c>
      <c r="K2679" s="1" t="str">
        <f>"4080H419-001     HARNESS WS419 - PDU TO TU/PU AND RFDU -"</f>
        <v>4080H419-001     HARNESS WS419 - PDU TO TU/PU AND RFDU -</v>
      </c>
      <c r="L2679">
        <v>3</v>
      </c>
      <c r="M2679" t="str">
        <f>"PR23000433"</f>
        <v>PR23000433</v>
      </c>
      <c r="N2679" t="str">
        <f>"E000397683"</f>
        <v>E000397683</v>
      </c>
      <c r="O2679" s="2">
        <v>1097.53</v>
      </c>
      <c r="P2679" t="str">
        <f>"$"</f>
        <v>$</v>
      </c>
      <c r="Q2679" t="str">
        <f>"117"</f>
        <v>117</v>
      </c>
      <c r="R2679" t="str">
        <f>"רתמות"</f>
        <v>רתמות</v>
      </c>
      <c r="S2679" t="str">
        <f>"040"</f>
        <v>040</v>
      </c>
      <c r="T2679" t="str">
        <f>"גנם הודיה"</f>
        <v>גנם הודיה</v>
      </c>
      <c r="U2679">
        <v>0</v>
      </c>
      <c r="V2679">
        <v>0</v>
      </c>
      <c r="W2679" s="2">
        <v>1097.53</v>
      </c>
      <c r="X2679" s="2">
        <v>3292.59</v>
      </c>
      <c r="AA2679">
        <v>3</v>
      </c>
      <c r="AC2679">
        <v>0</v>
      </c>
      <c r="AE2679">
        <v>0</v>
      </c>
      <c r="AF2679">
        <v>0</v>
      </c>
      <c r="AG2679" s="2">
        <v>4060.86</v>
      </c>
      <c r="AH2679">
        <v>0</v>
      </c>
      <c r="AI2679" s="2">
        <v>12182.58</v>
      </c>
      <c r="AJ2679" s="2">
        <v>3292.59</v>
      </c>
      <c r="AK2679" s="2">
        <v>3292.59</v>
      </c>
      <c r="AL2679" t="str">
        <f>"$"</f>
        <v>$</v>
      </c>
    </row>
    <row r="2680" spans="1:38" x14ac:dyDescent="0.3">
      <c r="A2680" t="str">
        <f>"SO23000307"</f>
        <v>SO23000307</v>
      </c>
      <c r="B2680" t="str">
        <f>"E000397683"</f>
        <v>E000397683</v>
      </c>
      <c r="C2680" t="str">
        <f>"הרכבה חלקית"</f>
        <v>הרכבה חלקית</v>
      </c>
      <c r="E2680" s="3">
        <v>45109</v>
      </c>
      <c r="F2680" s="3">
        <v>45109</v>
      </c>
      <c r="G2680" t="str">
        <f>"700065"</f>
        <v>700065</v>
      </c>
      <c r="H2680" t="str">
        <f>"אלתא מערכות בע""מ"</f>
        <v>אלתא מערכות בע"מ</v>
      </c>
      <c r="I2680" t="str">
        <f>"רחמים זרוק"</f>
        <v>רחמים זרוק</v>
      </c>
      <c r="J2680" t="str">
        <f>"OP-AR03717"</f>
        <v>OP-AR03717</v>
      </c>
      <c r="K2680" s="1" t="str">
        <f>"4080H419-001     HARNESS WS419 - PDU TO TU/PU AND RFDU -"</f>
        <v>4080H419-001     HARNESS WS419 - PDU TO TU/PU AND RFDU -</v>
      </c>
      <c r="L2680">
        <v>1</v>
      </c>
      <c r="M2680" t="str">
        <f>"PR23000433"</f>
        <v>PR23000433</v>
      </c>
      <c r="N2680" t="str">
        <f>"E000397683"</f>
        <v>E000397683</v>
      </c>
      <c r="O2680" s="2">
        <v>1097.53</v>
      </c>
      <c r="P2680" t="str">
        <f>"$"</f>
        <v>$</v>
      </c>
      <c r="Q2680" t="str">
        <f>"117"</f>
        <v>117</v>
      </c>
      <c r="R2680" t="str">
        <f>"רתמות"</f>
        <v>רתמות</v>
      </c>
      <c r="S2680" t="str">
        <f>"040"</f>
        <v>040</v>
      </c>
      <c r="T2680" t="str">
        <f>"גנם הודיה"</f>
        <v>גנם הודיה</v>
      </c>
      <c r="U2680">
        <v>0</v>
      </c>
      <c r="V2680">
        <v>0</v>
      </c>
      <c r="W2680" s="2">
        <v>1097.53</v>
      </c>
      <c r="X2680" s="2">
        <v>1097.53</v>
      </c>
      <c r="Z2680" t="str">
        <f>"Y"</f>
        <v>Y</v>
      </c>
      <c r="AA2680">
        <v>0</v>
      </c>
      <c r="AC2680">
        <v>0</v>
      </c>
      <c r="AE2680">
        <v>0</v>
      </c>
      <c r="AF2680">
        <v>0</v>
      </c>
      <c r="AG2680" s="2">
        <v>4060.86</v>
      </c>
      <c r="AH2680">
        <v>0</v>
      </c>
      <c r="AI2680" s="2">
        <v>4060.86</v>
      </c>
      <c r="AJ2680" s="2">
        <v>1097.53</v>
      </c>
      <c r="AK2680" s="2">
        <v>1097.53</v>
      </c>
      <c r="AL2680" t="str">
        <f>"$"</f>
        <v>$</v>
      </c>
    </row>
    <row r="2681" spans="1:38" x14ac:dyDescent="0.3">
      <c r="A2681" t="str">
        <f>"SO23000307"</f>
        <v>SO23000307</v>
      </c>
      <c r="B2681" t="str">
        <f>"E000397683"</f>
        <v>E000397683</v>
      </c>
      <c r="C2681" t="str">
        <f>"הרכבה חלקית"</f>
        <v>הרכבה חלקית</v>
      </c>
      <c r="E2681" s="3">
        <v>45109</v>
      </c>
      <c r="F2681" s="3">
        <v>45109</v>
      </c>
      <c r="G2681" t="str">
        <f>"700065"</f>
        <v>700065</v>
      </c>
      <c r="H2681" t="str">
        <f>"אלתא מערכות בע""מ"</f>
        <v>אלתא מערכות בע"מ</v>
      </c>
      <c r="I2681" t="str">
        <f>"רחמים זרוק"</f>
        <v>רחמים זרוק</v>
      </c>
      <c r="J2681" t="str">
        <f>"OP-AR03717"</f>
        <v>OP-AR03717</v>
      </c>
      <c r="K2681" s="1" t="str">
        <f>"4080H419-001     HARNESS WS419 - PDU TO TU/PU AND RFDU -"</f>
        <v>4080H419-001     HARNESS WS419 - PDU TO TU/PU AND RFDU -</v>
      </c>
      <c r="L2681">
        <v>1</v>
      </c>
      <c r="M2681" t="str">
        <f>"PR23000433"</f>
        <v>PR23000433</v>
      </c>
      <c r="N2681" t="str">
        <f>"E000397683"</f>
        <v>E000397683</v>
      </c>
      <c r="O2681" s="2">
        <v>1097.53</v>
      </c>
      <c r="P2681" t="str">
        <f>"$"</f>
        <v>$</v>
      </c>
      <c r="Q2681" t="str">
        <f>"117"</f>
        <v>117</v>
      </c>
      <c r="R2681" t="str">
        <f>"רתמות"</f>
        <v>רתמות</v>
      </c>
      <c r="S2681" t="str">
        <f>"040"</f>
        <v>040</v>
      </c>
      <c r="T2681" t="str">
        <f>"גנם הודיה"</f>
        <v>גנם הודיה</v>
      </c>
      <c r="U2681">
        <v>0</v>
      </c>
      <c r="V2681">
        <v>0</v>
      </c>
      <c r="W2681" s="2">
        <v>1097.53</v>
      </c>
      <c r="X2681" s="2">
        <v>1097.53</v>
      </c>
      <c r="Z2681" t="str">
        <f>"Y"</f>
        <v>Y</v>
      </c>
      <c r="AA2681">
        <v>0</v>
      </c>
      <c r="AC2681">
        <v>0</v>
      </c>
      <c r="AE2681">
        <v>0</v>
      </c>
      <c r="AF2681">
        <v>0</v>
      </c>
      <c r="AG2681" s="2">
        <v>4060.86</v>
      </c>
      <c r="AH2681">
        <v>0</v>
      </c>
      <c r="AI2681" s="2">
        <v>4060.86</v>
      </c>
      <c r="AJ2681" s="2">
        <v>1097.53</v>
      </c>
      <c r="AK2681" s="2">
        <v>1097.53</v>
      </c>
      <c r="AL2681" t="str">
        <f>"$"</f>
        <v>$</v>
      </c>
    </row>
    <row r="2682" spans="1:38" x14ac:dyDescent="0.3">
      <c r="A2682" t="str">
        <f>"SO23000307"</f>
        <v>SO23000307</v>
      </c>
      <c r="B2682" t="str">
        <f>"E000397683"</f>
        <v>E000397683</v>
      </c>
      <c r="C2682" t="str">
        <f>"הרכבה חלקית"</f>
        <v>הרכבה חלקית</v>
      </c>
      <c r="E2682" s="3">
        <v>45109</v>
      </c>
      <c r="F2682" s="3">
        <v>45109</v>
      </c>
      <c r="G2682" t="str">
        <f>"700065"</f>
        <v>700065</v>
      </c>
      <c r="H2682" t="str">
        <f>"אלתא מערכות בע""מ"</f>
        <v>אלתא מערכות בע"מ</v>
      </c>
      <c r="I2682" t="str">
        <f>"רחמים זרוק"</f>
        <v>רחמים זרוק</v>
      </c>
      <c r="J2682" t="str">
        <f>"OP-AR03718"</f>
        <v>OP-AR03718</v>
      </c>
      <c r="K2682" s="1" t="str">
        <f>"4080H429-001     HARNESS W429 - CONTROL SYSTEM"</f>
        <v>4080H429-001     HARNESS W429 - CONTROL SYSTEM</v>
      </c>
      <c r="L2682">
        <v>1</v>
      </c>
      <c r="M2682" t="str">
        <f>"PR23000433"</f>
        <v>PR23000433</v>
      </c>
      <c r="N2682" t="str">
        <f>"E000397683"</f>
        <v>E000397683</v>
      </c>
      <c r="O2682" s="2">
        <v>10896.27</v>
      </c>
      <c r="P2682" t="str">
        <f>"$"</f>
        <v>$</v>
      </c>
      <c r="Q2682" t="str">
        <f>"117"</f>
        <v>117</v>
      </c>
      <c r="R2682" t="str">
        <f>"רתמות"</f>
        <v>רתמות</v>
      </c>
      <c r="S2682" t="str">
        <f>"040"</f>
        <v>040</v>
      </c>
      <c r="T2682" t="str">
        <f>"גנם הודיה"</f>
        <v>גנם הודיה</v>
      </c>
      <c r="U2682">
        <v>0</v>
      </c>
      <c r="V2682">
        <v>0</v>
      </c>
      <c r="W2682" s="2">
        <v>10896.27</v>
      </c>
      <c r="X2682" s="2">
        <v>10896.27</v>
      </c>
      <c r="AA2682">
        <v>1</v>
      </c>
      <c r="AC2682">
        <v>0</v>
      </c>
      <c r="AE2682">
        <v>0</v>
      </c>
      <c r="AF2682">
        <v>0</v>
      </c>
      <c r="AG2682" s="2">
        <v>40316.199999999997</v>
      </c>
      <c r="AH2682">
        <v>0</v>
      </c>
      <c r="AI2682" s="2">
        <v>40316.199999999997</v>
      </c>
      <c r="AJ2682" s="2">
        <v>10896.27</v>
      </c>
      <c r="AK2682" s="2">
        <v>10896.27</v>
      </c>
      <c r="AL2682" t="str">
        <f>"$"</f>
        <v>$</v>
      </c>
    </row>
    <row r="2683" spans="1:38" x14ac:dyDescent="0.3">
      <c r="A2683" t="str">
        <f>"SO23000307"</f>
        <v>SO23000307</v>
      </c>
      <c r="B2683" t="str">
        <f>"E000397683"</f>
        <v>E000397683</v>
      </c>
      <c r="C2683" t="str">
        <f>"הרכבה חלקית"</f>
        <v>הרכבה חלקית</v>
      </c>
      <c r="E2683" s="3">
        <v>45109</v>
      </c>
      <c r="F2683" s="3">
        <v>45109</v>
      </c>
      <c r="G2683" t="str">
        <f>"700065"</f>
        <v>700065</v>
      </c>
      <c r="H2683" t="str">
        <f>"אלתא מערכות בע""מ"</f>
        <v>אלתא מערכות בע"מ</v>
      </c>
      <c r="I2683" t="str">
        <f>"רחמים זרוק"</f>
        <v>רחמים זרוק</v>
      </c>
      <c r="J2683" t="str">
        <f>"OP-AR03718"</f>
        <v>OP-AR03718</v>
      </c>
      <c r="K2683" s="1" t="str">
        <f>"4080H429-001     HARNESS W429 - CONTROL SYSTEM"</f>
        <v>4080H429-001     HARNESS W429 - CONTROL SYSTEM</v>
      </c>
      <c r="L2683">
        <v>1</v>
      </c>
      <c r="M2683" t="str">
        <f>"PR23000433"</f>
        <v>PR23000433</v>
      </c>
      <c r="N2683" t="str">
        <f>"E000397683"</f>
        <v>E000397683</v>
      </c>
      <c r="O2683" s="2">
        <v>10896.27</v>
      </c>
      <c r="P2683" t="str">
        <f>"$"</f>
        <v>$</v>
      </c>
      <c r="Q2683" t="str">
        <f>"117"</f>
        <v>117</v>
      </c>
      <c r="R2683" t="str">
        <f>"רתמות"</f>
        <v>רתמות</v>
      </c>
      <c r="S2683" t="str">
        <f>"040"</f>
        <v>040</v>
      </c>
      <c r="T2683" t="str">
        <f>"גנם הודיה"</f>
        <v>גנם הודיה</v>
      </c>
      <c r="U2683">
        <v>0</v>
      </c>
      <c r="V2683">
        <v>0</v>
      </c>
      <c r="W2683" s="2">
        <v>10896.27</v>
      </c>
      <c r="X2683" s="2">
        <v>10896.27</v>
      </c>
      <c r="AA2683">
        <v>1</v>
      </c>
      <c r="AC2683">
        <v>0</v>
      </c>
      <c r="AE2683">
        <v>0</v>
      </c>
      <c r="AF2683">
        <v>0</v>
      </c>
      <c r="AG2683" s="2">
        <v>40316.199999999997</v>
      </c>
      <c r="AH2683">
        <v>0</v>
      </c>
      <c r="AI2683" s="2">
        <v>40316.199999999997</v>
      </c>
      <c r="AJ2683" s="2">
        <v>10896.27</v>
      </c>
      <c r="AK2683" s="2">
        <v>10896.27</v>
      </c>
      <c r="AL2683" t="str">
        <f>"$"</f>
        <v>$</v>
      </c>
    </row>
    <row r="2684" spans="1:38" x14ac:dyDescent="0.3">
      <c r="A2684" t="str">
        <f>"SO23000307"</f>
        <v>SO23000307</v>
      </c>
      <c r="B2684" t="str">
        <f>"E000397683"</f>
        <v>E000397683</v>
      </c>
      <c r="C2684" t="str">
        <f>"הרכבה חלקית"</f>
        <v>הרכבה חלקית</v>
      </c>
      <c r="E2684" s="3">
        <v>45109</v>
      </c>
      <c r="F2684" s="3">
        <v>45109</v>
      </c>
      <c r="G2684" t="str">
        <f>"700065"</f>
        <v>700065</v>
      </c>
      <c r="H2684" t="str">
        <f>"אלתא מערכות בע""מ"</f>
        <v>אלתא מערכות בע"מ</v>
      </c>
      <c r="I2684" t="str">
        <f>"רחמים זרוק"</f>
        <v>רחמים זרוק</v>
      </c>
      <c r="J2684" t="str">
        <f>"OP-AR03718"</f>
        <v>OP-AR03718</v>
      </c>
      <c r="K2684" s="1" t="str">
        <f>"4080H429-001     HARNESS W429 - CONTROL SYSTEM"</f>
        <v>4080H429-001     HARNESS W429 - CONTROL SYSTEM</v>
      </c>
      <c r="L2684">
        <v>3</v>
      </c>
      <c r="M2684" t="str">
        <f>"PR23000433"</f>
        <v>PR23000433</v>
      </c>
      <c r="N2684" t="str">
        <f>"E000397683"</f>
        <v>E000397683</v>
      </c>
      <c r="O2684" s="2">
        <v>10896.27</v>
      </c>
      <c r="P2684" t="str">
        <f>"$"</f>
        <v>$</v>
      </c>
      <c r="Q2684" t="str">
        <f>"117"</f>
        <v>117</v>
      </c>
      <c r="R2684" t="str">
        <f>"רתמות"</f>
        <v>רתמות</v>
      </c>
      <c r="S2684" t="str">
        <f>"040"</f>
        <v>040</v>
      </c>
      <c r="T2684" t="str">
        <f>"גנם הודיה"</f>
        <v>גנם הודיה</v>
      </c>
      <c r="U2684">
        <v>0</v>
      </c>
      <c r="V2684">
        <v>0</v>
      </c>
      <c r="W2684" s="2">
        <v>10896.27</v>
      </c>
      <c r="X2684" s="2">
        <v>32688.81</v>
      </c>
      <c r="AA2684">
        <v>3</v>
      </c>
      <c r="AC2684">
        <v>0</v>
      </c>
      <c r="AE2684">
        <v>0</v>
      </c>
      <c r="AF2684">
        <v>0</v>
      </c>
      <c r="AG2684" s="2">
        <v>40316.199999999997</v>
      </c>
      <c r="AH2684">
        <v>0</v>
      </c>
      <c r="AI2684" s="2">
        <v>120948.6</v>
      </c>
      <c r="AJ2684" s="2">
        <v>32688.81</v>
      </c>
      <c r="AK2684" s="2">
        <v>32688.81</v>
      </c>
      <c r="AL2684" t="str">
        <f>"$"</f>
        <v>$</v>
      </c>
    </row>
    <row r="2685" spans="1:38" x14ac:dyDescent="0.3">
      <c r="A2685" t="str">
        <f>"SO23000309"</f>
        <v>SO23000309</v>
      </c>
      <c r="B2685" t="str">
        <f>"E000398351"</f>
        <v>E000398351</v>
      </c>
      <c r="C2685" t="str">
        <f>"מאושרת לבצוע"</f>
        <v>מאושרת לבצוע</v>
      </c>
      <c r="E2685" s="3">
        <v>45111</v>
      </c>
      <c r="F2685" s="3">
        <v>45111</v>
      </c>
      <c r="G2685" t="str">
        <f>"700065"</f>
        <v>700065</v>
      </c>
      <c r="H2685" t="str">
        <f>"אלתא מערכות בע""מ"</f>
        <v>אלתא מערכות בע"מ</v>
      </c>
      <c r="I2685" t="str">
        <f>"רוני דידי"</f>
        <v>רוני דידי</v>
      </c>
      <c r="J2685" t="str">
        <f>"PS9900058"</f>
        <v>PS9900058</v>
      </c>
      <c r="K2685" s="1" t="str">
        <f>"Catena"</f>
        <v>Catena</v>
      </c>
      <c r="L2685">
        <v>13</v>
      </c>
      <c r="M2685" t="str">
        <f>"PR23000427"</f>
        <v>PR23000427</v>
      </c>
      <c r="N2685" t="str">
        <f>"PS9900058"</f>
        <v>PS9900058</v>
      </c>
      <c r="O2685" s="2">
        <v>1050</v>
      </c>
      <c r="P2685" t="str">
        <f>"$"</f>
        <v>$</v>
      </c>
      <c r="Q2685" t="str">
        <f>"118"</f>
        <v>118</v>
      </c>
      <c r="R2685" t="str">
        <f>"מערכות"</f>
        <v>מערכות</v>
      </c>
      <c r="S2685" t="str">
        <f>"007"</f>
        <v>007</v>
      </c>
      <c r="T2685" t="str">
        <f>"גנם הודיה"</f>
        <v>גנם הודיה</v>
      </c>
      <c r="U2685">
        <v>0</v>
      </c>
      <c r="V2685">
        <v>0</v>
      </c>
      <c r="W2685" s="2">
        <v>1050</v>
      </c>
      <c r="X2685" s="2">
        <v>13650</v>
      </c>
      <c r="AA2685">
        <v>8</v>
      </c>
      <c r="AC2685">
        <v>0</v>
      </c>
      <c r="AE2685">
        <v>0</v>
      </c>
      <c r="AF2685">
        <v>0</v>
      </c>
      <c r="AG2685" s="2">
        <v>3891.3</v>
      </c>
      <c r="AH2685">
        <v>0</v>
      </c>
      <c r="AI2685" s="2">
        <v>50586.9</v>
      </c>
      <c r="AJ2685" s="2">
        <v>13650</v>
      </c>
      <c r="AK2685" s="2">
        <v>13650</v>
      </c>
      <c r="AL2685" t="str">
        <f>"$"</f>
        <v>$</v>
      </c>
    </row>
    <row r="2686" spans="1:38" x14ac:dyDescent="0.3">
      <c r="A2686" t="str">
        <f>"SO23000313"</f>
        <v>SO23000313</v>
      </c>
      <c r="B2686" t="str">
        <f>"E000398544"</f>
        <v>E000398544</v>
      </c>
      <c r="C2686" t="str">
        <f>"מאושרת לחיוב"</f>
        <v>מאושרת לחיוב</v>
      </c>
      <c r="E2686" s="3">
        <v>45112</v>
      </c>
      <c r="F2686" s="3">
        <v>45112</v>
      </c>
      <c r="G2686" t="str">
        <f>"700065"</f>
        <v>700065</v>
      </c>
      <c r="H2686" t="str">
        <f>"אלתא מערכות בע""מ"</f>
        <v>אלתא מערכות בע"מ</v>
      </c>
      <c r="I2686" t="str">
        <f>"רוני דידי"</f>
        <v>רוני דידי</v>
      </c>
      <c r="J2686" t="str">
        <f>"OP-AR00467"</f>
        <v>OP-AR00467</v>
      </c>
      <c r="K2686" s="1" t="str">
        <f>"AC PCU CONTROL BOX"</f>
        <v>AC PCU CONTROL BOX</v>
      </c>
      <c r="L2686">
        <v>1</v>
      </c>
      <c r="M2686" t="str">
        <f>"PR23000441"</f>
        <v>PR23000441</v>
      </c>
      <c r="N2686" t="str">
        <f>"AC PCU CONTROL BOX"</f>
        <v>AC PCU CONTROL BOX</v>
      </c>
      <c r="O2686" s="2">
        <v>4250</v>
      </c>
      <c r="P2686" t="str">
        <f>"$"</f>
        <v>$</v>
      </c>
      <c r="Q2686" t="str">
        <f>"118"</f>
        <v>118</v>
      </c>
      <c r="R2686" t="str">
        <f>"מערכות"</f>
        <v>מערכות</v>
      </c>
      <c r="S2686" t="str">
        <f>"007"</f>
        <v>007</v>
      </c>
      <c r="T2686" t="str">
        <f>"גנם הודיה"</f>
        <v>גנם הודיה</v>
      </c>
      <c r="U2686">
        <v>0</v>
      </c>
      <c r="V2686">
        <v>0</v>
      </c>
      <c r="W2686" s="2">
        <v>4250</v>
      </c>
      <c r="X2686" s="2">
        <v>4250</v>
      </c>
      <c r="AA2686">
        <v>1</v>
      </c>
      <c r="AC2686">
        <v>0</v>
      </c>
      <c r="AE2686">
        <v>0</v>
      </c>
      <c r="AF2686">
        <v>0</v>
      </c>
      <c r="AG2686" s="2">
        <v>15716.5</v>
      </c>
      <c r="AH2686">
        <v>0</v>
      </c>
      <c r="AI2686" s="2">
        <v>15716.5</v>
      </c>
      <c r="AJ2686" s="2">
        <v>4250</v>
      </c>
      <c r="AK2686" s="2">
        <v>4250</v>
      </c>
      <c r="AL2686" t="str">
        <f>"$"</f>
        <v>$</v>
      </c>
    </row>
    <row r="2687" spans="1:38" x14ac:dyDescent="0.3">
      <c r="A2687" t="str">
        <f>"SO23000319"</f>
        <v>SO23000319</v>
      </c>
      <c r="B2687" t="str">
        <f>"E000394715"</f>
        <v>E000394715</v>
      </c>
      <c r="C2687" t="str">
        <f>"מאושרת לבצוע"</f>
        <v>מאושרת לבצוע</v>
      </c>
      <c r="E2687" s="3">
        <v>45116</v>
      </c>
      <c r="F2687" s="3">
        <v>45179</v>
      </c>
      <c r="G2687" t="str">
        <f>"700065"</f>
        <v>700065</v>
      </c>
      <c r="H2687" t="str">
        <f>"אלתא מערכות בע""מ"</f>
        <v>אלתא מערכות בע"מ</v>
      </c>
      <c r="I2687" t="str">
        <f>"רחמים זרוק"</f>
        <v>רחמים זרוק</v>
      </c>
      <c r="J2687" t="str">
        <f>"OP-AR03699"</f>
        <v>OP-AR03699</v>
      </c>
      <c r="K2687" s="1" t="str">
        <f>"כבילה לפרויקט E75"</f>
        <v>כבילה לפרויקט E75</v>
      </c>
      <c r="L2687">
        <v>1</v>
      </c>
      <c r="O2687" s="2">
        <v>7109.24</v>
      </c>
      <c r="P2687" t="str">
        <f>"$"</f>
        <v>$</v>
      </c>
      <c r="Q2687" t="str">
        <f>"117"</f>
        <v>117</v>
      </c>
      <c r="R2687" t="str">
        <f>"רתמות"</f>
        <v>רתמות</v>
      </c>
      <c r="S2687" t="str">
        <f>"040"</f>
        <v>040</v>
      </c>
      <c r="T2687" t="str">
        <f>"גנם הודיה"</f>
        <v>גנם הודיה</v>
      </c>
      <c r="U2687">
        <v>0</v>
      </c>
      <c r="V2687">
        <v>0</v>
      </c>
      <c r="W2687" s="2">
        <v>7109.24</v>
      </c>
      <c r="X2687" s="2">
        <v>7109.24</v>
      </c>
      <c r="AA2687">
        <v>1</v>
      </c>
      <c r="AC2687">
        <v>0</v>
      </c>
      <c r="AE2687">
        <v>0</v>
      </c>
      <c r="AF2687">
        <v>0</v>
      </c>
      <c r="AG2687" s="2">
        <v>26425.05</v>
      </c>
      <c r="AH2687">
        <v>0</v>
      </c>
      <c r="AI2687" s="2">
        <v>26425.05</v>
      </c>
      <c r="AJ2687" s="2">
        <v>7109.24</v>
      </c>
      <c r="AK2687" s="2">
        <v>7109.24</v>
      </c>
      <c r="AL2687" t="str">
        <f>"$"</f>
        <v>$</v>
      </c>
    </row>
    <row r="2688" spans="1:38" x14ac:dyDescent="0.3">
      <c r="A2688" t="str">
        <f>"SO23000321"</f>
        <v>SO23000321</v>
      </c>
      <c r="B2688" t="str">
        <f>"E000396154"</f>
        <v>E000396154</v>
      </c>
      <c r="C2688" t="str">
        <f>"בוצעה"</f>
        <v>בוצעה</v>
      </c>
      <c r="E2688" s="3">
        <v>45119</v>
      </c>
      <c r="F2688" s="3">
        <v>45119</v>
      </c>
      <c r="G2688" t="str">
        <f>"700065"</f>
        <v>700065</v>
      </c>
      <c r="H2688" t="str">
        <f>"אלתא מערכות בע""מ"</f>
        <v>אלתא מערכות בע"מ</v>
      </c>
      <c r="J2688" t="str">
        <f>"cust001717"</f>
        <v>cust001717</v>
      </c>
      <c r="K2688" s="1" t="str">
        <f>"2227B396-001 ELTA"</f>
        <v>2227B396-001 ELTA</v>
      </c>
      <c r="L2688">
        <v>2</v>
      </c>
      <c r="O2688">
        <v>0</v>
      </c>
      <c r="P2688" t="str">
        <f>"$"</f>
        <v>$</v>
      </c>
      <c r="Q2688" t="str">
        <f>"117"</f>
        <v>117</v>
      </c>
      <c r="R2688" t="str">
        <f>"רתמות"</f>
        <v>רתמות</v>
      </c>
      <c r="T2688" t="str">
        <f>"חן בזק"</f>
        <v>חן בזק</v>
      </c>
      <c r="U2688">
        <v>0</v>
      </c>
      <c r="V2688">
        <v>0</v>
      </c>
      <c r="W2688">
        <v>0</v>
      </c>
      <c r="X2688">
        <v>0</v>
      </c>
      <c r="Z2688" t="str">
        <f>"Y"</f>
        <v>Y</v>
      </c>
      <c r="AA2688">
        <v>0</v>
      </c>
      <c r="AC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 t="str">
        <f>"$"</f>
        <v>$</v>
      </c>
    </row>
    <row r="2689" spans="1:38" x14ac:dyDescent="0.3">
      <c r="A2689" t="str">
        <f>"SO23000321"</f>
        <v>SO23000321</v>
      </c>
      <c r="B2689" t="str">
        <f>"E000396154"</f>
        <v>E000396154</v>
      </c>
      <c r="C2689" t="str">
        <f>"בוצעה"</f>
        <v>בוצעה</v>
      </c>
      <c r="E2689" s="3">
        <v>45119</v>
      </c>
      <c r="F2689" s="3">
        <v>45119</v>
      </c>
      <c r="G2689" t="str">
        <f>"700065"</f>
        <v>700065</v>
      </c>
      <c r="H2689" t="str">
        <f>"אלתא מערכות בע""מ"</f>
        <v>אלתא מערכות בע"מ</v>
      </c>
      <c r="J2689" t="str">
        <f>"cust001716"</f>
        <v>cust001716</v>
      </c>
      <c r="K2689" s="1" t="str">
        <f>"2227B392-001 ELTA"</f>
        <v>2227B392-001 ELTA</v>
      </c>
      <c r="L2689">
        <v>2</v>
      </c>
      <c r="O2689">
        <v>0</v>
      </c>
      <c r="P2689" t="str">
        <f>"$"</f>
        <v>$</v>
      </c>
      <c r="Q2689" t="str">
        <f>"117"</f>
        <v>117</v>
      </c>
      <c r="R2689" t="str">
        <f>"רתמות"</f>
        <v>רתמות</v>
      </c>
      <c r="T2689" t="str">
        <f>"חן בזק"</f>
        <v>חן בזק</v>
      </c>
      <c r="U2689">
        <v>0</v>
      </c>
      <c r="V2689">
        <v>0</v>
      </c>
      <c r="W2689">
        <v>0</v>
      </c>
      <c r="X2689">
        <v>0</v>
      </c>
      <c r="Z2689" t="str">
        <f>"Y"</f>
        <v>Y</v>
      </c>
      <c r="AA2689">
        <v>0</v>
      </c>
      <c r="AC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 t="str">
        <f>"$"</f>
        <v>$</v>
      </c>
    </row>
    <row r="2690" spans="1:38" x14ac:dyDescent="0.3">
      <c r="A2690" t="str">
        <f>"SO23000324"</f>
        <v>SO23000324</v>
      </c>
      <c r="B2690" t="str">
        <f>"E000399643"</f>
        <v>E000399643</v>
      </c>
      <c r="C2690" t="str">
        <f>"מאושרת לבצוע"</f>
        <v>מאושרת לבצוע</v>
      </c>
      <c r="E2690" s="3">
        <v>45123</v>
      </c>
      <c r="F2690" s="3">
        <v>45275</v>
      </c>
      <c r="G2690" t="str">
        <f>"700065"</f>
        <v>700065</v>
      </c>
      <c r="H2690" t="str">
        <f>"אלתא מערכות בע""מ"</f>
        <v>אלתא מערכות בע"מ</v>
      </c>
      <c r="I2690" t="str">
        <f>"רחמים זרוק"</f>
        <v>רחמים זרוק</v>
      </c>
      <c r="J2690" t="str">
        <f>"OP-AR03752"</f>
        <v>OP-AR03752</v>
      </c>
      <c r="K2690" s="1" t="str">
        <f>"1044A858-001    HARNESS W858 - DC POWER AFT COMMAND TO E"</f>
        <v>1044A858-001    HARNESS W858 - DC POWER AFT COMMAND TO E</v>
      </c>
      <c r="L2690">
        <v>1</v>
      </c>
      <c r="M2690" t="str">
        <f>"PR23000493"</f>
        <v>PR23000493</v>
      </c>
      <c r="N2690" t="str">
        <f>"E000399643"</f>
        <v>E000399643</v>
      </c>
      <c r="O2690">
        <v>564.94000000000005</v>
      </c>
      <c r="P2690" t="str">
        <f>"$"</f>
        <v>$</v>
      </c>
      <c r="Q2690" t="str">
        <f>"117"</f>
        <v>117</v>
      </c>
      <c r="R2690" t="str">
        <f>"רתמות"</f>
        <v>רתמות</v>
      </c>
      <c r="S2690" t="str">
        <f>"040"</f>
        <v>040</v>
      </c>
      <c r="T2690" t="str">
        <f>"גנם הודיה"</f>
        <v>גנם הודיה</v>
      </c>
      <c r="U2690">
        <v>0</v>
      </c>
      <c r="V2690">
        <v>0</v>
      </c>
      <c r="W2690">
        <v>564.94000000000005</v>
      </c>
      <c r="X2690">
        <v>564.94000000000005</v>
      </c>
      <c r="Z2690" t="str">
        <f>"Y"</f>
        <v>Y</v>
      </c>
      <c r="AA2690">
        <v>0</v>
      </c>
      <c r="AC2690">
        <v>0</v>
      </c>
      <c r="AE2690">
        <v>0</v>
      </c>
      <c r="AF2690">
        <v>0</v>
      </c>
      <c r="AG2690" s="2">
        <v>2038.87</v>
      </c>
      <c r="AH2690">
        <v>0</v>
      </c>
      <c r="AI2690" s="2">
        <v>2038.87</v>
      </c>
      <c r="AJ2690">
        <v>564.94000000000005</v>
      </c>
      <c r="AK2690">
        <v>564.94000000000005</v>
      </c>
      <c r="AL2690" t="str">
        <f>"$"</f>
        <v>$</v>
      </c>
    </row>
    <row r="2691" spans="1:38" x14ac:dyDescent="0.3">
      <c r="A2691" t="str">
        <f>"SO23000324"</f>
        <v>SO23000324</v>
      </c>
      <c r="B2691" t="str">
        <f>"E000399643"</f>
        <v>E000399643</v>
      </c>
      <c r="C2691" t="str">
        <f>"מאושרת לבצוע"</f>
        <v>מאושרת לבצוע</v>
      </c>
      <c r="E2691" s="3">
        <v>45123</v>
      </c>
      <c r="F2691" s="3">
        <v>45275</v>
      </c>
      <c r="G2691" t="str">
        <f>"700065"</f>
        <v>700065</v>
      </c>
      <c r="H2691" t="str">
        <f>"אלתא מערכות בע""מ"</f>
        <v>אלתא מערכות בע"מ</v>
      </c>
      <c r="I2691" t="str">
        <f>"רחמים זרוק"</f>
        <v>רחמים זרוק</v>
      </c>
      <c r="J2691" t="str">
        <f>"OP-AR03753"</f>
        <v>OP-AR03753</v>
      </c>
      <c r="K2691" s="1" t="str">
        <f>"1044A859-001    ETH SW TO CONTROL BOX DATA AFT COMD TO P"</f>
        <v>1044A859-001    ETH SW TO CONTROL BOX DATA AFT COMD TO P</v>
      </c>
      <c r="L2691">
        <v>1</v>
      </c>
      <c r="M2691" t="str">
        <f>"PR23000493"</f>
        <v>PR23000493</v>
      </c>
      <c r="N2691" t="str">
        <f>"E000399643"</f>
        <v>E000399643</v>
      </c>
      <c r="O2691" s="2">
        <v>1523.72</v>
      </c>
      <c r="P2691" t="str">
        <f>"$"</f>
        <v>$</v>
      </c>
      <c r="Q2691" t="str">
        <f>"117"</f>
        <v>117</v>
      </c>
      <c r="R2691" t="str">
        <f>"רתמות"</f>
        <v>רתמות</v>
      </c>
      <c r="S2691" t="str">
        <f>"040"</f>
        <v>040</v>
      </c>
      <c r="T2691" t="str">
        <f>"גנם הודיה"</f>
        <v>גנם הודיה</v>
      </c>
      <c r="U2691">
        <v>0</v>
      </c>
      <c r="V2691">
        <v>0</v>
      </c>
      <c r="W2691" s="2">
        <v>1523.72</v>
      </c>
      <c r="X2691" s="2">
        <v>1523.72</v>
      </c>
      <c r="Z2691" t="str">
        <f>"Y"</f>
        <v>Y</v>
      </c>
      <c r="AA2691">
        <v>0</v>
      </c>
      <c r="AC2691">
        <v>0</v>
      </c>
      <c r="AE2691">
        <v>0</v>
      </c>
      <c r="AF2691">
        <v>0</v>
      </c>
      <c r="AG2691" s="2">
        <v>5499.11</v>
      </c>
      <c r="AH2691">
        <v>0</v>
      </c>
      <c r="AI2691" s="2">
        <v>5499.11</v>
      </c>
      <c r="AJ2691" s="2">
        <v>1523.72</v>
      </c>
      <c r="AK2691" s="2">
        <v>1523.72</v>
      </c>
      <c r="AL2691" t="str">
        <f>"$"</f>
        <v>$</v>
      </c>
    </row>
    <row r="2692" spans="1:38" x14ac:dyDescent="0.3">
      <c r="A2692" t="str">
        <f>"SO23000324"</f>
        <v>SO23000324</v>
      </c>
      <c r="B2692" t="str">
        <f>"E000399643"</f>
        <v>E000399643</v>
      </c>
      <c r="C2692" t="str">
        <f>"מאושרת לבצוע"</f>
        <v>מאושרת לבצוע</v>
      </c>
      <c r="E2692" s="3">
        <v>45123</v>
      </c>
      <c r="F2692" s="3">
        <v>45275</v>
      </c>
      <c r="G2692" t="str">
        <f>"700065"</f>
        <v>700065</v>
      </c>
      <c r="H2692" t="str">
        <f>"אלתא מערכות בע""מ"</f>
        <v>אלתא מערכות בע"מ</v>
      </c>
      <c r="I2692" t="str">
        <f>"רחמים זרוק"</f>
        <v>רחמים זרוק</v>
      </c>
      <c r="J2692" t="str">
        <f>"OP-AR03754"</f>
        <v>OP-AR03754</v>
      </c>
      <c r="K2692" s="1" t="str">
        <f>"1094L281-001    DC CABLE"</f>
        <v>1094L281-001    DC CABLE</v>
      </c>
      <c r="L2692">
        <v>1</v>
      </c>
      <c r="M2692" t="str">
        <f>"PR23000493"</f>
        <v>PR23000493</v>
      </c>
      <c r="N2692" t="str">
        <f>"E000399643"</f>
        <v>E000399643</v>
      </c>
      <c r="O2692">
        <v>401.75</v>
      </c>
      <c r="P2692" t="str">
        <f>"$"</f>
        <v>$</v>
      </c>
      <c r="Q2692" t="str">
        <f>"117"</f>
        <v>117</v>
      </c>
      <c r="R2692" t="str">
        <f>"רתמות"</f>
        <v>רתמות</v>
      </c>
      <c r="S2692" t="str">
        <f>"040"</f>
        <v>040</v>
      </c>
      <c r="T2692" t="str">
        <f>"גנם הודיה"</f>
        <v>גנם הודיה</v>
      </c>
      <c r="U2692">
        <v>0</v>
      </c>
      <c r="V2692">
        <v>0</v>
      </c>
      <c r="W2692">
        <v>401.75</v>
      </c>
      <c r="X2692">
        <v>401.75</v>
      </c>
      <c r="AA2692">
        <v>1</v>
      </c>
      <c r="AC2692">
        <v>0</v>
      </c>
      <c r="AE2692">
        <v>0</v>
      </c>
      <c r="AF2692">
        <v>0</v>
      </c>
      <c r="AG2692" s="2">
        <v>1449.92</v>
      </c>
      <c r="AH2692">
        <v>0</v>
      </c>
      <c r="AI2692" s="2">
        <v>1449.92</v>
      </c>
      <c r="AJ2692">
        <v>401.75</v>
      </c>
      <c r="AK2692">
        <v>401.75</v>
      </c>
      <c r="AL2692" t="str">
        <f>"$"</f>
        <v>$</v>
      </c>
    </row>
    <row r="2693" spans="1:38" x14ac:dyDescent="0.3">
      <c r="A2693" t="str">
        <f>"SO23000324"</f>
        <v>SO23000324</v>
      </c>
      <c r="B2693" t="str">
        <f>"E000399643"</f>
        <v>E000399643</v>
      </c>
      <c r="C2693" t="str">
        <f>"מאושרת לבצוע"</f>
        <v>מאושרת לבצוע</v>
      </c>
      <c r="E2693" s="3">
        <v>45123</v>
      </c>
      <c r="F2693" s="3">
        <v>45275</v>
      </c>
      <c r="G2693" t="str">
        <f>"700065"</f>
        <v>700065</v>
      </c>
      <c r="H2693" t="str">
        <f>"אלתא מערכות בע""מ"</f>
        <v>אלתא מערכות בע"מ</v>
      </c>
      <c r="I2693" t="str">
        <f>"רחמים זרוק"</f>
        <v>רחמים זרוק</v>
      </c>
      <c r="J2693" t="str">
        <f>"OP-AR01690"</f>
        <v>OP-AR01690</v>
      </c>
      <c r="K2693" s="1" t="str">
        <f>"1032F971-001 HARNESS WB971 LAB RSU NG P7 DEBUG"</f>
        <v>1032F971-001 HARNESS WB971 LAB RSU NG P7 DEBUG</v>
      </c>
      <c r="L2693">
        <v>1</v>
      </c>
      <c r="M2693" t="str">
        <f>"PR23000493"</f>
        <v>PR23000493</v>
      </c>
      <c r="N2693" t="str">
        <f>"E000399643"</f>
        <v>E000399643</v>
      </c>
      <c r="O2693">
        <v>693.77</v>
      </c>
      <c r="P2693" t="str">
        <f>"$"</f>
        <v>$</v>
      </c>
      <c r="Q2693" t="str">
        <f>"117"</f>
        <v>117</v>
      </c>
      <c r="R2693" t="str">
        <f>"רתמות"</f>
        <v>רתמות</v>
      </c>
      <c r="S2693" t="str">
        <f>"040"</f>
        <v>040</v>
      </c>
      <c r="T2693" t="str">
        <f>"גנם הודיה"</f>
        <v>גנם הודיה</v>
      </c>
      <c r="U2693">
        <v>0</v>
      </c>
      <c r="V2693">
        <v>0</v>
      </c>
      <c r="W2693">
        <v>693.77</v>
      </c>
      <c r="X2693">
        <v>693.77</v>
      </c>
      <c r="Z2693" t="str">
        <f>"Y"</f>
        <v>Y</v>
      </c>
      <c r="AA2693">
        <v>0</v>
      </c>
      <c r="AC2693">
        <v>0</v>
      </c>
      <c r="AE2693">
        <v>0</v>
      </c>
      <c r="AF2693">
        <v>0</v>
      </c>
      <c r="AG2693" s="2">
        <v>2503.8200000000002</v>
      </c>
      <c r="AH2693">
        <v>0</v>
      </c>
      <c r="AI2693" s="2">
        <v>2503.8200000000002</v>
      </c>
      <c r="AJ2693">
        <v>693.77</v>
      </c>
      <c r="AK2693">
        <v>693.77</v>
      </c>
      <c r="AL2693" t="str">
        <f>"$"</f>
        <v>$</v>
      </c>
    </row>
    <row r="2694" spans="1:38" x14ac:dyDescent="0.3">
      <c r="A2694" t="str">
        <f>"SO23000324"</f>
        <v>SO23000324</v>
      </c>
      <c r="B2694" t="str">
        <f>"E000399643"</f>
        <v>E000399643</v>
      </c>
      <c r="C2694" t="str">
        <f>"מאושרת לבצוע"</f>
        <v>מאושרת לבצוע</v>
      </c>
      <c r="E2694" s="3">
        <v>45123</v>
      </c>
      <c r="F2694" s="3">
        <v>45275</v>
      </c>
      <c r="G2694" t="str">
        <f>"700065"</f>
        <v>700065</v>
      </c>
      <c r="H2694" t="str">
        <f>"אלתא מערכות בע""מ"</f>
        <v>אלתא מערכות בע"מ</v>
      </c>
      <c r="I2694" t="str">
        <f>"רחמים זרוק"</f>
        <v>רחמים זרוק</v>
      </c>
      <c r="J2694" t="str">
        <f>"OP-AR01690"</f>
        <v>OP-AR01690</v>
      </c>
      <c r="K2694" s="1" t="str">
        <f>"1032F971-001 HARNESS WB971 LAB RSU NG P7 DEBUG"</f>
        <v>1032F971-001 HARNESS WB971 LAB RSU NG P7 DEBUG</v>
      </c>
      <c r="L2694">
        <v>2</v>
      </c>
      <c r="M2694" t="str">
        <f>"PR23000493"</f>
        <v>PR23000493</v>
      </c>
      <c r="N2694" t="str">
        <f>"E000399643"</f>
        <v>E000399643</v>
      </c>
      <c r="O2694">
        <v>693.77</v>
      </c>
      <c r="P2694" t="str">
        <f>"$"</f>
        <v>$</v>
      </c>
      <c r="Q2694" t="str">
        <f>"117"</f>
        <v>117</v>
      </c>
      <c r="R2694" t="str">
        <f>"רתמות"</f>
        <v>רתמות</v>
      </c>
      <c r="S2694" t="str">
        <f>"040"</f>
        <v>040</v>
      </c>
      <c r="T2694" t="str">
        <f>"גנם הודיה"</f>
        <v>גנם הודיה</v>
      </c>
      <c r="U2694">
        <v>0</v>
      </c>
      <c r="V2694">
        <v>0</v>
      </c>
      <c r="W2694">
        <v>693.77</v>
      </c>
      <c r="X2694" s="2">
        <v>1387.54</v>
      </c>
      <c r="Z2694" t="str">
        <f>"Y"</f>
        <v>Y</v>
      </c>
      <c r="AA2694">
        <v>0</v>
      </c>
      <c r="AC2694">
        <v>0</v>
      </c>
      <c r="AE2694">
        <v>0</v>
      </c>
      <c r="AF2694">
        <v>0</v>
      </c>
      <c r="AG2694" s="2">
        <v>2503.8200000000002</v>
      </c>
      <c r="AH2694">
        <v>0</v>
      </c>
      <c r="AI2694" s="2">
        <v>5007.63</v>
      </c>
      <c r="AJ2694" s="2">
        <v>1387.54</v>
      </c>
      <c r="AK2694" s="2">
        <v>1387.54</v>
      </c>
      <c r="AL2694" t="str">
        <f>"$"</f>
        <v>$</v>
      </c>
    </row>
    <row r="2695" spans="1:38" x14ac:dyDescent="0.3">
      <c r="A2695" t="str">
        <f>"SO23000325"</f>
        <v>SO23000325</v>
      </c>
      <c r="B2695" t="str">
        <f>"E000398856"</f>
        <v>E000398856</v>
      </c>
      <c r="C2695" t="str">
        <f>"מאושרת לבצוע"</f>
        <v>מאושרת לבצוע</v>
      </c>
      <c r="E2695" s="3">
        <v>45123</v>
      </c>
      <c r="F2695" s="3">
        <v>45280</v>
      </c>
      <c r="G2695" t="str">
        <f>"700065"</f>
        <v>700065</v>
      </c>
      <c r="H2695" t="str">
        <f>"אלתא מערכות בע""מ"</f>
        <v>אלתא מערכות בע"מ</v>
      </c>
      <c r="I2695" t="str">
        <f>"רחמים זרוק"</f>
        <v>רחמים זרוק</v>
      </c>
      <c r="J2695" t="str">
        <f>"OP-AR01701"</f>
        <v>OP-AR01701</v>
      </c>
      <c r="K2695" s="1" t="str">
        <f>"1020B573-003 P.C.U W2 HARNESS MOTOR POWER"</f>
        <v>1020B573-003 P.C.U W2 HARNESS MOTOR POWER</v>
      </c>
      <c r="L2695">
        <v>3</v>
      </c>
      <c r="M2695" t="str">
        <f>"PR23000494"</f>
        <v>PR23000494</v>
      </c>
      <c r="N2695" t="str">
        <f>"E000398856 אלתא"</f>
        <v>E000398856 אלתא</v>
      </c>
      <c r="O2695">
        <v>663.36</v>
      </c>
      <c r="P2695" t="str">
        <f>"$"</f>
        <v>$</v>
      </c>
      <c r="Q2695" t="str">
        <f>"117"</f>
        <v>117</v>
      </c>
      <c r="R2695" t="str">
        <f>"רתמות"</f>
        <v>רתמות</v>
      </c>
      <c r="S2695" t="str">
        <f>"040"</f>
        <v>040</v>
      </c>
      <c r="T2695" t="str">
        <f>"גנם הודיה"</f>
        <v>גנם הודיה</v>
      </c>
      <c r="U2695">
        <v>0</v>
      </c>
      <c r="V2695">
        <v>0</v>
      </c>
      <c r="W2695">
        <v>663.36</v>
      </c>
      <c r="X2695" s="2">
        <v>1990.08</v>
      </c>
      <c r="Z2695" t="str">
        <f>"Y"</f>
        <v>Y</v>
      </c>
      <c r="AA2695">
        <v>0</v>
      </c>
      <c r="AC2695">
        <v>0</v>
      </c>
      <c r="AE2695">
        <v>0</v>
      </c>
      <c r="AF2695">
        <v>0</v>
      </c>
      <c r="AG2695" s="2">
        <v>2394.0700000000002</v>
      </c>
      <c r="AH2695">
        <v>0</v>
      </c>
      <c r="AI2695" s="2">
        <v>7182.2</v>
      </c>
      <c r="AJ2695" s="2">
        <v>1990.08</v>
      </c>
      <c r="AK2695" s="2">
        <v>1990.08</v>
      </c>
      <c r="AL2695" t="str">
        <f>"$"</f>
        <v>$</v>
      </c>
    </row>
    <row r="2696" spans="1:38" x14ac:dyDescent="0.3">
      <c r="A2696" t="str">
        <f>"SO23000325"</f>
        <v>SO23000325</v>
      </c>
      <c r="B2696" t="str">
        <f>"E000398856"</f>
        <v>E000398856</v>
      </c>
      <c r="C2696" t="str">
        <f>"מאושרת לבצוע"</f>
        <v>מאושרת לבצוע</v>
      </c>
      <c r="E2696" s="3">
        <v>45123</v>
      </c>
      <c r="F2696" s="3">
        <v>45280</v>
      </c>
      <c r="G2696" t="str">
        <f>"700065"</f>
        <v>700065</v>
      </c>
      <c r="H2696" t="str">
        <f>"אלתא מערכות בע""מ"</f>
        <v>אלתא מערכות בע"מ</v>
      </c>
      <c r="I2696" t="str">
        <f>"רחמים זרוק"</f>
        <v>רחמים זרוק</v>
      </c>
      <c r="J2696" t="str">
        <f>"OP-AR01702"</f>
        <v>OP-AR01702</v>
      </c>
      <c r="K2696" s="1" t="str">
        <f>"1020B584-003 P.C.U HARN/W7/ABS NC/DATA POS"</f>
        <v>1020B584-003 P.C.U HARN/W7/ABS NC/DATA POS</v>
      </c>
      <c r="L2696">
        <v>3</v>
      </c>
      <c r="M2696" t="str">
        <f>"PR23000494"</f>
        <v>PR23000494</v>
      </c>
      <c r="N2696" t="str">
        <f>"E000398856 אלתא"</f>
        <v>E000398856 אלתא</v>
      </c>
      <c r="O2696" s="2">
        <v>1400</v>
      </c>
      <c r="P2696" t="str">
        <f>"$"</f>
        <v>$</v>
      </c>
      <c r="Q2696" t="str">
        <f>"117"</f>
        <v>117</v>
      </c>
      <c r="R2696" t="str">
        <f>"רתמות"</f>
        <v>רתמות</v>
      </c>
      <c r="S2696" t="str">
        <f>"040"</f>
        <v>040</v>
      </c>
      <c r="T2696" t="str">
        <f>"גנם הודיה"</f>
        <v>גנם הודיה</v>
      </c>
      <c r="U2696">
        <v>0</v>
      </c>
      <c r="V2696">
        <v>0</v>
      </c>
      <c r="W2696" s="2">
        <v>1400</v>
      </c>
      <c r="X2696" s="2">
        <v>4200</v>
      </c>
      <c r="AA2696">
        <v>3</v>
      </c>
      <c r="AC2696">
        <v>0</v>
      </c>
      <c r="AE2696">
        <v>0</v>
      </c>
      <c r="AF2696">
        <v>0</v>
      </c>
      <c r="AG2696" s="2">
        <v>5052.6000000000004</v>
      </c>
      <c r="AH2696">
        <v>0</v>
      </c>
      <c r="AI2696" s="2">
        <v>15157.8</v>
      </c>
      <c r="AJ2696" s="2">
        <v>4200</v>
      </c>
      <c r="AK2696" s="2">
        <v>4200</v>
      </c>
      <c r="AL2696" t="str">
        <f>"$"</f>
        <v>$</v>
      </c>
    </row>
    <row r="2697" spans="1:38" x14ac:dyDescent="0.3">
      <c r="A2697" t="str">
        <f>"SO23000326"</f>
        <v>SO23000326</v>
      </c>
      <c r="B2697" t="str">
        <f>"E000398946"</f>
        <v>E000398946</v>
      </c>
      <c r="C2697" t="str">
        <f>"מאושרת לבצוע"</f>
        <v>מאושרת לבצוע</v>
      </c>
      <c r="E2697" s="3">
        <v>45123</v>
      </c>
      <c r="F2697" s="3">
        <v>45168</v>
      </c>
      <c r="G2697" t="str">
        <f>"700065"</f>
        <v>700065</v>
      </c>
      <c r="H2697" t="str">
        <f>"אלתא מערכות בע""מ"</f>
        <v>אלתא מערכות בע"מ</v>
      </c>
      <c r="I2697" t="str">
        <f>"רחמים זרוק"</f>
        <v>רחמים זרוק</v>
      </c>
      <c r="J2697" t="str">
        <f>"000"</f>
        <v>000</v>
      </c>
      <c r="K2697" s="1" t="str">
        <f>"ייצור רתמות ללא עלות כחלק מתיקון"</f>
        <v>ייצור רתמות ללא עלות כחלק מתיקון</v>
      </c>
      <c r="L2697">
        <v>0</v>
      </c>
      <c r="O2697">
        <v>0</v>
      </c>
      <c r="P2697" t="str">
        <f>"$"</f>
        <v>$</v>
      </c>
      <c r="Q2697" t="str">
        <f>"117"</f>
        <v>117</v>
      </c>
      <c r="R2697" t="str">
        <f>"רתמות"</f>
        <v>רתמות</v>
      </c>
      <c r="S2697" t="str">
        <f>"040"</f>
        <v>040</v>
      </c>
      <c r="T2697" t="str">
        <f>"גנם הודיה"</f>
        <v>גנם הודיה</v>
      </c>
      <c r="U2697">
        <v>0</v>
      </c>
      <c r="V2697">
        <v>0</v>
      </c>
      <c r="W2697">
        <v>0</v>
      </c>
      <c r="X2697">
        <v>0</v>
      </c>
      <c r="AA2697">
        <v>0</v>
      </c>
      <c r="AC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 t="str">
        <f>"$"</f>
        <v>$</v>
      </c>
    </row>
    <row r="2698" spans="1:38" x14ac:dyDescent="0.3">
      <c r="A2698" t="str">
        <f>"SO23000326"</f>
        <v>SO23000326</v>
      </c>
      <c r="B2698" t="str">
        <f>"E000398946"</f>
        <v>E000398946</v>
      </c>
      <c r="C2698" t="str">
        <f>"מאושרת לבצוע"</f>
        <v>מאושרת לבצוע</v>
      </c>
      <c r="E2698" s="3">
        <v>45123</v>
      </c>
      <c r="F2698" s="3">
        <v>45168</v>
      </c>
      <c r="G2698" t="str">
        <f>"700065"</f>
        <v>700065</v>
      </c>
      <c r="H2698" t="str">
        <f>"אלתא מערכות בע""מ"</f>
        <v>אלתא מערכות בע"מ</v>
      </c>
      <c r="I2698" t="str">
        <f>"רחמים זרוק"</f>
        <v>רחמים זרוק</v>
      </c>
      <c r="J2698" t="str">
        <f>"OP-AR02157"</f>
        <v>OP-AR02157</v>
      </c>
      <c r="K2698" s="1" t="str">
        <f>"1039H812-001   HARNESS WY012 - PDU TO TRA2 SHE"</f>
        <v>1039H812-001   HARNESS WY012 - PDU TO TRA2 SHE</v>
      </c>
      <c r="L2698">
        <v>2</v>
      </c>
      <c r="M2698" t="str">
        <f>"PR23000214"</f>
        <v>PR23000214</v>
      </c>
      <c r="N2698" t="str">
        <f>"הזמנת תיקון כבלים - ספייר"</f>
        <v>הזמנת תיקון כבלים - ספייר</v>
      </c>
      <c r="O2698">
        <v>0</v>
      </c>
      <c r="P2698" t="str">
        <f>"$"</f>
        <v>$</v>
      </c>
      <c r="Q2698" t="str">
        <f>"117"</f>
        <v>117</v>
      </c>
      <c r="R2698" t="str">
        <f>"רתמות"</f>
        <v>רתמות</v>
      </c>
      <c r="S2698" t="str">
        <f>"040"</f>
        <v>040</v>
      </c>
      <c r="T2698" t="str">
        <f>"גנם הודיה"</f>
        <v>גנם הודיה</v>
      </c>
      <c r="U2698">
        <v>0</v>
      </c>
      <c r="V2698">
        <v>0</v>
      </c>
      <c r="W2698">
        <v>0</v>
      </c>
      <c r="X2698">
        <v>0</v>
      </c>
      <c r="AA2698">
        <v>2</v>
      </c>
      <c r="AC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 t="str">
        <f>"$"</f>
        <v>$</v>
      </c>
    </row>
    <row r="2699" spans="1:38" x14ac:dyDescent="0.3">
      <c r="A2699" t="str">
        <f>"SO23000326"</f>
        <v>SO23000326</v>
      </c>
      <c r="B2699" t="str">
        <f>"E000398946"</f>
        <v>E000398946</v>
      </c>
      <c r="C2699" t="str">
        <f>"מאושרת לבצוע"</f>
        <v>מאושרת לבצוע</v>
      </c>
      <c r="E2699" s="3">
        <v>45123</v>
      </c>
      <c r="F2699" s="3">
        <v>45168</v>
      </c>
      <c r="G2699" t="str">
        <f>"700065"</f>
        <v>700065</v>
      </c>
      <c r="H2699" t="str">
        <f>"אלתא מערכות בע""מ"</f>
        <v>אלתא מערכות בע"מ</v>
      </c>
      <c r="I2699" t="str">
        <f>"רחמים זרוק"</f>
        <v>רחמים זרוק</v>
      </c>
      <c r="J2699" t="str">
        <f>"OP-AR02163"</f>
        <v>OP-AR02163</v>
      </c>
      <c r="K2699" s="1" t="str">
        <f>"1039H818-001   HARNESS WY018 - PDU TO IFF SHEL"</f>
        <v>1039H818-001   HARNESS WY018 - PDU TO IFF SHEL</v>
      </c>
      <c r="L2699">
        <v>2</v>
      </c>
      <c r="M2699" t="str">
        <f>"PR23000214"</f>
        <v>PR23000214</v>
      </c>
      <c r="N2699" t="str">
        <f>"הזמנת תיקון כבלים - ספייר"</f>
        <v>הזמנת תיקון כבלים - ספייר</v>
      </c>
      <c r="O2699">
        <v>0</v>
      </c>
      <c r="P2699" t="str">
        <f>"$"</f>
        <v>$</v>
      </c>
      <c r="Q2699" t="str">
        <f>"117"</f>
        <v>117</v>
      </c>
      <c r="R2699" t="str">
        <f>"רתמות"</f>
        <v>רתמות</v>
      </c>
      <c r="S2699" t="str">
        <f>"040"</f>
        <v>040</v>
      </c>
      <c r="T2699" t="str">
        <f>"גנם הודיה"</f>
        <v>גנם הודיה</v>
      </c>
      <c r="U2699">
        <v>0</v>
      </c>
      <c r="V2699">
        <v>0</v>
      </c>
      <c r="W2699">
        <v>0</v>
      </c>
      <c r="X2699">
        <v>0</v>
      </c>
      <c r="Z2699" t="str">
        <f>"Y"</f>
        <v>Y</v>
      </c>
      <c r="AA2699">
        <v>0</v>
      </c>
      <c r="AC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 t="str">
        <f>"$"</f>
        <v>$</v>
      </c>
    </row>
    <row r="2700" spans="1:38" x14ac:dyDescent="0.3">
      <c r="A2700" t="str">
        <f>"SO23000326"</f>
        <v>SO23000326</v>
      </c>
      <c r="B2700" t="str">
        <f>"E000398946"</f>
        <v>E000398946</v>
      </c>
      <c r="C2700" t="str">
        <f>"מאושרת לבצוע"</f>
        <v>מאושרת לבצוע</v>
      </c>
      <c r="E2700" s="3">
        <v>45123</v>
      </c>
      <c r="F2700" s="3">
        <v>45168</v>
      </c>
      <c r="G2700" t="str">
        <f>"700065"</f>
        <v>700065</v>
      </c>
      <c r="H2700" t="str">
        <f>"אלתא מערכות בע""מ"</f>
        <v>אלתא מערכות בע"מ</v>
      </c>
      <c r="I2700" t="str">
        <f>"רחמים זרוק"</f>
        <v>רחמים זרוק</v>
      </c>
      <c r="J2700" t="str">
        <f>"OP-AR02171"</f>
        <v>OP-AR02171</v>
      </c>
      <c r="K2700" s="1" t="str">
        <f>"1039H827-001/-   HARNESS WY027 - PDU TO FANS EXT"</f>
        <v>1039H827-001/-   HARNESS WY027 - PDU TO FANS EXT</v>
      </c>
      <c r="L2700">
        <v>2</v>
      </c>
      <c r="M2700" t="str">
        <f>"PR23000214"</f>
        <v>PR23000214</v>
      </c>
      <c r="N2700" t="str">
        <f>"הזמנת תיקון כבלים - ספייר"</f>
        <v>הזמנת תיקון כבלים - ספייר</v>
      </c>
      <c r="O2700">
        <v>0</v>
      </c>
      <c r="P2700" t="str">
        <f>"$"</f>
        <v>$</v>
      </c>
      <c r="Q2700" t="str">
        <f>"117"</f>
        <v>117</v>
      </c>
      <c r="R2700" t="str">
        <f>"רתמות"</f>
        <v>רתמות</v>
      </c>
      <c r="S2700" t="str">
        <f>"040"</f>
        <v>040</v>
      </c>
      <c r="T2700" t="str">
        <f>"גנם הודיה"</f>
        <v>גנם הודיה</v>
      </c>
      <c r="U2700">
        <v>0</v>
      </c>
      <c r="V2700">
        <v>0</v>
      </c>
      <c r="W2700">
        <v>0</v>
      </c>
      <c r="X2700">
        <v>0</v>
      </c>
      <c r="Z2700" t="str">
        <f>"Y"</f>
        <v>Y</v>
      </c>
      <c r="AA2700">
        <v>0</v>
      </c>
      <c r="AC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 t="str">
        <f>"$"</f>
        <v>$</v>
      </c>
    </row>
    <row r="2701" spans="1:38" x14ac:dyDescent="0.3">
      <c r="A2701" t="str">
        <f>"SO23000326"</f>
        <v>SO23000326</v>
      </c>
      <c r="B2701" t="str">
        <f>"E000398946"</f>
        <v>E000398946</v>
      </c>
      <c r="C2701" t="str">
        <f>"מאושרת לבצוע"</f>
        <v>מאושרת לבצוע</v>
      </c>
      <c r="E2701" s="3">
        <v>45123</v>
      </c>
      <c r="F2701" s="3">
        <v>45128</v>
      </c>
      <c r="G2701" t="str">
        <f>"700065"</f>
        <v>700065</v>
      </c>
      <c r="H2701" t="str">
        <f>"אלתא מערכות בע""מ"</f>
        <v>אלתא מערכות בע"מ</v>
      </c>
      <c r="I2701" t="str">
        <f>"רחמים זרוק"</f>
        <v>רחמים זרוק</v>
      </c>
      <c r="J2701" t="str">
        <f>"OP-AR02176"</f>
        <v>OP-AR02176</v>
      </c>
      <c r="K2701" s="1" t="str">
        <f>"1039H834-001/-   HARNESS WY034 - PDU TO TRA4 EXT"</f>
        <v>1039H834-001/-   HARNESS WY034 - PDU TO TRA4 EXT</v>
      </c>
      <c r="L2701">
        <v>2</v>
      </c>
      <c r="M2701" t="str">
        <f>"PR23000214"</f>
        <v>PR23000214</v>
      </c>
      <c r="N2701" t="str">
        <f>"הזמנת תיקון כבלים - ספייר"</f>
        <v>הזמנת תיקון כבלים - ספייר</v>
      </c>
      <c r="O2701">
        <v>0</v>
      </c>
      <c r="P2701" t="str">
        <f>"$"</f>
        <v>$</v>
      </c>
      <c r="Q2701" t="str">
        <f>"117"</f>
        <v>117</v>
      </c>
      <c r="R2701" t="str">
        <f>"רתמות"</f>
        <v>רתמות</v>
      </c>
      <c r="S2701" t="str">
        <f>"040"</f>
        <v>040</v>
      </c>
      <c r="T2701" t="str">
        <f>"גנם הודיה"</f>
        <v>גנם הודיה</v>
      </c>
      <c r="U2701">
        <v>0</v>
      </c>
      <c r="V2701">
        <v>0</v>
      </c>
      <c r="W2701">
        <v>0</v>
      </c>
      <c r="X2701">
        <v>0</v>
      </c>
      <c r="AA2701">
        <v>2</v>
      </c>
      <c r="AC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 t="str">
        <f>"$"</f>
        <v>$</v>
      </c>
    </row>
    <row r="2702" spans="1:38" x14ac:dyDescent="0.3">
      <c r="A2702" t="str">
        <f>"SO23000326"</f>
        <v>SO23000326</v>
      </c>
      <c r="B2702" t="str">
        <f>"E000398946"</f>
        <v>E000398946</v>
      </c>
      <c r="C2702" t="str">
        <f>"מאושרת לבצוע"</f>
        <v>מאושרת לבצוע</v>
      </c>
      <c r="E2702" s="3">
        <v>45123</v>
      </c>
      <c r="F2702" s="3">
        <v>45128</v>
      </c>
      <c r="G2702" t="str">
        <f>"700065"</f>
        <v>700065</v>
      </c>
      <c r="H2702" t="str">
        <f>"אלתא מערכות בע""מ"</f>
        <v>אלתא מערכות בע"מ</v>
      </c>
      <c r="I2702" t="str">
        <f>"רחמים זרוק"</f>
        <v>רחמים זרוק</v>
      </c>
      <c r="J2702" t="str">
        <f>"OP-AR02177"</f>
        <v>OP-AR02177</v>
      </c>
      <c r="K2702" s="1" t="str">
        <f>"1039H837-001/-   HARNESS WY037 - PDU TO FANS EXT"</f>
        <v>1039H837-001/-   HARNESS WY037 - PDU TO FANS EXT</v>
      </c>
      <c r="L2702">
        <v>2</v>
      </c>
      <c r="M2702" t="str">
        <f>"PR23000214"</f>
        <v>PR23000214</v>
      </c>
      <c r="N2702" t="str">
        <f>"הזמנת תיקון כבלים - ספייר"</f>
        <v>הזמנת תיקון כבלים - ספייר</v>
      </c>
      <c r="O2702">
        <v>0</v>
      </c>
      <c r="P2702" t="str">
        <f>"$"</f>
        <v>$</v>
      </c>
      <c r="Q2702" t="str">
        <f>"117"</f>
        <v>117</v>
      </c>
      <c r="R2702" t="str">
        <f>"רתמות"</f>
        <v>רתמות</v>
      </c>
      <c r="S2702" t="str">
        <f>"040"</f>
        <v>040</v>
      </c>
      <c r="T2702" t="str">
        <f>"גנם הודיה"</f>
        <v>גנם הודיה</v>
      </c>
      <c r="U2702">
        <v>0</v>
      </c>
      <c r="V2702">
        <v>0</v>
      </c>
      <c r="W2702">
        <v>0</v>
      </c>
      <c r="X2702">
        <v>0</v>
      </c>
      <c r="Z2702" t="str">
        <f>"Y"</f>
        <v>Y</v>
      </c>
      <c r="AA2702">
        <v>0</v>
      </c>
      <c r="AC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 t="str">
        <f>"$"</f>
        <v>$</v>
      </c>
    </row>
    <row r="2703" spans="1:38" x14ac:dyDescent="0.3">
      <c r="A2703" t="str">
        <f>"SO23000326"</f>
        <v>SO23000326</v>
      </c>
      <c r="B2703" t="str">
        <f>"E000398946"</f>
        <v>E000398946</v>
      </c>
      <c r="C2703" t="str">
        <f>"מאושרת לבצוע"</f>
        <v>מאושרת לבצוע</v>
      </c>
      <c r="E2703" s="3">
        <v>45123</v>
      </c>
      <c r="F2703" s="3">
        <v>45128</v>
      </c>
      <c r="G2703" t="str">
        <f>"700065"</f>
        <v>700065</v>
      </c>
      <c r="H2703" t="str">
        <f>"אלתא מערכות בע""מ"</f>
        <v>אלתא מערכות בע"מ</v>
      </c>
      <c r="I2703" t="str">
        <f>"רחמים זרוק"</f>
        <v>רחמים זרוק</v>
      </c>
      <c r="J2703" t="str">
        <f>"OP-AR02154"</f>
        <v>OP-AR02154</v>
      </c>
      <c r="K2703" s="1" t="str">
        <f>"1039H802-001   HARNESS WY002 - PDU 2 POWER IN"</f>
        <v>1039H802-001   HARNESS WY002 - PDU 2 POWER IN</v>
      </c>
      <c r="L2703">
        <v>2</v>
      </c>
      <c r="M2703" t="str">
        <f>"PR23000214"</f>
        <v>PR23000214</v>
      </c>
      <c r="N2703" t="str">
        <f>"הזמנת תיקון כבלים - ספייר"</f>
        <v>הזמנת תיקון כבלים - ספייר</v>
      </c>
      <c r="O2703">
        <v>0</v>
      </c>
      <c r="P2703" t="str">
        <f>"$"</f>
        <v>$</v>
      </c>
      <c r="Q2703" t="str">
        <f>"117"</f>
        <v>117</v>
      </c>
      <c r="R2703" t="str">
        <f>"רתמות"</f>
        <v>רתמות</v>
      </c>
      <c r="S2703" t="str">
        <f>"040"</f>
        <v>040</v>
      </c>
      <c r="T2703" t="str">
        <f>"גנם הודיה"</f>
        <v>גנם הודיה</v>
      </c>
      <c r="U2703">
        <v>0</v>
      </c>
      <c r="V2703">
        <v>0</v>
      </c>
      <c r="W2703">
        <v>0</v>
      </c>
      <c r="X2703">
        <v>0</v>
      </c>
      <c r="AA2703">
        <v>2</v>
      </c>
      <c r="AC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 t="str">
        <f>"$"</f>
        <v>$</v>
      </c>
    </row>
    <row r="2704" spans="1:38" x14ac:dyDescent="0.3">
      <c r="A2704" t="str">
        <f>"SO23000326"</f>
        <v>SO23000326</v>
      </c>
      <c r="B2704" t="str">
        <f>"E000398946"</f>
        <v>E000398946</v>
      </c>
      <c r="C2704" t="str">
        <f>"מאושרת לבצוע"</f>
        <v>מאושרת לבצוע</v>
      </c>
      <c r="E2704" s="3">
        <v>45123</v>
      </c>
      <c r="F2704" s="3">
        <v>45128</v>
      </c>
      <c r="G2704" t="str">
        <f>"700065"</f>
        <v>700065</v>
      </c>
      <c r="H2704" t="str">
        <f>"אלתא מערכות בע""מ"</f>
        <v>אלתא מערכות בע"מ</v>
      </c>
      <c r="I2704" t="str">
        <f>"רחמים זרוק"</f>
        <v>רחמים זרוק</v>
      </c>
      <c r="J2704" t="str">
        <f>"OP-AR02162"</f>
        <v>OP-AR02162</v>
      </c>
      <c r="K2704" s="1" t="str">
        <f>"1039H817-001   HARNESS WY017 - PDU TO FANS SHE"</f>
        <v>1039H817-001   HARNESS WY017 - PDU TO FANS SHE</v>
      </c>
      <c r="L2704">
        <v>2</v>
      </c>
      <c r="M2704" t="str">
        <f>"PR23000214"</f>
        <v>PR23000214</v>
      </c>
      <c r="N2704" t="str">
        <f>"הזמנת תיקון כבלים - ספייר"</f>
        <v>הזמנת תיקון כבלים - ספייר</v>
      </c>
      <c r="O2704">
        <v>0</v>
      </c>
      <c r="P2704" t="str">
        <f>"$"</f>
        <v>$</v>
      </c>
      <c r="Q2704" t="str">
        <f>"117"</f>
        <v>117</v>
      </c>
      <c r="R2704" t="str">
        <f>"רתמות"</f>
        <v>רתמות</v>
      </c>
      <c r="S2704" t="str">
        <f>"040"</f>
        <v>040</v>
      </c>
      <c r="T2704" t="str">
        <f>"גנם הודיה"</f>
        <v>גנם הודיה</v>
      </c>
      <c r="U2704">
        <v>0</v>
      </c>
      <c r="V2704">
        <v>0</v>
      </c>
      <c r="W2704">
        <v>0</v>
      </c>
      <c r="X2704">
        <v>0</v>
      </c>
      <c r="Z2704" t="str">
        <f>"Y"</f>
        <v>Y</v>
      </c>
      <c r="AA2704">
        <v>0</v>
      </c>
      <c r="AC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 t="str">
        <f>"$"</f>
        <v>$</v>
      </c>
    </row>
    <row r="2705" spans="1:38" x14ac:dyDescent="0.3">
      <c r="A2705" t="str">
        <f>"SO23000327"</f>
        <v>SO23000327</v>
      </c>
      <c r="B2705" t="str">
        <f>"E000399093"</f>
        <v>E000399093</v>
      </c>
      <c r="C2705" t="str">
        <f>"בוצעה"</f>
        <v>בוצעה</v>
      </c>
      <c r="E2705" s="3">
        <v>45123</v>
      </c>
      <c r="F2705" s="3">
        <v>45200</v>
      </c>
      <c r="G2705" t="str">
        <f>"700065"</f>
        <v>700065</v>
      </c>
      <c r="H2705" t="str">
        <f>"אלתא מערכות בע""מ"</f>
        <v>אלתא מערכות בע"מ</v>
      </c>
      <c r="I2705" t="str">
        <f>"רחמים זרוק"</f>
        <v>רחמים זרוק</v>
      </c>
      <c r="J2705" t="str">
        <f>"OP-AR03016"</f>
        <v>OP-AR03016</v>
      </c>
      <c r="K2705" s="1" t="str">
        <f>"2203B860-001   POWER TO UUT CABLE ASSY"</f>
        <v>2203B860-001   POWER TO UUT CABLE ASSY</v>
      </c>
      <c r="L2705">
        <v>1</v>
      </c>
      <c r="M2705" t="str">
        <f>"PR23000495"</f>
        <v>PR23000495</v>
      </c>
      <c r="N2705" t="str">
        <f>"E000399093 אלתא"</f>
        <v>E000399093 אלתא</v>
      </c>
      <c r="O2705">
        <v>861.4</v>
      </c>
      <c r="P2705" t="str">
        <f>"$"</f>
        <v>$</v>
      </c>
      <c r="Q2705" t="str">
        <f>"117"</f>
        <v>117</v>
      </c>
      <c r="R2705" t="str">
        <f>"רתמות"</f>
        <v>רתמות</v>
      </c>
      <c r="S2705" t="str">
        <f>"040"</f>
        <v>040</v>
      </c>
      <c r="T2705" t="str">
        <f>"גנם הודיה"</f>
        <v>גנם הודיה</v>
      </c>
      <c r="U2705">
        <v>0</v>
      </c>
      <c r="V2705">
        <v>0</v>
      </c>
      <c r="W2705">
        <v>861.4</v>
      </c>
      <c r="X2705">
        <v>861.4</v>
      </c>
      <c r="Z2705" t="str">
        <f>"Y"</f>
        <v>Y</v>
      </c>
      <c r="AA2705">
        <v>0</v>
      </c>
      <c r="AC2705">
        <v>0</v>
      </c>
      <c r="AE2705">
        <v>0</v>
      </c>
      <c r="AF2705">
        <v>0</v>
      </c>
      <c r="AG2705" s="2">
        <v>3108.79</v>
      </c>
      <c r="AH2705">
        <v>0</v>
      </c>
      <c r="AI2705" s="2">
        <v>3108.79</v>
      </c>
      <c r="AJ2705">
        <v>861.4</v>
      </c>
      <c r="AK2705">
        <v>861.4</v>
      </c>
      <c r="AL2705" t="str">
        <f>"$"</f>
        <v>$</v>
      </c>
    </row>
    <row r="2706" spans="1:38" x14ac:dyDescent="0.3">
      <c r="A2706" t="str">
        <f>"SO23000329"</f>
        <v>SO23000329</v>
      </c>
      <c r="B2706" t="str">
        <f>"E000399568"</f>
        <v>E000399568</v>
      </c>
      <c r="C2706" t="str">
        <f>"מאושרת לחיוב"</f>
        <v>מאושרת לחיוב</v>
      </c>
      <c r="E2706" s="3">
        <v>45123</v>
      </c>
      <c r="F2706" s="3">
        <v>45123</v>
      </c>
      <c r="G2706" t="str">
        <f>"700065"</f>
        <v>700065</v>
      </c>
      <c r="H2706" t="str">
        <f>"אלתא מערכות בע""מ"</f>
        <v>אלתא מערכות בע"מ</v>
      </c>
      <c r="I2706" t="str">
        <f>"ערן שלו"</f>
        <v>ערן שלו</v>
      </c>
      <c r="J2706" t="str">
        <f>"BT0100063"</f>
        <v>BT0100063</v>
      </c>
      <c r="K2706" s="1" t="str">
        <f>"מצבר מקורי קטרפילר 100 אמפר 750CCA"</f>
        <v>מצבר מקורי קטרפילר 100 אמפר 750CCA</v>
      </c>
      <c r="L2706">
        <v>1</v>
      </c>
      <c r="M2706" t="str">
        <f>"PR23000507"</f>
        <v>PR23000507</v>
      </c>
      <c r="N2706" t="str">
        <f>"תוספות לRPU"</f>
        <v>תוספות לRPU</v>
      </c>
      <c r="O2706" s="2">
        <v>5800</v>
      </c>
      <c r="P2706" t="str">
        <f>"$"</f>
        <v>$</v>
      </c>
      <c r="Q2706" t="str">
        <f>"118"</f>
        <v>118</v>
      </c>
      <c r="R2706" t="str">
        <f>"מערכות"</f>
        <v>מערכות</v>
      </c>
      <c r="S2706" t="str">
        <f>"034"</f>
        <v>034</v>
      </c>
      <c r="T2706" t="str">
        <f>"גנם הודיה"</f>
        <v>גנם הודיה</v>
      </c>
      <c r="U2706">
        <v>0</v>
      </c>
      <c r="V2706">
        <v>0</v>
      </c>
      <c r="W2706" s="2">
        <v>5800</v>
      </c>
      <c r="X2706" s="2">
        <v>5800</v>
      </c>
      <c r="AA2706">
        <v>1</v>
      </c>
      <c r="AC2706">
        <v>0</v>
      </c>
      <c r="AE2706">
        <v>0</v>
      </c>
      <c r="AF2706">
        <v>0</v>
      </c>
      <c r="AG2706" s="2">
        <v>20932.2</v>
      </c>
      <c r="AH2706">
        <v>0</v>
      </c>
      <c r="AI2706" s="2">
        <v>20932.2</v>
      </c>
      <c r="AJ2706" s="2">
        <v>5800</v>
      </c>
      <c r="AK2706" s="2">
        <v>5800</v>
      </c>
      <c r="AL2706" t="str">
        <f>"$"</f>
        <v>$</v>
      </c>
    </row>
    <row r="2707" spans="1:38" x14ac:dyDescent="0.3">
      <c r="A2707" t="str">
        <f>"SO23000329"</f>
        <v>SO23000329</v>
      </c>
      <c r="B2707" t="str">
        <f>"E000399568"</f>
        <v>E000399568</v>
      </c>
      <c r="C2707" t="str">
        <f>"מאושרת לחיוב"</f>
        <v>מאושרת לחיוב</v>
      </c>
      <c r="E2707" s="3">
        <v>45123</v>
      </c>
      <c r="F2707" s="3">
        <v>45123</v>
      </c>
      <c r="G2707" t="str">
        <f>"700065"</f>
        <v>700065</v>
      </c>
      <c r="H2707" t="str">
        <f>"אלתא מערכות בע""מ"</f>
        <v>אלתא מערכות בע"מ</v>
      </c>
      <c r="I2707" t="str">
        <f>"ערן שלו"</f>
        <v>ערן שלו</v>
      </c>
      <c r="J2707" t="str">
        <f>"PD0102100"</f>
        <v>PD0102100</v>
      </c>
      <c r="K2707" s="1" t="str">
        <f>"מפתח פלסטי אוניברסלי FL99Z hager"</f>
        <v>מפתח פלסטי אוניברסלי FL99Z hager</v>
      </c>
      <c r="L2707">
        <v>10</v>
      </c>
      <c r="M2707" t="str">
        <f>"PR23000507"</f>
        <v>PR23000507</v>
      </c>
      <c r="N2707" t="str">
        <f>"תוספות לRPU"</f>
        <v>תוספות לRPU</v>
      </c>
      <c r="O2707">
        <v>80</v>
      </c>
      <c r="P2707" t="str">
        <f>"$"</f>
        <v>$</v>
      </c>
      <c r="Q2707" t="str">
        <f>"118"</f>
        <v>118</v>
      </c>
      <c r="R2707" t="str">
        <f>"מערכות"</f>
        <v>מערכות</v>
      </c>
      <c r="S2707" t="str">
        <f>"034"</f>
        <v>034</v>
      </c>
      <c r="T2707" t="str">
        <f>"גנם הודיה"</f>
        <v>גנם הודיה</v>
      </c>
      <c r="U2707">
        <v>0</v>
      </c>
      <c r="V2707">
        <v>0</v>
      </c>
      <c r="W2707">
        <v>80</v>
      </c>
      <c r="X2707">
        <v>800</v>
      </c>
      <c r="Z2707" t="str">
        <f>"Y"</f>
        <v>Y</v>
      </c>
      <c r="AA2707">
        <v>0</v>
      </c>
      <c r="AC2707">
        <v>0</v>
      </c>
      <c r="AE2707">
        <v>0</v>
      </c>
      <c r="AF2707">
        <v>0</v>
      </c>
      <c r="AG2707">
        <v>288.72000000000003</v>
      </c>
      <c r="AH2707">
        <v>0</v>
      </c>
      <c r="AI2707" s="2">
        <v>2887.2</v>
      </c>
      <c r="AJ2707">
        <v>800</v>
      </c>
      <c r="AK2707">
        <v>800</v>
      </c>
      <c r="AL2707" t="str">
        <f>"$"</f>
        <v>$</v>
      </c>
    </row>
    <row r="2708" spans="1:38" x14ac:dyDescent="0.3">
      <c r="A2708" t="str">
        <f>"SO23000329"</f>
        <v>SO23000329</v>
      </c>
      <c r="B2708" t="str">
        <f>"E000399568"</f>
        <v>E000399568</v>
      </c>
      <c r="C2708" t="str">
        <f>"מאושרת לחיוב"</f>
        <v>מאושרת לחיוב</v>
      </c>
      <c r="E2708" s="3">
        <v>45123</v>
      </c>
      <c r="F2708" s="3">
        <v>45123</v>
      </c>
      <c r="G2708" t="str">
        <f>"700065"</f>
        <v>700065</v>
      </c>
      <c r="H2708" t="str">
        <f>"אלתא מערכות בע""מ"</f>
        <v>אלתא מערכות בע"מ</v>
      </c>
      <c r="I2708" t="str">
        <f>"ערן שלו"</f>
        <v>ערן שלו</v>
      </c>
      <c r="J2708" t="str">
        <f>"PD0101941"</f>
        <v>PD0101941</v>
      </c>
      <c r="K2708" s="1" t="str">
        <f>"מפתח חצוי למנעול משולש LOKYM-368-15"</f>
        <v>מפתח חצוי למנעול משולש LOKYM-368-15</v>
      </c>
      <c r="L2708">
        <v>10</v>
      </c>
      <c r="M2708" t="str">
        <f>"PR23000507"</f>
        <v>PR23000507</v>
      </c>
      <c r="N2708" t="str">
        <f>"תוספות לRPU"</f>
        <v>תוספות לRPU</v>
      </c>
      <c r="O2708">
        <v>40</v>
      </c>
      <c r="P2708" t="str">
        <f>"$"</f>
        <v>$</v>
      </c>
      <c r="Q2708" t="str">
        <f>"118"</f>
        <v>118</v>
      </c>
      <c r="R2708" t="str">
        <f>"מערכות"</f>
        <v>מערכות</v>
      </c>
      <c r="S2708" t="str">
        <f>"034"</f>
        <v>034</v>
      </c>
      <c r="T2708" t="str">
        <f>"גנם הודיה"</f>
        <v>גנם הודיה</v>
      </c>
      <c r="U2708">
        <v>0</v>
      </c>
      <c r="V2708">
        <v>0</v>
      </c>
      <c r="W2708">
        <v>40</v>
      </c>
      <c r="X2708">
        <v>400</v>
      </c>
      <c r="Z2708" t="str">
        <f>"Y"</f>
        <v>Y</v>
      </c>
      <c r="AA2708">
        <v>0</v>
      </c>
      <c r="AC2708">
        <v>0</v>
      </c>
      <c r="AE2708">
        <v>0</v>
      </c>
      <c r="AF2708">
        <v>0</v>
      </c>
      <c r="AG2708">
        <v>144.36000000000001</v>
      </c>
      <c r="AH2708">
        <v>0</v>
      </c>
      <c r="AI2708" s="2">
        <v>1443.6</v>
      </c>
      <c r="AJ2708">
        <v>400</v>
      </c>
      <c r="AK2708">
        <v>400</v>
      </c>
      <c r="AL2708" t="str">
        <f>"$"</f>
        <v>$</v>
      </c>
    </row>
    <row r="2709" spans="1:38" x14ac:dyDescent="0.3">
      <c r="A2709" t="str">
        <f>"SO23000361"</f>
        <v>SO23000361</v>
      </c>
      <c r="B2709" t="str">
        <f>"פמנית"</f>
        <v>פמנית</v>
      </c>
      <c r="C2709" t="str">
        <f>"בוצעה"</f>
        <v>בוצעה</v>
      </c>
      <c r="E2709" s="3">
        <v>45144</v>
      </c>
      <c r="F2709" s="3">
        <v>45144</v>
      </c>
      <c r="G2709" t="str">
        <f>"700065"</f>
        <v>700065</v>
      </c>
      <c r="H2709" t="str">
        <f>"אלתא מערכות בע""מ"</f>
        <v>אלתא מערכות בע"מ</v>
      </c>
      <c r="I2709" t="str">
        <f>"ערן שלו"</f>
        <v>ערן שלו</v>
      </c>
      <c r="J2709" t="str">
        <f>"PA1001831"</f>
        <v>PA1001831</v>
      </c>
      <c r="K2709" s="1" t="str">
        <f>"נצנץ אדום 261.120.70 WERMA"</f>
        <v>נצנץ אדום 261.120.70 WERMA</v>
      </c>
      <c r="L2709">
        <v>2</v>
      </c>
      <c r="M2709" t="str">
        <f>"PR23000560"</f>
        <v>PR23000560</v>
      </c>
      <c r="N2709" t="str">
        <f>"אספקה  חח LB PDB"</f>
        <v>אספקה  חח LB PDB</v>
      </c>
      <c r="O2709">
        <v>0</v>
      </c>
      <c r="P2709" t="str">
        <f>"$"</f>
        <v>$</v>
      </c>
      <c r="Q2709" t="str">
        <f>"070"</f>
        <v>070</v>
      </c>
      <c r="R2709" t="str">
        <f>"הזמנה פנימית"</f>
        <v>הזמנה פנימית</v>
      </c>
      <c r="S2709" t="str">
        <f>"034"</f>
        <v>034</v>
      </c>
      <c r="T2709" t="str">
        <f>"גנם הודיה"</f>
        <v>גנם הודיה</v>
      </c>
      <c r="U2709">
        <v>0</v>
      </c>
      <c r="V2709">
        <v>0</v>
      </c>
      <c r="W2709">
        <v>0</v>
      </c>
      <c r="X2709">
        <v>0</v>
      </c>
      <c r="Z2709" t="str">
        <f>"Y"</f>
        <v>Y</v>
      </c>
      <c r="AA2709">
        <v>0</v>
      </c>
      <c r="AC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 t="str">
        <f>"$"</f>
        <v>$</v>
      </c>
    </row>
    <row r="2710" spans="1:38" x14ac:dyDescent="0.3">
      <c r="A2710" t="str">
        <f>"SO23000363"</f>
        <v>SO23000363</v>
      </c>
      <c r="B2710" t="str">
        <f>"E000400307"</f>
        <v>E000400307</v>
      </c>
      <c r="C2710" t="str">
        <f>"לאישור הסוכן"</f>
        <v>לאישור הסוכן</v>
      </c>
      <c r="E2710" s="3">
        <v>45144</v>
      </c>
      <c r="F2710" s="3">
        <v>45316</v>
      </c>
      <c r="G2710" t="str">
        <f>"700065"</f>
        <v>700065</v>
      </c>
      <c r="H2710" t="str">
        <f>"אלתא מערכות בע""מ"</f>
        <v>אלתא מערכות בע"מ</v>
      </c>
      <c r="I2710" t="str">
        <f>"רחמים זרוק"</f>
        <v>רחמים זרוק</v>
      </c>
      <c r="J2710" t="str">
        <f>"OP-AR03784"</f>
        <v>OP-AR03784</v>
      </c>
      <c r="K2710" s="1" t="str">
        <f>"4061D864-001    HARNESS W103 - PDU FROM BATTERY"</f>
        <v>4061D864-001    HARNESS W103 - PDU FROM BATTERY</v>
      </c>
      <c r="L2710">
        <v>14</v>
      </c>
      <c r="M2710" t="str">
        <f>"PR23000555"</f>
        <v>PR23000555</v>
      </c>
      <c r="N2710" t="str">
        <f>"E000400307"</f>
        <v>E000400307</v>
      </c>
      <c r="O2710">
        <v>240.81</v>
      </c>
      <c r="P2710" t="str">
        <f>"$"</f>
        <v>$</v>
      </c>
      <c r="Q2710" t="str">
        <f>"117"</f>
        <v>117</v>
      </c>
      <c r="R2710" t="str">
        <f>"רתמות"</f>
        <v>רתמות</v>
      </c>
      <c r="S2710" t="str">
        <f>"040"</f>
        <v>040</v>
      </c>
      <c r="T2710" t="str">
        <f>"עמר ליגל"</f>
        <v>עמר ליגל</v>
      </c>
      <c r="U2710">
        <v>0</v>
      </c>
      <c r="V2710">
        <v>0</v>
      </c>
      <c r="W2710">
        <v>240.81</v>
      </c>
      <c r="X2710" s="2">
        <v>3371.34</v>
      </c>
      <c r="AA2710">
        <v>14</v>
      </c>
      <c r="AC2710">
        <v>0</v>
      </c>
      <c r="AE2710">
        <v>0</v>
      </c>
      <c r="AF2710">
        <v>0</v>
      </c>
      <c r="AG2710">
        <v>887.87</v>
      </c>
      <c r="AH2710">
        <v>0</v>
      </c>
      <c r="AI2710" s="2">
        <v>12430.13</v>
      </c>
      <c r="AJ2710" s="2">
        <v>3371.34</v>
      </c>
      <c r="AK2710" s="2">
        <v>3371.34</v>
      </c>
      <c r="AL2710" t="str">
        <f>"$"</f>
        <v>$</v>
      </c>
    </row>
    <row r="2711" spans="1:38" x14ac:dyDescent="0.3">
      <c r="A2711" t="str">
        <f>"SO23000363"</f>
        <v>SO23000363</v>
      </c>
      <c r="B2711" t="str">
        <f>"E000400307"</f>
        <v>E000400307</v>
      </c>
      <c r="C2711" t="str">
        <f>"לאישור הסוכן"</f>
        <v>לאישור הסוכן</v>
      </c>
      <c r="E2711" s="3">
        <v>45144</v>
      </c>
      <c r="F2711" s="3">
        <v>45316</v>
      </c>
      <c r="G2711" t="str">
        <f>"700065"</f>
        <v>700065</v>
      </c>
      <c r="H2711" t="str">
        <f>"אלתא מערכות בע""מ"</f>
        <v>אלתא מערכות בע"מ</v>
      </c>
      <c r="I2711" t="str">
        <f>"רחמים זרוק"</f>
        <v>רחמים זרוק</v>
      </c>
      <c r="J2711" t="str">
        <f>"OP-AR03785"</f>
        <v>OP-AR03785</v>
      </c>
      <c r="K2711" s="1" t="str">
        <f>"4061D868-001    HARNESS W105 - PDU FROM BATTERY"</f>
        <v>4061D868-001    HARNESS W105 - PDU FROM BATTERY</v>
      </c>
      <c r="L2711">
        <v>14</v>
      </c>
      <c r="M2711" t="str">
        <f>"PR23000555"</f>
        <v>PR23000555</v>
      </c>
      <c r="N2711" t="str">
        <f>"E000400307"</f>
        <v>E000400307</v>
      </c>
      <c r="O2711">
        <v>123.19</v>
      </c>
      <c r="P2711" t="str">
        <f>"$"</f>
        <v>$</v>
      </c>
      <c r="Q2711" t="str">
        <f>"117"</f>
        <v>117</v>
      </c>
      <c r="R2711" t="str">
        <f>"רתמות"</f>
        <v>רתמות</v>
      </c>
      <c r="S2711" t="str">
        <f>"040"</f>
        <v>040</v>
      </c>
      <c r="T2711" t="str">
        <f>"עמר ליגל"</f>
        <v>עמר ליגל</v>
      </c>
      <c r="U2711">
        <v>0</v>
      </c>
      <c r="V2711">
        <v>0</v>
      </c>
      <c r="W2711">
        <v>123.19</v>
      </c>
      <c r="X2711" s="2">
        <v>1724.66</v>
      </c>
      <c r="AA2711">
        <v>14</v>
      </c>
      <c r="AC2711">
        <v>0</v>
      </c>
      <c r="AE2711">
        <v>0</v>
      </c>
      <c r="AF2711">
        <v>0</v>
      </c>
      <c r="AG2711">
        <v>454.2</v>
      </c>
      <c r="AH2711">
        <v>0</v>
      </c>
      <c r="AI2711" s="2">
        <v>6358.82</v>
      </c>
      <c r="AJ2711" s="2">
        <v>1724.66</v>
      </c>
      <c r="AK2711" s="2">
        <v>1724.66</v>
      </c>
      <c r="AL2711" t="str">
        <f>"$"</f>
        <v>$</v>
      </c>
    </row>
    <row r="2712" spans="1:38" x14ac:dyDescent="0.3">
      <c r="A2712" t="str">
        <f>"SO23000363"</f>
        <v>SO23000363</v>
      </c>
      <c r="B2712" t="str">
        <f>"E000400307"</f>
        <v>E000400307</v>
      </c>
      <c r="C2712" t="str">
        <f>"לאישור הסוכן"</f>
        <v>לאישור הסוכן</v>
      </c>
      <c r="E2712" s="3">
        <v>45144</v>
      </c>
      <c r="F2712" s="3">
        <v>45316</v>
      </c>
      <c r="G2712" t="str">
        <f>"700065"</f>
        <v>700065</v>
      </c>
      <c r="H2712" t="str">
        <f>"אלתא מערכות בע""מ"</f>
        <v>אלתא מערכות בע"מ</v>
      </c>
      <c r="I2712" t="str">
        <f>"רחמים זרוק"</f>
        <v>רחמים זרוק</v>
      </c>
      <c r="J2712" t="str">
        <f>"OP-AR03786"</f>
        <v>OP-AR03786</v>
      </c>
      <c r="K2712" s="1" t="str">
        <f>"4061D860-001    NETWORK POWER 220V W101 CABLE ASSY"</f>
        <v>4061D860-001    NETWORK POWER 220V W101 CABLE ASSY</v>
      </c>
      <c r="L2712">
        <v>14</v>
      </c>
      <c r="M2712" t="str">
        <f>"PR23000555"</f>
        <v>PR23000555</v>
      </c>
      <c r="N2712" t="str">
        <f>"E000400307"</f>
        <v>E000400307</v>
      </c>
      <c r="O2712">
        <v>79.75</v>
      </c>
      <c r="P2712" t="str">
        <f>"$"</f>
        <v>$</v>
      </c>
      <c r="Q2712" t="str">
        <f>"117"</f>
        <v>117</v>
      </c>
      <c r="R2712" t="str">
        <f>"רתמות"</f>
        <v>רתמות</v>
      </c>
      <c r="S2712" t="str">
        <f>"040"</f>
        <v>040</v>
      </c>
      <c r="T2712" t="str">
        <f>"עמר ליגל"</f>
        <v>עמר ליגל</v>
      </c>
      <c r="U2712">
        <v>0</v>
      </c>
      <c r="V2712">
        <v>0</v>
      </c>
      <c r="W2712">
        <v>79.75</v>
      </c>
      <c r="X2712" s="2">
        <v>1116.5</v>
      </c>
      <c r="AA2712">
        <v>14</v>
      </c>
      <c r="AC2712">
        <v>0</v>
      </c>
      <c r="AE2712">
        <v>0</v>
      </c>
      <c r="AF2712">
        <v>0</v>
      </c>
      <c r="AG2712">
        <v>294.04000000000002</v>
      </c>
      <c r="AH2712">
        <v>0</v>
      </c>
      <c r="AI2712" s="2">
        <v>4116.54</v>
      </c>
      <c r="AJ2712" s="2">
        <v>1116.5</v>
      </c>
      <c r="AK2712" s="2">
        <v>1116.5</v>
      </c>
      <c r="AL2712" t="str">
        <f>"$"</f>
        <v>$</v>
      </c>
    </row>
    <row r="2713" spans="1:38" x14ac:dyDescent="0.3">
      <c r="A2713" t="str">
        <f>"SO23000363"</f>
        <v>SO23000363</v>
      </c>
      <c r="B2713" t="str">
        <f>"E000400307"</f>
        <v>E000400307</v>
      </c>
      <c r="C2713" t="str">
        <f>"לאישור הסוכן"</f>
        <v>לאישור הסוכן</v>
      </c>
      <c r="E2713" s="3">
        <v>45144</v>
      </c>
      <c r="F2713" s="3">
        <v>45316</v>
      </c>
      <c r="G2713" t="str">
        <f>"700065"</f>
        <v>700065</v>
      </c>
      <c r="H2713" t="str">
        <f>"אלתא מערכות בע""מ"</f>
        <v>אלתא מערכות בע"מ</v>
      </c>
      <c r="I2713" t="str">
        <f>"רחמים זרוק"</f>
        <v>רחמים זרוק</v>
      </c>
      <c r="J2713" t="str">
        <f>"OP-AR03787"</f>
        <v>OP-AR03787</v>
      </c>
      <c r="K2713" s="1" t="str">
        <f>"4061D866-001    BATTERY CHAINING W104 CABLE ASSY"</f>
        <v>4061D866-001    BATTERY CHAINING W104 CABLE ASSY</v>
      </c>
      <c r="L2713">
        <v>14</v>
      </c>
      <c r="M2713" t="str">
        <f>"PR23000555"</f>
        <v>PR23000555</v>
      </c>
      <c r="N2713" t="str">
        <f>"E000400307"</f>
        <v>E000400307</v>
      </c>
      <c r="O2713">
        <v>158.04</v>
      </c>
      <c r="P2713" t="str">
        <f>"$"</f>
        <v>$</v>
      </c>
      <c r="Q2713" t="str">
        <f>"117"</f>
        <v>117</v>
      </c>
      <c r="R2713" t="str">
        <f>"רתמות"</f>
        <v>רתמות</v>
      </c>
      <c r="S2713" t="str">
        <f>"040"</f>
        <v>040</v>
      </c>
      <c r="T2713" t="str">
        <f>"עמר ליגל"</f>
        <v>עמר ליגל</v>
      </c>
      <c r="U2713">
        <v>0</v>
      </c>
      <c r="V2713">
        <v>0</v>
      </c>
      <c r="W2713">
        <v>158.04</v>
      </c>
      <c r="X2713" s="2">
        <v>2212.56</v>
      </c>
      <c r="AA2713">
        <v>14</v>
      </c>
      <c r="AC2713">
        <v>0</v>
      </c>
      <c r="AE2713">
        <v>0</v>
      </c>
      <c r="AF2713">
        <v>0</v>
      </c>
      <c r="AG2713">
        <v>582.69000000000005</v>
      </c>
      <c r="AH2713">
        <v>0</v>
      </c>
      <c r="AI2713" s="2">
        <v>8157.71</v>
      </c>
      <c r="AJ2713" s="2">
        <v>2212.56</v>
      </c>
      <c r="AK2713" s="2">
        <v>2212.56</v>
      </c>
      <c r="AL2713" t="str">
        <f>"$"</f>
        <v>$</v>
      </c>
    </row>
    <row r="2714" spans="1:38" x14ac:dyDescent="0.3">
      <c r="A2714" t="str">
        <f>"SO23000363"</f>
        <v>SO23000363</v>
      </c>
      <c r="B2714" t="str">
        <f>"E000400307"</f>
        <v>E000400307</v>
      </c>
      <c r="C2714" t="str">
        <f>"לאישור הסוכן"</f>
        <v>לאישור הסוכן</v>
      </c>
      <c r="E2714" s="3">
        <v>45144</v>
      </c>
      <c r="F2714" s="3">
        <v>45316</v>
      </c>
      <c r="G2714" t="str">
        <f>"700065"</f>
        <v>700065</v>
      </c>
      <c r="H2714" t="str">
        <f>"אלתא מערכות בע""מ"</f>
        <v>אלתא מערכות בע"מ</v>
      </c>
      <c r="I2714" t="str">
        <f>"רחמים זרוק"</f>
        <v>רחמים זרוק</v>
      </c>
      <c r="J2714" t="str">
        <f>"OP-AR03788"</f>
        <v>OP-AR03788</v>
      </c>
      <c r="K2714" s="1" t="str">
        <f>"4061D870-001    HARNESS W106 - PRIMARY AND PEDESTAL POWE"</f>
        <v>4061D870-001    HARNESS W106 - PRIMARY AND PEDESTAL POWE</v>
      </c>
      <c r="L2714">
        <v>14</v>
      </c>
      <c r="M2714" t="str">
        <f>"PR23000555"</f>
        <v>PR23000555</v>
      </c>
      <c r="N2714" t="str">
        <f>"E000400307"</f>
        <v>E000400307</v>
      </c>
      <c r="O2714">
        <v>286.17</v>
      </c>
      <c r="P2714" t="str">
        <f>"$"</f>
        <v>$</v>
      </c>
      <c r="Q2714" t="str">
        <f>"117"</f>
        <v>117</v>
      </c>
      <c r="R2714" t="str">
        <f>"רתמות"</f>
        <v>רתמות</v>
      </c>
      <c r="S2714" t="str">
        <f>"040"</f>
        <v>040</v>
      </c>
      <c r="T2714" t="str">
        <f>"עמר ליגל"</f>
        <v>עמר ליגל</v>
      </c>
      <c r="U2714">
        <v>0</v>
      </c>
      <c r="V2714">
        <v>0</v>
      </c>
      <c r="W2714">
        <v>286.17</v>
      </c>
      <c r="X2714" s="2">
        <v>4006.38</v>
      </c>
      <c r="AA2714">
        <v>14</v>
      </c>
      <c r="AC2714">
        <v>0</v>
      </c>
      <c r="AE2714">
        <v>0</v>
      </c>
      <c r="AF2714">
        <v>0</v>
      </c>
      <c r="AG2714" s="2">
        <v>1055.1099999999999</v>
      </c>
      <c r="AH2714">
        <v>0</v>
      </c>
      <c r="AI2714" s="2">
        <v>14771.52</v>
      </c>
      <c r="AJ2714" s="2">
        <v>4006.38</v>
      </c>
      <c r="AK2714" s="2">
        <v>4006.38</v>
      </c>
      <c r="AL2714" t="str">
        <f>"$"</f>
        <v>$</v>
      </c>
    </row>
    <row r="2715" spans="1:38" x14ac:dyDescent="0.3">
      <c r="A2715" t="str">
        <f>"SO23000363"</f>
        <v>SO23000363</v>
      </c>
      <c r="B2715" t="str">
        <f>"E000400307"</f>
        <v>E000400307</v>
      </c>
      <c r="C2715" t="str">
        <f>"לאישור הסוכן"</f>
        <v>לאישור הסוכן</v>
      </c>
      <c r="E2715" s="3">
        <v>45144</v>
      </c>
      <c r="F2715" s="3">
        <v>45316</v>
      </c>
      <c r="G2715" t="str">
        <f>"700065"</f>
        <v>700065</v>
      </c>
      <c r="H2715" t="str">
        <f>"אלתא מערכות בע""מ"</f>
        <v>אלתא מערכות בע"מ</v>
      </c>
      <c r="I2715" t="str">
        <f>"רחמים זרוק"</f>
        <v>רחמים זרוק</v>
      </c>
      <c r="J2715" t="str">
        <f>"OP-AR03789"</f>
        <v>OP-AR03789</v>
      </c>
      <c r="K2715" s="1" t="str">
        <f>"4061D872-001    GENERATOR POWER 220V W107 CABLE ASSY"</f>
        <v>4061D872-001    GENERATOR POWER 220V W107 CABLE ASSY</v>
      </c>
      <c r="L2715">
        <v>14</v>
      </c>
      <c r="M2715" t="str">
        <f>"PR23000555"</f>
        <v>PR23000555</v>
      </c>
      <c r="N2715" t="str">
        <f>"E000400307"</f>
        <v>E000400307</v>
      </c>
      <c r="O2715">
        <v>241.44</v>
      </c>
      <c r="P2715" t="str">
        <f>"$"</f>
        <v>$</v>
      </c>
      <c r="Q2715" t="str">
        <f>"117"</f>
        <v>117</v>
      </c>
      <c r="R2715" t="str">
        <f>"רתמות"</f>
        <v>רתמות</v>
      </c>
      <c r="S2715" t="str">
        <f>"040"</f>
        <v>040</v>
      </c>
      <c r="T2715" t="str">
        <f>"עמר ליגל"</f>
        <v>עמר ליגל</v>
      </c>
      <c r="U2715">
        <v>0</v>
      </c>
      <c r="V2715">
        <v>0</v>
      </c>
      <c r="W2715">
        <v>241.44</v>
      </c>
      <c r="X2715" s="2">
        <v>3380.16</v>
      </c>
      <c r="AA2715">
        <v>14</v>
      </c>
      <c r="AC2715">
        <v>0</v>
      </c>
      <c r="AE2715">
        <v>0</v>
      </c>
      <c r="AF2715">
        <v>0</v>
      </c>
      <c r="AG2715">
        <v>890.19</v>
      </c>
      <c r="AH2715">
        <v>0</v>
      </c>
      <c r="AI2715" s="2">
        <v>12462.65</v>
      </c>
      <c r="AJ2715" s="2">
        <v>3380.16</v>
      </c>
      <c r="AK2715" s="2">
        <v>3380.16</v>
      </c>
      <c r="AL2715" t="str">
        <f>"$"</f>
        <v>$</v>
      </c>
    </row>
    <row r="2716" spans="1:38" x14ac:dyDescent="0.3">
      <c r="A2716" t="str">
        <f>"SO23000363"</f>
        <v>SO23000363</v>
      </c>
      <c r="B2716" t="str">
        <f>"E000400307"</f>
        <v>E000400307</v>
      </c>
      <c r="C2716" t="str">
        <f>"לאישור הסוכן"</f>
        <v>לאישור הסוכן</v>
      </c>
      <c r="E2716" s="3">
        <v>45144</v>
      </c>
      <c r="F2716" s="3">
        <v>45316</v>
      </c>
      <c r="G2716" t="str">
        <f>"700065"</f>
        <v>700065</v>
      </c>
      <c r="H2716" t="str">
        <f>"אלתא מערכות בע""מ"</f>
        <v>אלתא מערכות בע"מ</v>
      </c>
      <c r="I2716" t="str">
        <f>"רחמים זרוק"</f>
        <v>רחמים זרוק</v>
      </c>
      <c r="J2716" t="str">
        <f>"OP-AR03790"</f>
        <v>OP-AR03790</v>
      </c>
      <c r="K2716" s="1" t="str">
        <f>"4061D874-001    HARNESS W108 - DLIU PDU M and C"</f>
        <v>4061D874-001    HARNESS W108 - DLIU PDU M and C</v>
      </c>
      <c r="L2716">
        <v>14</v>
      </c>
      <c r="M2716" t="str">
        <f>"PR23000555"</f>
        <v>PR23000555</v>
      </c>
      <c r="N2716" t="str">
        <f>"E000400307"</f>
        <v>E000400307</v>
      </c>
      <c r="O2716">
        <v>394.54</v>
      </c>
      <c r="P2716" t="str">
        <f>"$"</f>
        <v>$</v>
      </c>
      <c r="Q2716" t="str">
        <f>"117"</f>
        <v>117</v>
      </c>
      <c r="R2716" t="str">
        <f>"רתמות"</f>
        <v>רתמות</v>
      </c>
      <c r="S2716" t="str">
        <f>"040"</f>
        <v>040</v>
      </c>
      <c r="T2716" t="str">
        <f>"עמר ליגל"</f>
        <v>עמר ליגל</v>
      </c>
      <c r="U2716">
        <v>0</v>
      </c>
      <c r="V2716">
        <v>0</v>
      </c>
      <c r="W2716">
        <v>394.54</v>
      </c>
      <c r="X2716" s="2">
        <v>5523.56</v>
      </c>
      <c r="AA2716">
        <v>14</v>
      </c>
      <c r="AC2716">
        <v>0</v>
      </c>
      <c r="AE2716">
        <v>0</v>
      </c>
      <c r="AF2716">
        <v>0</v>
      </c>
      <c r="AG2716" s="2">
        <v>1454.67</v>
      </c>
      <c r="AH2716">
        <v>0</v>
      </c>
      <c r="AI2716" s="2">
        <v>20365.37</v>
      </c>
      <c r="AJ2716" s="2">
        <v>5523.56</v>
      </c>
      <c r="AK2716" s="2">
        <v>5523.56</v>
      </c>
      <c r="AL2716" t="str">
        <f>"$"</f>
        <v>$</v>
      </c>
    </row>
    <row r="2717" spans="1:38" x14ac:dyDescent="0.3">
      <c r="A2717" t="str">
        <f>"SO23000363"</f>
        <v>SO23000363</v>
      </c>
      <c r="B2717" t="str">
        <f>"E000400307"</f>
        <v>E000400307</v>
      </c>
      <c r="C2717" t="str">
        <f>"לאישור הסוכן"</f>
        <v>לאישור הסוכן</v>
      </c>
      <c r="E2717" s="3">
        <v>45144</v>
      </c>
      <c r="F2717" s="3">
        <v>45316</v>
      </c>
      <c r="G2717" t="str">
        <f>"700065"</f>
        <v>700065</v>
      </c>
      <c r="H2717" t="str">
        <f>"אלתא מערכות בע""מ"</f>
        <v>אלתא מערכות בע"מ</v>
      </c>
      <c r="I2717" t="str">
        <f>"רחמים זרוק"</f>
        <v>רחמים זרוק</v>
      </c>
      <c r="J2717" t="str">
        <f>"OP-AR03791"</f>
        <v>OP-AR03791</v>
      </c>
      <c r="K2717" s="1" t="str">
        <f>"4061D876-001    HARNESS W109 - DLIU and NC2HUB POWER"</f>
        <v>4061D876-001    HARNESS W109 - DLIU and NC2HUB POWER</v>
      </c>
      <c r="L2717">
        <v>14</v>
      </c>
      <c r="M2717" t="str">
        <f>"PR23000555"</f>
        <v>PR23000555</v>
      </c>
      <c r="N2717" t="str">
        <f>"E000400307"</f>
        <v>E000400307</v>
      </c>
      <c r="O2717">
        <v>409.84</v>
      </c>
      <c r="P2717" t="str">
        <f>"$"</f>
        <v>$</v>
      </c>
      <c r="Q2717" t="str">
        <f>"117"</f>
        <v>117</v>
      </c>
      <c r="R2717" t="str">
        <f>"רתמות"</f>
        <v>רתמות</v>
      </c>
      <c r="S2717" t="str">
        <f>"040"</f>
        <v>040</v>
      </c>
      <c r="T2717" t="str">
        <f>"עמר ליגל"</f>
        <v>עמר ליגל</v>
      </c>
      <c r="U2717">
        <v>0</v>
      </c>
      <c r="V2717">
        <v>0</v>
      </c>
      <c r="W2717">
        <v>409.84</v>
      </c>
      <c r="X2717" s="2">
        <v>5737.76</v>
      </c>
      <c r="AA2717">
        <v>14</v>
      </c>
      <c r="AC2717">
        <v>0</v>
      </c>
      <c r="AE2717">
        <v>0</v>
      </c>
      <c r="AF2717">
        <v>0</v>
      </c>
      <c r="AG2717" s="2">
        <v>1511.08</v>
      </c>
      <c r="AH2717">
        <v>0</v>
      </c>
      <c r="AI2717" s="2">
        <v>21155.119999999999</v>
      </c>
      <c r="AJ2717" s="2">
        <v>5737.76</v>
      </c>
      <c r="AK2717" s="2">
        <v>5737.76</v>
      </c>
      <c r="AL2717" t="str">
        <f>"$"</f>
        <v>$</v>
      </c>
    </row>
    <row r="2718" spans="1:38" x14ac:dyDescent="0.3">
      <c r="A2718" t="str">
        <f>"SO23000363"</f>
        <v>SO23000363</v>
      </c>
      <c r="B2718" t="str">
        <f>"E000400307"</f>
        <v>E000400307</v>
      </c>
      <c r="C2718" t="str">
        <f>"לאישור הסוכן"</f>
        <v>לאישור הסוכן</v>
      </c>
      <c r="E2718" s="3">
        <v>45144</v>
      </c>
      <c r="F2718" s="3">
        <v>45316</v>
      </c>
      <c r="G2718" t="str">
        <f>"700065"</f>
        <v>700065</v>
      </c>
      <c r="H2718" t="str">
        <f>"אלתא מערכות בע""מ"</f>
        <v>אלתא מערכות בע"מ</v>
      </c>
      <c r="I2718" t="str">
        <f>"רחמים זרוק"</f>
        <v>רחמים זרוק</v>
      </c>
      <c r="J2718" t="str">
        <f>"OP-AR03792"</f>
        <v>OP-AR03792</v>
      </c>
      <c r="K2718" s="1" t="str">
        <f>"4061D878-001    HARNESS W110 - BFEA and HPAFE , FAN POWE"</f>
        <v>4061D878-001    HARNESS W110 - BFEA and HPAFE , FAN POWE</v>
      </c>
      <c r="L2718">
        <v>14</v>
      </c>
      <c r="M2718" t="str">
        <f>"PR23000555"</f>
        <v>PR23000555</v>
      </c>
      <c r="N2718" t="str">
        <f>"E000400307"</f>
        <v>E000400307</v>
      </c>
      <c r="O2718" s="2">
        <v>1011.15</v>
      </c>
      <c r="P2718" t="str">
        <f>"$"</f>
        <v>$</v>
      </c>
      <c r="Q2718" t="str">
        <f>"117"</f>
        <v>117</v>
      </c>
      <c r="R2718" t="str">
        <f>"רתמות"</f>
        <v>רתמות</v>
      </c>
      <c r="S2718" t="str">
        <f>"040"</f>
        <v>040</v>
      </c>
      <c r="T2718" t="str">
        <f>"עמר ליגל"</f>
        <v>עמר ליגל</v>
      </c>
      <c r="U2718">
        <v>0</v>
      </c>
      <c r="V2718">
        <v>0</v>
      </c>
      <c r="W2718" s="2">
        <v>1011.15</v>
      </c>
      <c r="X2718" s="2">
        <v>14156.1</v>
      </c>
      <c r="AA2718">
        <v>14</v>
      </c>
      <c r="AC2718">
        <v>0</v>
      </c>
      <c r="AE2718">
        <v>0</v>
      </c>
      <c r="AF2718">
        <v>0</v>
      </c>
      <c r="AG2718" s="2">
        <v>3728.11</v>
      </c>
      <c r="AH2718">
        <v>0</v>
      </c>
      <c r="AI2718" s="2">
        <v>52193.54</v>
      </c>
      <c r="AJ2718" s="2">
        <v>14156.1</v>
      </c>
      <c r="AK2718" s="2">
        <v>14156.1</v>
      </c>
      <c r="AL2718" t="str">
        <f>"$"</f>
        <v>$</v>
      </c>
    </row>
    <row r="2719" spans="1:38" x14ac:dyDescent="0.3">
      <c r="A2719" t="str">
        <f>"SO23000363"</f>
        <v>SO23000363</v>
      </c>
      <c r="B2719" t="str">
        <f>"E000400307"</f>
        <v>E000400307</v>
      </c>
      <c r="C2719" t="str">
        <f>"לאישור הסוכן"</f>
        <v>לאישור הסוכן</v>
      </c>
      <c r="E2719" s="3">
        <v>45144</v>
      </c>
      <c r="F2719" s="3">
        <v>45316</v>
      </c>
      <c r="G2719" t="str">
        <f>"700065"</f>
        <v>700065</v>
      </c>
      <c r="H2719" t="str">
        <f>"אלתא מערכות בע""מ"</f>
        <v>אלתא מערכות בע"מ</v>
      </c>
      <c r="I2719" t="str">
        <f>"רחמים זרוק"</f>
        <v>רחמים זרוק</v>
      </c>
      <c r="J2719" t="str">
        <f>"OP-AR03793"</f>
        <v>OP-AR03793</v>
      </c>
      <c r="K2719" s="1" t="str">
        <f>"4061D880-001    HARNESS W111 - DATA M and C KEYLOAD"</f>
        <v>4061D880-001    HARNESS W111 - DATA M and C KEYLOAD</v>
      </c>
      <c r="L2719">
        <v>14</v>
      </c>
      <c r="M2719" t="str">
        <f>"PR23000555"</f>
        <v>PR23000555</v>
      </c>
      <c r="N2719" t="str">
        <f>"E000400307"</f>
        <v>E000400307</v>
      </c>
      <c r="O2719">
        <v>889.1</v>
      </c>
      <c r="P2719" t="str">
        <f>"$"</f>
        <v>$</v>
      </c>
      <c r="Q2719" t="str">
        <f>"117"</f>
        <v>117</v>
      </c>
      <c r="R2719" t="str">
        <f>"רתמות"</f>
        <v>רתמות</v>
      </c>
      <c r="S2719" t="str">
        <f>"040"</f>
        <v>040</v>
      </c>
      <c r="T2719" t="str">
        <f>"עמר ליגל"</f>
        <v>עמר ליגל</v>
      </c>
      <c r="U2719">
        <v>0</v>
      </c>
      <c r="V2719">
        <v>0</v>
      </c>
      <c r="W2719">
        <v>889.1</v>
      </c>
      <c r="X2719" s="2">
        <v>12447.4</v>
      </c>
      <c r="AA2719">
        <v>14</v>
      </c>
      <c r="AC2719">
        <v>0</v>
      </c>
      <c r="AE2719">
        <v>0</v>
      </c>
      <c r="AF2719">
        <v>0</v>
      </c>
      <c r="AG2719" s="2">
        <v>3278.11</v>
      </c>
      <c r="AH2719">
        <v>0</v>
      </c>
      <c r="AI2719" s="2">
        <v>45893.56</v>
      </c>
      <c r="AJ2719" s="2">
        <v>12447.4</v>
      </c>
      <c r="AK2719" s="2">
        <v>12447.4</v>
      </c>
      <c r="AL2719" t="str">
        <f>"$"</f>
        <v>$</v>
      </c>
    </row>
    <row r="2720" spans="1:38" x14ac:dyDescent="0.3">
      <c r="A2720" t="str">
        <f>"SO23000363"</f>
        <v>SO23000363</v>
      </c>
      <c r="B2720" t="str">
        <f>"E000400307"</f>
        <v>E000400307</v>
      </c>
      <c r="C2720" t="str">
        <f>"לאישור הסוכן"</f>
        <v>לאישור הסוכן</v>
      </c>
      <c r="E2720" s="3">
        <v>45144</v>
      </c>
      <c r="F2720" s="3">
        <v>45316</v>
      </c>
      <c r="G2720" t="str">
        <f>"700065"</f>
        <v>700065</v>
      </c>
      <c r="H2720" t="str">
        <f>"אלתא מערכות בע""מ"</f>
        <v>אלתא מערכות בע"מ</v>
      </c>
      <c r="I2720" t="str">
        <f>"רחמים זרוק"</f>
        <v>רחמים זרוק</v>
      </c>
      <c r="J2720" t="str">
        <f>"OP-AR03794"</f>
        <v>OP-AR03794</v>
      </c>
      <c r="K2720" s="1" t="str">
        <f>"4061D882-001    HARNESS W112 - PEDESTAL MAINT TEST"</f>
        <v>4061D882-001    HARNESS W112 - PEDESTAL MAINT TEST</v>
      </c>
      <c r="L2720">
        <v>14</v>
      </c>
      <c r="M2720" t="str">
        <f>"PR23000555"</f>
        <v>PR23000555</v>
      </c>
      <c r="N2720" t="str">
        <f>"E000400307"</f>
        <v>E000400307</v>
      </c>
      <c r="O2720" s="2">
        <v>1497.59</v>
      </c>
      <c r="P2720" t="str">
        <f>"$"</f>
        <v>$</v>
      </c>
      <c r="Q2720" t="str">
        <f>"117"</f>
        <v>117</v>
      </c>
      <c r="R2720" t="str">
        <f>"רתמות"</f>
        <v>רתמות</v>
      </c>
      <c r="S2720" t="str">
        <f>"040"</f>
        <v>040</v>
      </c>
      <c r="T2720" t="str">
        <f>"עמר ליגל"</f>
        <v>עמר ליגל</v>
      </c>
      <c r="U2720">
        <v>0</v>
      </c>
      <c r="V2720">
        <v>0</v>
      </c>
      <c r="W2720" s="2">
        <v>1497.59</v>
      </c>
      <c r="X2720" s="2">
        <v>20966.259999999998</v>
      </c>
      <c r="AA2720">
        <v>14</v>
      </c>
      <c r="AC2720">
        <v>0</v>
      </c>
      <c r="AE2720">
        <v>0</v>
      </c>
      <c r="AF2720">
        <v>0</v>
      </c>
      <c r="AG2720" s="2">
        <v>5521.61</v>
      </c>
      <c r="AH2720">
        <v>0</v>
      </c>
      <c r="AI2720" s="2">
        <v>77302.600000000006</v>
      </c>
      <c r="AJ2720" s="2">
        <v>20966.259999999998</v>
      </c>
      <c r="AK2720" s="2">
        <v>20966.259999999998</v>
      </c>
      <c r="AL2720" t="str">
        <f>"$"</f>
        <v>$</v>
      </c>
    </row>
    <row r="2721" spans="1:38" x14ac:dyDescent="0.3">
      <c r="A2721" t="str">
        <f>"SO23000363"</f>
        <v>SO23000363</v>
      </c>
      <c r="B2721" t="str">
        <f>"E000400307"</f>
        <v>E000400307</v>
      </c>
      <c r="C2721" t="str">
        <f>"לאישור הסוכן"</f>
        <v>לאישור הסוכן</v>
      </c>
      <c r="E2721" s="3">
        <v>45144</v>
      </c>
      <c r="F2721" s="3">
        <v>45316</v>
      </c>
      <c r="G2721" t="str">
        <f>"700065"</f>
        <v>700065</v>
      </c>
      <c r="H2721" t="str">
        <f>"אלתא מערכות בע""מ"</f>
        <v>אלתא מערכות בע"מ</v>
      </c>
      <c r="I2721" t="str">
        <f>"רחמים זרוק"</f>
        <v>רחמים זרוק</v>
      </c>
      <c r="J2721" t="str">
        <f>"OP-AR03795"</f>
        <v>OP-AR03795</v>
      </c>
      <c r="K2721" s="1" t="str">
        <f>"4061D884-001    HARNESS W113 - PFEA POWER"</f>
        <v>4061D884-001    HARNESS W113 - PFEA POWER</v>
      </c>
      <c r="L2721">
        <v>14</v>
      </c>
      <c r="M2721" t="str">
        <f>"PR23000555"</f>
        <v>PR23000555</v>
      </c>
      <c r="N2721" t="str">
        <f>"E000400307"</f>
        <v>E000400307</v>
      </c>
      <c r="O2721">
        <v>288.52999999999997</v>
      </c>
      <c r="P2721" t="str">
        <f>"$"</f>
        <v>$</v>
      </c>
      <c r="Q2721" t="str">
        <f>"117"</f>
        <v>117</v>
      </c>
      <c r="R2721" t="str">
        <f>"רתמות"</f>
        <v>רתמות</v>
      </c>
      <c r="S2721" t="str">
        <f>"040"</f>
        <v>040</v>
      </c>
      <c r="T2721" t="str">
        <f>"עמר ליגל"</f>
        <v>עמר ליגל</v>
      </c>
      <c r="U2721">
        <v>0</v>
      </c>
      <c r="V2721">
        <v>0</v>
      </c>
      <c r="W2721">
        <v>288.52999999999997</v>
      </c>
      <c r="X2721" s="2">
        <v>4039.42</v>
      </c>
      <c r="AA2721">
        <v>14</v>
      </c>
      <c r="AC2721">
        <v>0</v>
      </c>
      <c r="AE2721">
        <v>0</v>
      </c>
      <c r="AF2721">
        <v>0</v>
      </c>
      <c r="AG2721" s="2">
        <v>1063.81</v>
      </c>
      <c r="AH2721">
        <v>0</v>
      </c>
      <c r="AI2721" s="2">
        <v>14893.34</v>
      </c>
      <c r="AJ2721" s="2">
        <v>4039.42</v>
      </c>
      <c r="AK2721" s="2">
        <v>4039.42</v>
      </c>
      <c r="AL2721" t="str">
        <f>"$"</f>
        <v>$</v>
      </c>
    </row>
    <row r="2722" spans="1:38" x14ac:dyDescent="0.3">
      <c r="A2722" t="str">
        <f>"SO23000363"</f>
        <v>SO23000363</v>
      </c>
      <c r="B2722" t="str">
        <f>"E000400307"</f>
        <v>E000400307</v>
      </c>
      <c r="C2722" t="str">
        <f>"לאישור הסוכן"</f>
        <v>לאישור הסוכן</v>
      </c>
      <c r="E2722" s="3">
        <v>45144</v>
      </c>
      <c r="F2722" s="3">
        <v>45316</v>
      </c>
      <c r="G2722" t="str">
        <f>"700065"</f>
        <v>700065</v>
      </c>
      <c r="H2722" t="str">
        <f>"אלתא מערכות בע""מ"</f>
        <v>אלתא מערכות בע"מ</v>
      </c>
      <c r="I2722" t="str">
        <f>"רחמים זרוק"</f>
        <v>רחמים זרוק</v>
      </c>
      <c r="J2722" t="str">
        <f>"OP-AR03796"</f>
        <v>OP-AR03796</v>
      </c>
      <c r="K2722" s="1" t="str">
        <f>"4061D886-001    HARNESS W114 - PFEA PCM AAU"</f>
        <v>4061D886-001    HARNESS W114 - PFEA PCM AAU</v>
      </c>
      <c r="L2722">
        <v>14</v>
      </c>
      <c r="M2722" t="str">
        <f>"PR23000555"</f>
        <v>PR23000555</v>
      </c>
      <c r="N2722" t="str">
        <f>"E000400307"</f>
        <v>E000400307</v>
      </c>
      <c r="O2722" s="2">
        <v>1394.51</v>
      </c>
      <c r="P2722" t="str">
        <f>"$"</f>
        <v>$</v>
      </c>
      <c r="Q2722" t="str">
        <f>"117"</f>
        <v>117</v>
      </c>
      <c r="R2722" t="str">
        <f>"רתמות"</f>
        <v>רתמות</v>
      </c>
      <c r="S2722" t="str">
        <f>"040"</f>
        <v>040</v>
      </c>
      <c r="T2722" t="str">
        <f>"עמר ליגל"</f>
        <v>עמר ליגל</v>
      </c>
      <c r="U2722">
        <v>0</v>
      </c>
      <c r="V2722">
        <v>0</v>
      </c>
      <c r="W2722" s="2">
        <v>1394.51</v>
      </c>
      <c r="X2722" s="2">
        <v>19523.14</v>
      </c>
      <c r="AA2722">
        <v>14</v>
      </c>
      <c r="AC2722">
        <v>0</v>
      </c>
      <c r="AE2722">
        <v>0</v>
      </c>
      <c r="AF2722">
        <v>0</v>
      </c>
      <c r="AG2722" s="2">
        <v>5141.5600000000004</v>
      </c>
      <c r="AH2722">
        <v>0</v>
      </c>
      <c r="AI2722" s="2">
        <v>71981.820000000007</v>
      </c>
      <c r="AJ2722" s="2">
        <v>19523.14</v>
      </c>
      <c r="AK2722" s="2">
        <v>19523.14</v>
      </c>
      <c r="AL2722" t="str">
        <f>"$"</f>
        <v>$</v>
      </c>
    </row>
    <row r="2723" spans="1:38" x14ac:dyDescent="0.3">
      <c r="A2723" t="str">
        <f>"SO23000363"</f>
        <v>SO23000363</v>
      </c>
      <c r="B2723" t="str">
        <f>"E000400307"</f>
        <v>E000400307</v>
      </c>
      <c r="C2723" t="str">
        <f>"לאישור הסוכן"</f>
        <v>לאישור הסוכן</v>
      </c>
      <c r="E2723" s="3">
        <v>45144</v>
      </c>
      <c r="F2723" s="3">
        <v>45316</v>
      </c>
      <c r="G2723" t="str">
        <f>"700065"</f>
        <v>700065</v>
      </c>
      <c r="H2723" t="str">
        <f>"אלתא מערכות בע""מ"</f>
        <v>אלתא מערכות בע"מ</v>
      </c>
      <c r="I2723" t="str">
        <f>"רחמים זרוק"</f>
        <v>רחמים זרוק</v>
      </c>
      <c r="J2723" t="str">
        <f>"OP-AR03797"</f>
        <v>OP-AR03797</v>
      </c>
      <c r="K2723" s="1" t="str">
        <f>"4061D892-001    GENERATOR MON and CONTROL W117 CABLE ASS"</f>
        <v>4061D892-001    GENERATOR MON and CONTROL W117 CABLE ASS</v>
      </c>
      <c r="L2723">
        <v>14</v>
      </c>
      <c r="M2723" t="str">
        <f>"PR23000555"</f>
        <v>PR23000555</v>
      </c>
      <c r="N2723" t="str">
        <f>"E000400307"</f>
        <v>E000400307</v>
      </c>
      <c r="O2723">
        <v>295.18</v>
      </c>
      <c r="P2723" t="str">
        <f>"$"</f>
        <v>$</v>
      </c>
      <c r="Q2723" t="str">
        <f>"117"</f>
        <v>117</v>
      </c>
      <c r="R2723" t="str">
        <f>"רתמות"</f>
        <v>רתמות</v>
      </c>
      <c r="S2723" t="str">
        <f>"040"</f>
        <v>040</v>
      </c>
      <c r="T2723" t="str">
        <f>"עמר ליגל"</f>
        <v>עמר ליגל</v>
      </c>
      <c r="U2723">
        <v>0</v>
      </c>
      <c r="V2723">
        <v>0</v>
      </c>
      <c r="W2723">
        <v>295.18</v>
      </c>
      <c r="X2723" s="2">
        <v>4132.5200000000004</v>
      </c>
      <c r="AA2723">
        <v>14</v>
      </c>
      <c r="AC2723">
        <v>0</v>
      </c>
      <c r="AE2723">
        <v>0</v>
      </c>
      <c r="AF2723">
        <v>0</v>
      </c>
      <c r="AG2723" s="2">
        <v>1088.33</v>
      </c>
      <c r="AH2723">
        <v>0</v>
      </c>
      <c r="AI2723" s="2">
        <v>15236.6</v>
      </c>
      <c r="AJ2723" s="2">
        <v>4132.5200000000004</v>
      </c>
      <c r="AK2723" s="2">
        <v>4132.5200000000004</v>
      </c>
      <c r="AL2723" t="str">
        <f>"$"</f>
        <v>$</v>
      </c>
    </row>
    <row r="2724" spans="1:38" x14ac:dyDescent="0.3">
      <c r="A2724" t="str">
        <f>"SO23000363"</f>
        <v>SO23000363</v>
      </c>
      <c r="B2724" t="str">
        <f>"E000400307"</f>
        <v>E000400307</v>
      </c>
      <c r="C2724" t="str">
        <f>"לאישור הסוכן"</f>
        <v>לאישור הסוכן</v>
      </c>
      <c r="E2724" s="3">
        <v>45144</v>
      </c>
      <c r="F2724" s="3">
        <v>45316</v>
      </c>
      <c r="G2724" t="str">
        <f>"700065"</f>
        <v>700065</v>
      </c>
      <c r="H2724" t="str">
        <f>"אלתא מערכות בע""מ"</f>
        <v>אלתא מערכות בע"מ</v>
      </c>
      <c r="I2724" t="str">
        <f>"רחמים זרוק"</f>
        <v>רחמים זרוק</v>
      </c>
      <c r="J2724" t="str">
        <f>"OP-AR03798"</f>
        <v>OP-AR03798</v>
      </c>
      <c r="K2724" s="1" t="str">
        <f>"4061D894-001    SERVICE LAMP POWER W118 CABLE ASSY"</f>
        <v>4061D894-001    SERVICE LAMP POWER W118 CABLE ASSY</v>
      </c>
      <c r="L2724">
        <v>14</v>
      </c>
      <c r="M2724" t="str">
        <f>"PR23000555"</f>
        <v>PR23000555</v>
      </c>
      <c r="N2724" t="str">
        <f>"E000400307"</f>
        <v>E000400307</v>
      </c>
      <c r="O2724">
        <v>287.77999999999997</v>
      </c>
      <c r="P2724" t="str">
        <f>"$"</f>
        <v>$</v>
      </c>
      <c r="Q2724" t="str">
        <f>"117"</f>
        <v>117</v>
      </c>
      <c r="R2724" t="str">
        <f>"רתמות"</f>
        <v>רתמות</v>
      </c>
      <c r="S2724" t="str">
        <f>"040"</f>
        <v>040</v>
      </c>
      <c r="T2724" t="str">
        <f>"עמר ליגל"</f>
        <v>עמר ליגל</v>
      </c>
      <c r="U2724">
        <v>0</v>
      </c>
      <c r="V2724">
        <v>0</v>
      </c>
      <c r="W2724">
        <v>287.77999999999997</v>
      </c>
      <c r="X2724" s="2">
        <v>4028.92</v>
      </c>
      <c r="AA2724">
        <v>14</v>
      </c>
      <c r="AC2724">
        <v>0</v>
      </c>
      <c r="AE2724">
        <v>0</v>
      </c>
      <c r="AF2724">
        <v>0</v>
      </c>
      <c r="AG2724" s="2">
        <v>1061.04</v>
      </c>
      <c r="AH2724">
        <v>0</v>
      </c>
      <c r="AI2724" s="2">
        <v>14854.63</v>
      </c>
      <c r="AJ2724" s="2">
        <v>4028.92</v>
      </c>
      <c r="AK2724" s="2">
        <v>4028.92</v>
      </c>
      <c r="AL2724" t="str">
        <f>"$"</f>
        <v>$</v>
      </c>
    </row>
    <row r="2725" spans="1:38" x14ac:dyDescent="0.3">
      <c r="A2725" t="str">
        <f>"SO23000363"</f>
        <v>SO23000363</v>
      </c>
      <c r="B2725" t="str">
        <f>"E000400307"</f>
        <v>E000400307</v>
      </c>
      <c r="C2725" t="str">
        <f>"לאישור הסוכן"</f>
        <v>לאישור הסוכן</v>
      </c>
      <c r="E2725" s="3">
        <v>45144</v>
      </c>
      <c r="F2725" s="3">
        <v>45316</v>
      </c>
      <c r="G2725" t="str">
        <f>"700065"</f>
        <v>700065</v>
      </c>
      <c r="H2725" t="str">
        <f>"אלתא מערכות בע""מ"</f>
        <v>אלתא מערכות בע"מ</v>
      </c>
      <c r="I2725" t="str">
        <f>"רחמים זרוק"</f>
        <v>רחמים זרוק</v>
      </c>
      <c r="J2725" t="str">
        <f>"OP-AR03799"</f>
        <v>OP-AR03799</v>
      </c>
      <c r="K2725" s="1" t="str">
        <f>"4061D896-001    GPFEA DIR ANTENNA W119 CABLE ASSY"</f>
        <v>4061D896-001    GPFEA DIR ANTENNA W119 CABLE ASSY</v>
      </c>
      <c r="L2725">
        <v>14</v>
      </c>
      <c r="M2725" t="str">
        <f>"PR23000555"</f>
        <v>PR23000555</v>
      </c>
      <c r="N2725" t="str">
        <f>"E000400307"</f>
        <v>E000400307</v>
      </c>
      <c r="O2725">
        <v>603.79999999999995</v>
      </c>
      <c r="P2725" t="str">
        <f>"$"</f>
        <v>$</v>
      </c>
      <c r="Q2725" t="str">
        <f>"117"</f>
        <v>117</v>
      </c>
      <c r="R2725" t="str">
        <f>"רתמות"</f>
        <v>רתמות</v>
      </c>
      <c r="S2725" t="str">
        <f>"040"</f>
        <v>040</v>
      </c>
      <c r="T2725" t="str">
        <f>"עמר ליגל"</f>
        <v>עמר ליגל</v>
      </c>
      <c r="U2725">
        <v>0</v>
      </c>
      <c r="V2725">
        <v>0</v>
      </c>
      <c r="W2725">
        <v>603.79999999999995</v>
      </c>
      <c r="X2725" s="2">
        <v>8453.2000000000007</v>
      </c>
      <c r="AA2725">
        <v>14</v>
      </c>
      <c r="AC2725">
        <v>0</v>
      </c>
      <c r="AE2725">
        <v>0</v>
      </c>
      <c r="AF2725">
        <v>0</v>
      </c>
      <c r="AG2725" s="2">
        <v>2226.21</v>
      </c>
      <c r="AH2725">
        <v>0</v>
      </c>
      <c r="AI2725" s="2">
        <v>31166.95</v>
      </c>
      <c r="AJ2725" s="2">
        <v>8453.2000000000007</v>
      </c>
      <c r="AK2725" s="2">
        <v>8453.2000000000007</v>
      </c>
      <c r="AL2725" t="str">
        <f>"$"</f>
        <v>$</v>
      </c>
    </row>
    <row r="2726" spans="1:38" x14ac:dyDescent="0.3">
      <c r="A2726" t="str">
        <f>"SO23000364"</f>
        <v>SO23000364</v>
      </c>
      <c r="B2726" t="str">
        <f>"E000401634"</f>
        <v>E000401634</v>
      </c>
      <c r="C2726" t="str">
        <f>"מאושרת לבצוע"</f>
        <v>מאושרת לבצוע</v>
      </c>
      <c r="E2726" s="3">
        <v>45144</v>
      </c>
      <c r="F2726" s="3">
        <v>45245</v>
      </c>
      <c r="G2726" t="str">
        <f>"700065"</f>
        <v>700065</v>
      </c>
      <c r="H2726" t="str">
        <f>"אלתא מערכות בע""מ"</f>
        <v>אלתא מערכות בע"מ</v>
      </c>
      <c r="I2726" t="str">
        <f>"רחמים זרוק"</f>
        <v>רחמים זרוק</v>
      </c>
      <c r="J2726" t="str">
        <f>"OP-AR03780"</f>
        <v>OP-AR03780</v>
      </c>
      <c r="K2726" s="1" t="str">
        <f>"1038H701-001    EL/M 2138M WP1 CU P.S. CABLE"</f>
        <v>1038H701-001    EL/M 2138M WP1 CU P.S. CABLE</v>
      </c>
      <c r="L2726">
        <v>1</v>
      </c>
      <c r="M2726" t="str">
        <f>"PR23000552"</f>
        <v>PR23000552</v>
      </c>
      <c r="N2726" t="str">
        <f>"E000401634"</f>
        <v>E000401634</v>
      </c>
      <c r="O2726">
        <v>724.9</v>
      </c>
      <c r="P2726" t="str">
        <f>"$"</f>
        <v>$</v>
      </c>
      <c r="Q2726" t="str">
        <f>"117"</f>
        <v>117</v>
      </c>
      <c r="R2726" t="str">
        <f>"רתמות"</f>
        <v>רתמות</v>
      </c>
      <c r="S2726" t="str">
        <f>"040"</f>
        <v>040</v>
      </c>
      <c r="T2726" t="str">
        <f>"עמר ליגל"</f>
        <v>עמר ליגל</v>
      </c>
      <c r="U2726">
        <v>0</v>
      </c>
      <c r="V2726">
        <v>0</v>
      </c>
      <c r="W2726">
        <v>724.9</v>
      </c>
      <c r="X2726">
        <v>724.9</v>
      </c>
      <c r="AA2726">
        <v>1</v>
      </c>
      <c r="AC2726">
        <v>0</v>
      </c>
      <c r="AE2726">
        <v>0</v>
      </c>
      <c r="AF2726">
        <v>0</v>
      </c>
      <c r="AG2726" s="2">
        <v>2672.71</v>
      </c>
      <c r="AH2726">
        <v>0</v>
      </c>
      <c r="AI2726" s="2">
        <v>2672.71</v>
      </c>
      <c r="AJ2726">
        <v>724.9</v>
      </c>
      <c r="AK2726">
        <v>724.9</v>
      </c>
      <c r="AL2726" t="str">
        <f>"$"</f>
        <v>$</v>
      </c>
    </row>
    <row r="2727" spans="1:38" x14ac:dyDescent="0.3">
      <c r="A2727" t="str">
        <f>"SO23000364"</f>
        <v>SO23000364</v>
      </c>
      <c r="B2727" t="str">
        <f>"E000401634"</f>
        <v>E000401634</v>
      </c>
      <c r="C2727" t="str">
        <f>"מאושרת לבצוע"</f>
        <v>מאושרת לבצוע</v>
      </c>
      <c r="E2727" s="3">
        <v>45144</v>
      </c>
      <c r="F2727" s="3">
        <v>45245</v>
      </c>
      <c r="G2727" t="str">
        <f>"700065"</f>
        <v>700065</v>
      </c>
      <c r="H2727" t="str">
        <f>"אלתא מערכות בע""מ"</f>
        <v>אלתא מערכות בע"מ</v>
      </c>
      <c r="I2727" t="str">
        <f>"רחמים זרוק"</f>
        <v>רחמים זרוק</v>
      </c>
      <c r="J2727" t="str">
        <f>"OP-AR03781"</f>
        <v>OP-AR03781</v>
      </c>
      <c r="K2727" s="1" t="str">
        <f>"1038H703-001    EL/M 2138M WP3 TRA2 P.S. CABLE"</f>
        <v>1038H703-001    EL/M 2138M WP3 TRA2 P.S. CABLE</v>
      </c>
      <c r="L2727">
        <v>1</v>
      </c>
      <c r="M2727" t="str">
        <f>"PR23000552"</f>
        <v>PR23000552</v>
      </c>
      <c r="N2727" t="str">
        <f>"E000401634"</f>
        <v>E000401634</v>
      </c>
      <c r="O2727" s="2">
        <v>1045.93</v>
      </c>
      <c r="P2727" t="str">
        <f>"$"</f>
        <v>$</v>
      </c>
      <c r="Q2727" t="str">
        <f>"117"</f>
        <v>117</v>
      </c>
      <c r="R2727" t="str">
        <f>"רתמות"</f>
        <v>רתמות</v>
      </c>
      <c r="S2727" t="str">
        <f>"040"</f>
        <v>040</v>
      </c>
      <c r="T2727" t="str">
        <f>"עמר ליגל"</f>
        <v>עמר ליגל</v>
      </c>
      <c r="U2727">
        <v>0</v>
      </c>
      <c r="V2727">
        <v>0</v>
      </c>
      <c r="W2727" s="2">
        <v>1045.93</v>
      </c>
      <c r="X2727" s="2">
        <v>1045.93</v>
      </c>
      <c r="AA2727">
        <v>1</v>
      </c>
      <c r="AC2727">
        <v>0</v>
      </c>
      <c r="AE2727">
        <v>0</v>
      </c>
      <c r="AF2727">
        <v>0</v>
      </c>
      <c r="AG2727" s="2">
        <v>3856.34</v>
      </c>
      <c r="AH2727">
        <v>0</v>
      </c>
      <c r="AI2727" s="2">
        <v>3856.34</v>
      </c>
      <c r="AJ2727" s="2">
        <v>1045.93</v>
      </c>
      <c r="AK2727" s="2">
        <v>1045.93</v>
      </c>
      <c r="AL2727" t="str">
        <f>"$"</f>
        <v>$</v>
      </c>
    </row>
    <row r="2728" spans="1:38" x14ac:dyDescent="0.3">
      <c r="A2728" t="str">
        <f>"SO23000364"</f>
        <v>SO23000364</v>
      </c>
      <c r="B2728" t="str">
        <f>"E000401634"</f>
        <v>E000401634</v>
      </c>
      <c r="C2728" t="str">
        <f>"מאושרת לבצוע"</f>
        <v>מאושרת לבצוע</v>
      </c>
      <c r="E2728" s="3">
        <v>45144</v>
      </c>
      <c r="F2728" s="3">
        <v>45245</v>
      </c>
      <c r="G2728" t="str">
        <f>"700065"</f>
        <v>700065</v>
      </c>
      <c r="H2728" t="str">
        <f>"אלתא מערכות בע""מ"</f>
        <v>אלתא מערכות בע"מ</v>
      </c>
      <c r="I2728" t="str">
        <f>"רחמים זרוק"</f>
        <v>רחמים זרוק</v>
      </c>
      <c r="J2728" t="str">
        <f>"OP-AR03782"</f>
        <v>OP-AR03782</v>
      </c>
      <c r="K2728" s="1" t="str">
        <f>"1038H704-001    EL/M 2138M WP4 TRG3 P.S. CABLE"</f>
        <v>1038H704-001    EL/M 2138M WP4 TRG3 P.S. CABLE</v>
      </c>
      <c r="L2728">
        <v>1</v>
      </c>
      <c r="M2728" t="str">
        <f>"PR23000552"</f>
        <v>PR23000552</v>
      </c>
      <c r="N2728" t="str">
        <f>"E000401634"</f>
        <v>E000401634</v>
      </c>
      <c r="O2728" s="2">
        <v>1078.7</v>
      </c>
      <c r="P2728" t="str">
        <f>"$"</f>
        <v>$</v>
      </c>
      <c r="Q2728" t="str">
        <f>"117"</f>
        <v>117</v>
      </c>
      <c r="R2728" t="str">
        <f>"רתמות"</f>
        <v>רתמות</v>
      </c>
      <c r="S2728" t="str">
        <f>"040"</f>
        <v>040</v>
      </c>
      <c r="T2728" t="str">
        <f>"עמר ליגל"</f>
        <v>עמר ליגל</v>
      </c>
      <c r="U2728">
        <v>0</v>
      </c>
      <c r="V2728">
        <v>0</v>
      </c>
      <c r="W2728" s="2">
        <v>1078.7</v>
      </c>
      <c r="X2728" s="2">
        <v>1078.7</v>
      </c>
      <c r="Z2728" t="str">
        <f>"Y"</f>
        <v>Y</v>
      </c>
      <c r="AA2728">
        <v>0</v>
      </c>
      <c r="AC2728">
        <v>0</v>
      </c>
      <c r="AE2728">
        <v>0</v>
      </c>
      <c r="AF2728">
        <v>0</v>
      </c>
      <c r="AG2728" s="2">
        <v>3977.17</v>
      </c>
      <c r="AH2728">
        <v>0</v>
      </c>
      <c r="AI2728" s="2">
        <v>3977.17</v>
      </c>
      <c r="AJ2728" s="2">
        <v>1078.7</v>
      </c>
      <c r="AK2728" s="2">
        <v>1078.7</v>
      </c>
      <c r="AL2728" t="str">
        <f>"$"</f>
        <v>$</v>
      </c>
    </row>
    <row r="2729" spans="1:38" x14ac:dyDescent="0.3">
      <c r="A2729" t="str">
        <f>"SO23000364"</f>
        <v>SO23000364</v>
      </c>
      <c r="B2729" t="str">
        <f>"E000401634"</f>
        <v>E000401634</v>
      </c>
      <c r="C2729" t="str">
        <f>"מאושרת לבצוע"</f>
        <v>מאושרת לבצוע</v>
      </c>
      <c r="E2729" s="3">
        <v>45144</v>
      </c>
      <c r="F2729" s="3">
        <v>45245</v>
      </c>
      <c r="G2729" t="str">
        <f>"700065"</f>
        <v>700065</v>
      </c>
      <c r="H2729" t="str">
        <f>"אלתא מערכות בע""מ"</f>
        <v>אלתא מערכות בע"מ</v>
      </c>
      <c r="I2729" t="str">
        <f>"רחמים זרוק"</f>
        <v>רחמים זרוק</v>
      </c>
      <c r="J2729" t="str">
        <f>"OP-AR03783"</f>
        <v>OP-AR03783</v>
      </c>
      <c r="K2729" s="1" t="str">
        <f>"1038H705-001    EL/M 2138M WP5 TRG4 P.S. CABLE"</f>
        <v>1038H705-001    EL/M 2138M WP5 TRG4 P.S. CABLE</v>
      </c>
      <c r="L2729">
        <v>1</v>
      </c>
      <c r="M2729" t="str">
        <f>"PR23000552"</f>
        <v>PR23000552</v>
      </c>
      <c r="N2729" t="str">
        <f>"E000401634"</f>
        <v>E000401634</v>
      </c>
      <c r="O2729" s="2">
        <v>1000.5</v>
      </c>
      <c r="P2729" t="str">
        <f>"$"</f>
        <v>$</v>
      </c>
      <c r="Q2729" t="str">
        <f>"117"</f>
        <v>117</v>
      </c>
      <c r="R2729" t="str">
        <f>"רתמות"</f>
        <v>רתמות</v>
      </c>
      <c r="S2729" t="str">
        <f>"040"</f>
        <v>040</v>
      </c>
      <c r="T2729" t="str">
        <f>"עמר ליגל"</f>
        <v>עמר ליגל</v>
      </c>
      <c r="U2729">
        <v>0</v>
      </c>
      <c r="V2729">
        <v>0</v>
      </c>
      <c r="W2729" s="2">
        <v>1000.5</v>
      </c>
      <c r="X2729" s="2">
        <v>1000.5</v>
      </c>
      <c r="Z2729" t="str">
        <f>"Y"</f>
        <v>Y</v>
      </c>
      <c r="AA2729">
        <v>0</v>
      </c>
      <c r="AC2729">
        <v>0</v>
      </c>
      <c r="AE2729">
        <v>0</v>
      </c>
      <c r="AF2729">
        <v>0</v>
      </c>
      <c r="AG2729" s="2">
        <v>3688.84</v>
      </c>
      <c r="AH2729">
        <v>0</v>
      </c>
      <c r="AI2729" s="2">
        <v>3688.84</v>
      </c>
      <c r="AJ2729" s="2">
        <v>1000.5</v>
      </c>
      <c r="AK2729" s="2">
        <v>1000.5</v>
      </c>
      <c r="AL2729" t="str">
        <f>"$"</f>
        <v>$</v>
      </c>
    </row>
    <row r="2730" spans="1:38" x14ac:dyDescent="0.3">
      <c r="A2730" t="str">
        <f>"SO23000365"</f>
        <v>SO23000365</v>
      </c>
      <c r="B2730" t="str">
        <f>"E000401528"</f>
        <v>E000401528</v>
      </c>
      <c r="C2730" t="str">
        <f>"מאושרת לבצוע"</f>
        <v>מאושרת לבצוע</v>
      </c>
      <c r="E2730" s="3">
        <v>45144</v>
      </c>
      <c r="F2730" s="3">
        <v>45224</v>
      </c>
      <c r="G2730" t="str">
        <f>"700065"</f>
        <v>700065</v>
      </c>
      <c r="H2730" t="str">
        <f>"אלתא מערכות בע""מ"</f>
        <v>אלתא מערכות בע"מ</v>
      </c>
      <c r="I2730" t="str">
        <f>"רחמים זרוק"</f>
        <v>רחמים זרוק</v>
      </c>
      <c r="J2730" t="str">
        <f>"OP-AR01701"</f>
        <v>OP-AR01701</v>
      </c>
      <c r="K2730" s="1" t="str">
        <f>"1020B573-003 P.C.U W2 HARNESS MOTOR POWER"</f>
        <v>1020B573-003 P.C.U W2 HARNESS MOTOR POWER</v>
      </c>
      <c r="L2730">
        <v>1</v>
      </c>
      <c r="M2730" t="str">
        <f>"PR23000551"</f>
        <v>PR23000551</v>
      </c>
      <c r="N2730" t="str">
        <f>"E000401528"</f>
        <v>E000401528</v>
      </c>
      <c r="O2730">
        <v>663.36</v>
      </c>
      <c r="P2730" t="str">
        <f>"$"</f>
        <v>$</v>
      </c>
      <c r="Q2730" t="str">
        <f>"117"</f>
        <v>117</v>
      </c>
      <c r="R2730" t="str">
        <f>"רתמות"</f>
        <v>רתמות</v>
      </c>
      <c r="S2730" t="str">
        <f>"040"</f>
        <v>040</v>
      </c>
      <c r="T2730" t="str">
        <f>"עמר ליגל"</f>
        <v>עמר ליגל</v>
      </c>
      <c r="U2730">
        <v>0</v>
      </c>
      <c r="V2730">
        <v>0</v>
      </c>
      <c r="W2730">
        <v>663.36</v>
      </c>
      <c r="X2730">
        <v>663.36</v>
      </c>
      <c r="Z2730" t="str">
        <f>"Y"</f>
        <v>Y</v>
      </c>
      <c r="AA2730">
        <v>0</v>
      </c>
      <c r="AC2730">
        <v>0</v>
      </c>
      <c r="AE2730">
        <v>0</v>
      </c>
      <c r="AF2730">
        <v>0</v>
      </c>
      <c r="AG2730" s="2">
        <v>2445.81</v>
      </c>
      <c r="AH2730">
        <v>0</v>
      </c>
      <c r="AI2730" s="2">
        <v>2445.81</v>
      </c>
      <c r="AJ2730">
        <v>663.36</v>
      </c>
      <c r="AK2730">
        <v>663.36</v>
      </c>
      <c r="AL2730" t="str">
        <f>"$"</f>
        <v>$</v>
      </c>
    </row>
    <row r="2731" spans="1:38" x14ac:dyDescent="0.3">
      <c r="A2731" t="str">
        <f>"SO23000365"</f>
        <v>SO23000365</v>
      </c>
      <c r="B2731" t="str">
        <f>"E000401528"</f>
        <v>E000401528</v>
      </c>
      <c r="C2731" t="str">
        <f>"מאושרת לבצוע"</f>
        <v>מאושרת לבצוע</v>
      </c>
      <c r="E2731" s="3">
        <v>45144</v>
      </c>
      <c r="F2731" s="3">
        <v>45224</v>
      </c>
      <c r="G2731" t="str">
        <f>"700065"</f>
        <v>700065</v>
      </c>
      <c r="H2731" t="str">
        <f>"אלתא מערכות בע""מ"</f>
        <v>אלתא מערכות בע"מ</v>
      </c>
      <c r="I2731" t="str">
        <f>"רחמים זרוק"</f>
        <v>רחמים זרוק</v>
      </c>
      <c r="J2731" t="str">
        <f>"OP-AR01702"</f>
        <v>OP-AR01702</v>
      </c>
      <c r="K2731" s="1" t="str">
        <f>"1020B584-003 P.C.U HARN/W7/ABS NC/DATA POS"</f>
        <v>1020B584-003 P.C.U HARN/W7/ABS NC/DATA POS</v>
      </c>
      <c r="L2731">
        <v>1</v>
      </c>
      <c r="M2731" t="str">
        <f>"PR23000551"</f>
        <v>PR23000551</v>
      </c>
      <c r="N2731" t="str">
        <f>"E000401528"</f>
        <v>E000401528</v>
      </c>
      <c r="O2731" s="2">
        <v>1400.15</v>
      </c>
      <c r="P2731" t="str">
        <f>"$"</f>
        <v>$</v>
      </c>
      <c r="Q2731" t="str">
        <f>"117"</f>
        <v>117</v>
      </c>
      <c r="R2731" t="str">
        <f>"רתמות"</f>
        <v>רתמות</v>
      </c>
      <c r="S2731" t="str">
        <f>"040"</f>
        <v>040</v>
      </c>
      <c r="T2731" t="str">
        <f>"עמר ליגל"</f>
        <v>עמר ליגל</v>
      </c>
      <c r="U2731">
        <v>0</v>
      </c>
      <c r="V2731">
        <v>0</v>
      </c>
      <c r="W2731" s="2">
        <v>1400.15</v>
      </c>
      <c r="X2731" s="2">
        <v>1400.15</v>
      </c>
      <c r="AA2731">
        <v>1</v>
      </c>
      <c r="AC2731">
        <v>0</v>
      </c>
      <c r="AE2731">
        <v>0</v>
      </c>
      <c r="AF2731">
        <v>0</v>
      </c>
      <c r="AG2731" s="2">
        <v>5162.3500000000004</v>
      </c>
      <c r="AH2731">
        <v>0</v>
      </c>
      <c r="AI2731" s="2">
        <v>5162.3500000000004</v>
      </c>
      <c r="AJ2731" s="2">
        <v>1400.15</v>
      </c>
      <c r="AK2731" s="2">
        <v>1400.15</v>
      </c>
      <c r="AL2731" t="str">
        <f>"$"</f>
        <v>$</v>
      </c>
    </row>
    <row r="2732" spans="1:38" x14ac:dyDescent="0.3">
      <c r="A2732" t="str">
        <f>"SO23000367"</f>
        <v>SO23000367</v>
      </c>
      <c r="B2732" t="str">
        <f>"E000402130"</f>
        <v>E000402130</v>
      </c>
      <c r="C2732" t="str">
        <f>"בוצעה"</f>
        <v>בוצעה</v>
      </c>
      <c r="E2732" s="3">
        <v>45145</v>
      </c>
      <c r="F2732" s="3">
        <v>45209</v>
      </c>
      <c r="G2732" t="str">
        <f>"700065"</f>
        <v>700065</v>
      </c>
      <c r="H2732" t="str">
        <f>"אלתא מערכות בע""מ"</f>
        <v>אלתא מערכות בע"מ</v>
      </c>
      <c r="I2732" t="str">
        <f>"רחמים זרוק"</f>
        <v>רחמים זרוק</v>
      </c>
      <c r="J2732" t="str">
        <f>"OP-ML00256"</f>
        <v>OP-ML00256</v>
      </c>
      <c r="K2732" s="1" t="str">
        <f>"RPU 10M GND CABLE"</f>
        <v>RPU 10M GND CABLE</v>
      </c>
      <c r="L2732">
        <v>10</v>
      </c>
      <c r="M2732" t="str">
        <f>"PR23000556"</f>
        <v>PR23000556</v>
      </c>
      <c r="N2732" t="str">
        <f>"E000402130"</f>
        <v>E000402130</v>
      </c>
      <c r="O2732">
        <v>140.13</v>
      </c>
      <c r="P2732" t="str">
        <f>"$"</f>
        <v>$</v>
      </c>
      <c r="Q2732" t="str">
        <f>"117"</f>
        <v>117</v>
      </c>
      <c r="R2732" t="str">
        <f>"רתמות"</f>
        <v>רתמות</v>
      </c>
      <c r="S2732" t="str">
        <f>"040"</f>
        <v>040</v>
      </c>
      <c r="T2732" t="str">
        <f>"עמר ליגל"</f>
        <v>עמר ליגל</v>
      </c>
      <c r="U2732">
        <v>0</v>
      </c>
      <c r="V2732">
        <v>0</v>
      </c>
      <c r="W2732">
        <v>140.13</v>
      </c>
      <c r="X2732" s="2">
        <v>1401.3</v>
      </c>
      <c r="Z2732" t="str">
        <f>"Y"</f>
        <v>Y</v>
      </c>
      <c r="AA2732">
        <v>0</v>
      </c>
      <c r="AC2732">
        <v>0</v>
      </c>
      <c r="AE2732">
        <v>0</v>
      </c>
      <c r="AF2732">
        <v>0</v>
      </c>
      <c r="AG2732">
        <v>515.12</v>
      </c>
      <c r="AH2732">
        <v>0</v>
      </c>
      <c r="AI2732" s="2">
        <v>5151.18</v>
      </c>
      <c r="AJ2732" s="2">
        <v>1401.3</v>
      </c>
      <c r="AK2732" s="2">
        <v>1401.3</v>
      </c>
      <c r="AL2732" t="str">
        <f>"$"</f>
        <v>$</v>
      </c>
    </row>
    <row r="2733" spans="1:38" x14ac:dyDescent="0.3">
      <c r="A2733" t="str">
        <f>"SO23000368"</f>
        <v>SO23000368</v>
      </c>
      <c r="B2733" t="str">
        <f>"E000402068"</f>
        <v>E000402068</v>
      </c>
      <c r="C2733" t="str">
        <f>"לאישור הסוכן"</f>
        <v>לאישור הסוכן</v>
      </c>
      <c r="E2733" s="3">
        <v>45145</v>
      </c>
      <c r="F2733" s="3">
        <v>45535</v>
      </c>
      <c r="G2733" t="str">
        <f>"700065"</f>
        <v>700065</v>
      </c>
      <c r="H2733" t="str">
        <f>"אלתא מערכות בע""מ"</f>
        <v>אלתא מערכות בע"מ</v>
      </c>
      <c r="I2733" t="str">
        <f>"רוני דידי"</f>
        <v>רוני דידי</v>
      </c>
      <c r="J2733" t="str">
        <f>"000"</f>
        <v>000</v>
      </c>
      <c r="K2733" s="1" t="str">
        <f>"שדרוג PDB HU"</f>
        <v>שדרוג PDB HU</v>
      </c>
      <c r="L2733">
        <v>1</v>
      </c>
      <c r="O2733" s="2">
        <v>3150</v>
      </c>
      <c r="P2733" t="str">
        <f>"$"</f>
        <v>$</v>
      </c>
      <c r="Q2733" t="str">
        <f>"112"</f>
        <v>112</v>
      </c>
      <c r="R2733" t="str">
        <f>"תיקון תקלות"</f>
        <v>תיקון תקלות</v>
      </c>
      <c r="S2733" t="str">
        <f>"007"</f>
        <v>007</v>
      </c>
      <c r="T2733" t="str">
        <f>"עמר ליגל"</f>
        <v>עמר ליגל</v>
      </c>
      <c r="U2733">
        <v>0</v>
      </c>
      <c r="V2733">
        <v>0</v>
      </c>
      <c r="W2733" s="2">
        <v>3150</v>
      </c>
      <c r="X2733" s="2">
        <v>3150</v>
      </c>
      <c r="AA2733">
        <v>1</v>
      </c>
      <c r="AC2733">
        <v>0</v>
      </c>
      <c r="AE2733">
        <v>0</v>
      </c>
      <c r="AF2733">
        <v>0</v>
      </c>
      <c r="AG2733" s="2">
        <v>11579.4</v>
      </c>
      <c r="AH2733">
        <v>0</v>
      </c>
      <c r="AI2733" s="2">
        <v>11579.4</v>
      </c>
      <c r="AJ2733" s="2">
        <v>3150</v>
      </c>
      <c r="AK2733" s="2">
        <v>3150</v>
      </c>
      <c r="AL2733" t="str">
        <f>"$"</f>
        <v>$</v>
      </c>
    </row>
    <row r="2734" spans="1:38" x14ac:dyDescent="0.3">
      <c r="A2734" t="str">
        <f>"SO23000368"</f>
        <v>SO23000368</v>
      </c>
      <c r="B2734" t="str">
        <f>"E000402068"</f>
        <v>E000402068</v>
      </c>
      <c r="C2734" t="str">
        <f>"לאישור הסוכן"</f>
        <v>לאישור הסוכן</v>
      </c>
      <c r="E2734" s="3">
        <v>45145</v>
      </c>
      <c r="F2734" s="3">
        <v>45535</v>
      </c>
      <c r="G2734" t="str">
        <f>"700065"</f>
        <v>700065</v>
      </c>
      <c r="H2734" t="str">
        <f>"אלתא מערכות בע""מ"</f>
        <v>אלתא מערכות בע"מ</v>
      </c>
      <c r="I2734" t="str">
        <f>"רוני דידי"</f>
        <v>רוני דידי</v>
      </c>
      <c r="J2734" t="str">
        <f>"000"</f>
        <v>000</v>
      </c>
      <c r="K2734" s="1" t="str">
        <f>"שדרוג PDB M"</f>
        <v>שדרוג PDB M</v>
      </c>
      <c r="L2734">
        <v>1</v>
      </c>
      <c r="O2734" s="2">
        <v>1750</v>
      </c>
      <c r="P2734" t="str">
        <f>"$"</f>
        <v>$</v>
      </c>
      <c r="Q2734" t="str">
        <f>"112"</f>
        <v>112</v>
      </c>
      <c r="R2734" t="str">
        <f>"תיקון תקלות"</f>
        <v>תיקון תקלות</v>
      </c>
      <c r="S2734" t="str">
        <f>"007"</f>
        <v>007</v>
      </c>
      <c r="T2734" t="str">
        <f>"עמר ליגל"</f>
        <v>עמר ליגל</v>
      </c>
      <c r="U2734">
        <v>0</v>
      </c>
      <c r="V2734">
        <v>0</v>
      </c>
      <c r="W2734" s="2">
        <v>1750</v>
      </c>
      <c r="X2734" s="2">
        <v>1750</v>
      </c>
      <c r="AA2734">
        <v>1</v>
      </c>
      <c r="AC2734">
        <v>0</v>
      </c>
      <c r="AE2734">
        <v>0</v>
      </c>
      <c r="AF2734">
        <v>0</v>
      </c>
      <c r="AG2734" s="2">
        <v>6433</v>
      </c>
      <c r="AH2734">
        <v>0</v>
      </c>
      <c r="AI2734" s="2">
        <v>6433</v>
      </c>
      <c r="AJ2734" s="2">
        <v>1750</v>
      </c>
      <c r="AK2734" s="2">
        <v>1750</v>
      </c>
      <c r="AL2734" t="str">
        <f>"$"</f>
        <v>$</v>
      </c>
    </row>
    <row r="2735" spans="1:38" x14ac:dyDescent="0.3">
      <c r="A2735" t="str">
        <f>"SO23000368"</f>
        <v>SO23000368</v>
      </c>
      <c r="B2735" t="str">
        <f>"E000402068"</f>
        <v>E000402068</v>
      </c>
      <c r="C2735" t="str">
        <f>"לאישור הסוכן"</f>
        <v>לאישור הסוכן</v>
      </c>
      <c r="E2735" s="3">
        <v>45145</v>
      </c>
      <c r="F2735" s="3">
        <v>45535</v>
      </c>
      <c r="G2735" t="str">
        <f>"700065"</f>
        <v>700065</v>
      </c>
      <c r="H2735" t="str">
        <f>"אלתא מערכות בע""מ"</f>
        <v>אלתא מערכות בע"מ</v>
      </c>
      <c r="I2735" t="str">
        <f>"רוני דידי"</f>
        <v>רוני דידי</v>
      </c>
      <c r="J2735" t="str">
        <f>"000"</f>
        <v>000</v>
      </c>
      <c r="K2735" s="1" t="str">
        <f>"שדרוג PDB1 באלתא"</f>
        <v>שדרוג PDB1 באלתא</v>
      </c>
      <c r="L2735">
        <v>1</v>
      </c>
      <c r="O2735" s="2">
        <v>3300</v>
      </c>
      <c r="P2735" t="str">
        <f>"$"</f>
        <v>$</v>
      </c>
      <c r="Q2735" t="str">
        <f>"112"</f>
        <v>112</v>
      </c>
      <c r="R2735" t="str">
        <f>"תיקון תקלות"</f>
        <v>תיקון תקלות</v>
      </c>
      <c r="S2735" t="str">
        <f>"007"</f>
        <v>007</v>
      </c>
      <c r="T2735" t="str">
        <f>"עמר ליגל"</f>
        <v>עמר ליגל</v>
      </c>
      <c r="U2735">
        <v>0</v>
      </c>
      <c r="V2735">
        <v>0</v>
      </c>
      <c r="W2735" s="2">
        <v>3300</v>
      </c>
      <c r="X2735" s="2">
        <v>3300</v>
      </c>
      <c r="AA2735">
        <v>1</v>
      </c>
      <c r="AC2735">
        <v>0</v>
      </c>
      <c r="AE2735">
        <v>0</v>
      </c>
      <c r="AF2735">
        <v>0</v>
      </c>
      <c r="AG2735" s="2">
        <v>12130.8</v>
      </c>
      <c r="AH2735">
        <v>0</v>
      </c>
      <c r="AI2735" s="2">
        <v>12130.8</v>
      </c>
      <c r="AJ2735" s="2">
        <v>3300</v>
      </c>
      <c r="AK2735" s="2">
        <v>3300</v>
      </c>
      <c r="AL2735" t="str">
        <f>"$"</f>
        <v>$</v>
      </c>
    </row>
    <row r="2736" spans="1:38" x14ac:dyDescent="0.3">
      <c r="A2736" t="str">
        <f>"SO23000368"</f>
        <v>SO23000368</v>
      </c>
      <c r="B2736" t="str">
        <f>"E000402068"</f>
        <v>E000402068</v>
      </c>
      <c r="C2736" t="str">
        <f>"לאישור הסוכן"</f>
        <v>לאישור הסוכן</v>
      </c>
      <c r="E2736" s="3">
        <v>45145</v>
      </c>
      <c r="F2736" s="3">
        <v>45535</v>
      </c>
      <c r="G2736" t="str">
        <f>"700065"</f>
        <v>700065</v>
      </c>
      <c r="H2736" t="str">
        <f>"אלתא מערכות בע""מ"</f>
        <v>אלתא מערכות בע"מ</v>
      </c>
      <c r="I2736" t="str">
        <f>"רוני דידי"</f>
        <v>רוני דידי</v>
      </c>
      <c r="J2736" t="str">
        <f>"000"</f>
        <v>000</v>
      </c>
      <c r="K2736" s="1" t="str">
        <f>"עדכון תכן"</f>
        <v>עדכון תכן</v>
      </c>
      <c r="L2736">
        <v>1</v>
      </c>
      <c r="O2736" s="2">
        <v>2500</v>
      </c>
      <c r="P2736" t="str">
        <f>"$"</f>
        <v>$</v>
      </c>
      <c r="Q2736" t="str">
        <f>"112"</f>
        <v>112</v>
      </c>
      <c r="R2736" t="str">
        <f>"תיקון תקלות"</f>
        <v>תיקון תקלות</v>
      </c>
      <c r="S2736" t="str">
        <f>"007"</f>
        <v>007</v>
      </c>
      <c r="T2736" t="str">
        <f>"עמר ליגל"</f>
        <v>עמר ליגל</v>
      </c>
      <c r="U2736">
        <v>0</v>
      </c>
      <c r="V2736">
        <v>0</v>
      </c>
      <c r="W2736" s="2">
        <v>2500</v>
      </c>
      <c r="X2736" s="2">
        <v>2500</v>
      </c>
      <c r="AA2736">
        <v>1</v>
      </c>
      <c r="AC2736">
        <v>0</v>
      </c>
      <c r="AE2736">
        <v>0</v>
      </c>
      <c r="AF2736">
        <v>0</v>
      </c>
      <c r="AG2736" s="2">
        <v>9190</v>
      </c>
      <c r="AH2736">
        <v>0</v>
      </c>
      <c r="AI2736" s="2">
        <v>9190</v>
      </c>
      <c r="AJ2736" s="2">
        <v>2500</v>
      </c>
      <c r="AK2736" s="2">
        <v>2500</v>
      </c>
      <c r="AL2736" t="str">
        <f>"$"</f>
        <v>$</v>
      </c>
    </row>
    <row r="2737" spans="1:38" x14ac:dyDescent="0.3">
      <c r="A2737" t="str">
        <f>"SO23000369"</f>
        <v>SO23000369</v>
      </c>
      <c r="B2737" t="str">
        <f>"E000401693"</f>
        <v>E000401693</v>
      </c>
      <c r="C2737" t="str">
        <f>"בוצעה"</f>
        <v>בוצעה</v>
      </c>
      <c r="E2737" s="3">
        <v>45145</v>
      </c>
      <c r="F2737" s="3">
        <v>45238</v>
      </c>
      <c r="G2737" t="str">
        <f>"700065"</f>
        <v>700065</v>
      </c>
      <c r="H2737" t="str">
        <f>"אלתא מערכות בע""מ"</f>
        <v>אלתא מערכות בע"מ</v>
      </c>
      <c r="I2737" t="str">
        <f>"רוני דידי"</f>
        <v>רוני דידי</v>
      </c>
      <c r="J2737" t="str">
        <f>"cust00891"</f>
        <v>cust00891</v>
      </c>
      <c r="K2737" s="1" t="str">
        <f>"1038H185-001 אלתא"</f>
        <v>1038H185-001 אלתא</v>
      </c>
      <c r="L2737">
        <v>1</v>
      </c>
      <c r="M2737" t="str">
        <f>"PR23000567"</f>
        <v>PR23000567</v>
      </c>
      <c r="N2737" t="str">
        <f>"SN100 1038H185-001"</f>
        <v>SN100 1038H185-001</v>
      </c>
      <c r="O2737" s="2">
        <v>5785</v>
      </c>
      <c r="P2737" t="str">
        <f>"$"</f>
        <v>$</v>
      </c>
      <c r="Q2737" t="str">
        <f>"112"</f>
        <v>112</v>
      </c>
      <c r="R2737" t="str">
        <f>"תיקון תקלות"</f>
        <v>תיקון תקלות</v>
      </c>
      <c r="S2737" t="str">
        <f>"007"</f>
        <v>007</v>
      </c>
      <c r="T2737" t="str">
        <f>"עמר ליגל"</f>
        <v>עמר ליגל</v>
      </c>
      <c r="U2737">
        <v>0</v>
      </c>
      <c r="V2737">
        <v>0</v>
      </c>
      <c r="W2737" s="2">
        <v>5785</v>
      </c>
      <c r="X2737" s="2">
        <v>5785</v>
      </c>
      <c r="Z2737" t="str">
        <f>"Y"</f>
        <v>Y</v>
      </c>
      <c r="AA2737">
        <v>0</v>
      </c>
      <c r="AC2737">
        <v>0</v>
      </c>
      <c r="AE2737">
        <v>0</v>
      </c>
      <c r="AF2737">
        <v>0</v>
      </c>
      <c r="AG2737" s="2">
        <v>21265.66</v>
      </c>
      <c r="AH2737">
        <v>0</v>
      </c>
      <c r="AI2737" s="2">
        <v>21265.66</v>
      </c>
      <c r="AJ2737" s="2">
        <v>5785</v>
      </c>
      <c r="AK2737" s="2">
        <v>5785</v>
      </c>
      <c r="AL2737" t="str">
        <f>"$"</f>
        <v>$</v>
      </c>
    </row>
    <row r="2738" spans="1:38" x14ac:dyDescent="0.3">
      <c r="A2738" t="str">
        <f>"SO23000370"</f>
        <v>SO23000370</v>
      </c>
      <c r="B2738" t="str">
        <f>"E000402029"</f>
        <v>E000402029</v>
      </c>
      <c r="C2738" t="str">
        <f>"לאישור הסוכן"</f>
        <v>לאישור הסוכן</v>
      </c>
      <c r="E2738" s="3">
        <v>45145</v>
      </c>
      <c r="F2738" s="3">
        <v>45337</v>
      </c>
      <c r="G2738" t="str">
        <f>"700065"</f>
        <v>700065</v>
      </c>
      <c r="H2738" t="str">
        <f>"אלתא מערכות בע""מ"</f>
        <v>אלתא מערכות בע"מ</v>
      </c>
      <c r="I2738" t="str">
        <f>"רחמים זרוק"</f>
        <v>רחמים זרוק</v>
      </c>
      <c r="J2738" t="str">
        <f>"OP-AR03803"</f>
        <v>OP-AR03803</v>
      </c>
      <c r="K2738" s="1" t="str">
        <f>"2015F574-001    CABLE ASSY W15 COM1-2"</f>
        <v>2015F574-001    CABLE ASSY W15 COM1-2</v>
      </c>
      <c r="L2738">
        <v>4</v>
      </c>
      <c r="O2738">
        <v>242.35</v>
      </c>
      <c r="P2738" t="str">
        <f>"$"</f>
        <v>$</v>
      </c>
      <c r="Q2738" t="str">
        <f>"117"</f>
        <v>117</v>
      </c>
      <c r="R2738" t="str">
        <f>"רתמות"</f>
        <v>רתמות</v>
      </c>
      <c r="S2738" t="str">
        <f>"040"</f>
        <v>040</v>
      </c>
      <c r="T2738" t="str">
        <f>"עמר ליגל"</f>
        <v>עמר ליגל</v>
      </c>
      <c r="U2738">
        <v>0</v>
      </c>
      <c r="V2738">
        <v>0</v>
      </c>
      <c r="W2738">
        <v>242.35</v>
      </c>
      <c r="X2738">
        <v>969.4</v>
      </c>
      <c r="AA2738">
        <v>4</v>
      </c>
      <c r="AC2738">
        <v>0</v>
      </c>
      <c r="AE2738">
        <v>0</v>
      </c>
      <c r="AF2738">
        <v>0</v>
      </c>
      <c r="AG2738">
        <v>890.88</v>
      </c>
      <c r="AH2738">
        <v>0</v>
      </c>
      <c r="AI2738" s="2">
        <v>3563.51</v>
      </c>
      <c r="AJ2738">
        <v>969.4</v>
      </c>
      <c r="AK2738">
        <v>969.4</v>
      </c>
      <c r="AL2738" t="str">
        <f>"$"</f>
        <v>$</v>
      </c>
    </row>
    <row r="2739" spans="1:38" x14ac:dyDescent="0.3">
      <c r="A2739" t="str">
        <f>"SO23000370"</f>
        <v>SO23000370</v>
      </c>
      <c r="B2739" t="str">
        <f>"E000402029"</f>
        <v>E000402029</v>
      </c>
      <c r="C2739" t="str">
        <f>"לאישור הסוכן"</f>
        <v>לאישור הסוכן</v>
      </c>
      <c r="E2739" s="3">
        <v>45145</v>
      </c>
      <c r="F2739" s="3">
        <v>45337</v>
      </c>
      <c r="G2739" t="str">
        <f>"700065"</f>
        <v>700065</v>
      </c>
      <c r="H2739" t="str">
        <f>"אלתא מערכות בע""מ"</f>
        <v>אלתא מערכות בע"מ</v>
      </c>
      <c r="I2739" t="str">
        <f>"רחמים זרוק"</f>
        <v>רחמים זרוק</v>
      </c>
      <c r="J2739" t="str">
        <f>"OP-AR03219"</f>
        <v>OP-AR03219</v>
      </c>
      <c r="K2739" s="1" t="str">
        <f>"2015F975-001    CABLE ASSY 12V ATX"</f>
        <v>2015F975-001    CABLE ASSY 12V ATX</v>
      </c>
      <c r="L2739">
        <v>4</v>
      </c>
      <c r="O2739">
        <v>279.3</v>
      </c>
      <c r="P2739" t="str">
        <f>"$"</f>
        <v>$</v>
      </c>
      <c r="Q2739" t="str">
        <f>"117"</f>
        <v>117</v>
      </c>
      <c r="R2739" t="str">
        <f>"רתמות"</f>
        <v>רתמות</v>
      </c>
      <c r="S2739" t="str">
        <f>"040"</f>
        <v>040</v>
      </c>
      <c r="T2739" t="str">
        <f>"עמר ליגל"</f>
        <v>עמר ליגל</v>
      </c>
      <c r="U2739">
        <v>0</v>
      </c>
      <c r="V2739">
        <v>0</v>
      </c>
      <c r="W2739">
        <v>279.3</v>
      </c>
      <c r="X2739" s="2">
        <v>1117.2</v>
      </c>
      <c r="AA2739">
        <v>4</v>
      </c>
      <c r="AC2739">
        <v>0</v>
      </c>
      <c r="AE2739">
        <v>0</v>
      </c>
      <c r="AF2739">
        <v>0</v>
      </c>
      <c r="AG2739" s="2">
        <v>1026.71</v>
      </c>
      <c r="AH2739">
        <v>0</v>
      </c>
      <c r="AI2739" s="2">
        <v>4106.83</v>
      </c>
      <c r="AJ2739" s="2">
        <v>1117.2</v>
      </c>
      <c r="AK2739" s="2">
        <v>1117.2</v>
      </c>
      <c r="AL2739" t="str">
        <f>"$"</f>
        <v>$</v>
      </c>
    </row>
    <row r="2740" spans="1:38" x14ac:dyDescent="0.3">
      <c r="A2740" t="str">
        <f>"SO23000370"</f>
        <v>SO23000370</v>
      </c>
      <c r="B2740" t="str">
        <f>"E000402029"</f>
        <v>E000402029</v>
      </c>
      <c r="C2740" t="str">
        <f>"לאישור הסוכן"</f>
        <v>לאישור הסוכן</v>
      </c>
      <c r="E2740" s="3">
        <v>45145</v>
      </c>
      <c r="F2740" s="3">
        <v>45337</v>
      </c>
      <c r="G2740" t="str">
        <f>"700065"</f>
        <v>700065</v>
      </c>
      <c r="H2740" t="str">
        <f>"אלתא מערכות בע""מ"</f>
        <v>אלתא מערכות בע"מ</v>
      </c>
      <c r="I2740" t="str">
        <f>"רחמים זרוק"</f>
        <v>רחמים זרוק</v>
      </c>
      <c r="J2740" t="str">
        <f>"OP-AR03805"</f>
        <v>OP-AR03805</v>
      </c>
      <c r="K2740" s="1" t="str">
        <f>"2015F976-001    CABLE ASSY MULTIFUNCTION"</f>
        <v>2015F976-001    CABLE ASSY MULTIFUNCTION</v>
      </c>
      <c r="L2740">
        <v>4</v>
      </c>
      <c r="O2740">
        <v>504.18</v>
      </c>
      <c r="P2740" t="str">
        <f>"$"</f>
        <v>$</v>
      </c>
      <c r="Q2740" t="str">
        <f>"117"</f>
        <v>117</v>
      </c>
      <c r="R2740" t="str">
        <f>"רתמות"</f>
        <v>רתמות</v>
      </c>
      <c r="S2740" t="str">
        <f>"040"</f>
        <v>040</v>
      </c>
      <c r="T2740" t="str">
        <f>"עמר ליגל"</f>
        <v>עמר ליגל</v>
      </c>
      <c r="U2740">
        <v>0</v>
      </c>
      <c r="V2740">
        <v>0</v>
      </c>
      <c r="W2740">
        <v>504.18</v>
      </c>
      <c r="X2740" s="2">
        <v>2016.72</v>
      </c>
      <c r="AA2740">
        <v>4</v>
      </c>
      <c r="AC2740">
        <v>0</v>
      </c>
      <c r="AE2740">
        <v>0</v>
      </c>
      <c r="AF2740">
        <v>0</v>
      </c>
      <c r="AG2740" s="2">
        <v>1853.37</v>
      </c>
      <c r="AH2740">
        <v>0</v>
      </c>
      <c r="AI2740" s="2">
        <v>7413.46</v>
      </c>
      <c r="AJ2740" s="2">
        <v>2016.72</v>
      </c>
      <c r="AK2740" s="2">
        <v>2016.72</v>
      </c>
      <c r="AL2740" t="str">
        <f>"$"</f>
        <v>$</v>
      </c>
    </row>
    <row r="2741" spans="1:38" x14ac:dyDescent="0.3">
      <c r="A2741" t="str">
        <f>"SO23000370"</f>
        <v>SO23000370</v>
      </c>
      <c r="B2741" t="str">
        <f>"E000402029"</f>
        <v>E000402029</v>
      </c>
      <c r="C2741" t="str">
        <f>"לאישור הסוכן"</f>
        <v>לאישור הסוכן</v>
      </c>
      <c r="E2741" s="3">
        <v>45145</v>
      </c>
      <c r="F2741" s="3">
        <v>45337</v>
      </c>
      <c r="G2741" t="str">
        <f>"700065"</f>
        <v>700065</v>
      </c>
      <c r="H2741" t="str">
        <f>"אלתא מערכות בע""מ"</f>
        <v>אלתא מערכות בע"מ</v>
      </c>
      <c r="I2741" t="str">
        <f>"רחמים זרוק"</f>
        <v>רחמים זרוק</v>
      </c>
      <c r="J2741" t="str">
        <f>"OP-AR03806"</f>
        <v>OP-AR03806</v>
      </c>
      <c r="K2741" s="1" t="str">
        <f>"2015F646-001    CABLE ASSY USB-A"</f>
        <v>2015F646-001    CABLE ASSY USB-A</v>
      </c>
      <c r="L2741">
        <v>4</v>
      </c>
      <c r="O2741">
        <v>182.08</v>
      </c>
      <c r="P2741" t="str">
        <f>"$"</f>
        <v>$</v>
      </c>
      <c r="Q2741" t="str">
        <f>"117"</f>
        <v>117</v>
      </c>
      <c r="R2741" t="str">
        <f>"רתמות"</f>
        <v>רתמות</v>
      </c>
      <c r="S2741" t="str">
        <f>"040"</f>
        <v>040</v>
      </c>
      <c r="T2741" t="str">
        <f>"עמר ליגל"</f>
        <v>עמר ליגל</v>
      </c>
      <c r="U2741">
        <v>0</v>
      </c>
      <c r="V2741">
        <v>0</v>
      </c>
      <c r="W2741">
        <v>182.08</v>
      </c>
      <c r="X2741">
        <v>728.32</v>
      </c>
      <c r="AA2741">
        <v>4</v>
      </c>
      <c r="AC2741">
        <v>0</v>
      </c>
      <c r="AE2741">
        <v>0</v>
      </c>
      <c r="AF2741">
        <v>0</v>
      </c>
      <c r="AG2741">
        <v>669.33</v>
      </c>
      <c r="AH2741">
        <v>0</v>
      </c>
      <c r="AI2741" s="2">
        <v>2677.3</v>
      </c>
      <c r="AJ2741">
        <v>728.32</v>
      </c>
      <c r="AK2741">
        <v>728.32</v>
      </c>
      <c r="AL2741" t="str">
        <f>"$"</f>
        <v>$</v>
      </c>
    </row>
    <row r="2742" spans="1:38" x14ac:dyDescent="0.3">
      <c r="A2742" t="str">
        <f>"SO23000370"</f>
        <v>SO23000370</v>
      </c>
      <c r="B2742" t="str">
        <f>"E000402029"</f>
        <v>E000402029</v>
      </c>
      <c r="C2742" t="str">
        <f>"לאישור הסוכן"</f>
        <v>לאישור הסוכן</v>
      </c>
      <c r="E2742" s="3">
        <v>45145</v>
      </c>
      <c r="F2742" s="3">
        <v>45337</v>
      </c>
      <c r="G2742" t="str">
        <f>"700065"</f>
        <v>700065</v>
      </c>
      <c r="H2742" t="str">
        <f>"אלתא מערכות בע""מ"</f>
        <v>אלתא מערכות בע"מ</v>
      </c>
      <c r="I2742" t="str">
        <f>"רחמים זרוק"</f>
        <v>רחמים זרוק</v>
      </c>
      <c r="J2742" t="str">
        <f>"OP-AR03218"</f>
        <v>OP-AR03218</v>
      </c>
      <c r="K2742" s="1" t="str">
        <f>"2015F648-001    CABLE ASSY USB-B"</f>
        <v>2015F648-001    CABLE ASSY USB-B</v>
      </c>
      <c r="L2742">
        <v>17</v>
      </c>
      <c r="O2742">
        <v>193.26</v>
      </c>
      <c r="P2742" t="str">
        <f>"$"</f>
        <v>$</v>
      </c>
      <c r="Q2742" t="str">
        <f>"117"</f>
        <v>117</v>
      </c>
      <c r="R2742" t="str">
        <f>"רתמות"</f>
        <v>רתמות</v>
      </c>
      <c r="S2742" t="str">
        <f>"040"</f>
        <v>040</v>
      </c>
      <c r="T2742" t="str">
        <f>"עמר ליגל"</f>
        <v>עמר ליגל</v>
      </c>
      <c r="U2742">
        <v>0</v>
      </c>
      <c r="V2742">
        <v>0</v>
      </c>
      <c r="W2742">
        <v>193.26</v>
      </c>
      <c r="X2742" s="2">
        <v>3285.42</v>
      </c>
      <c r="AA2742">
        <v>17</v>
      </c>
      <c r="AC2742">
        <v>0</v>
      </c>
      <c r="AE2742">
        <v>0</v>
      </c>
      <c r="AF2742">
        <v>0</v>
      </c>
      <c r="AG2742">
        <v>710.42</v>
      </c>
      <c r="AH2742">
        <v>0</v>
      </c>
      <c r="AI2742" s="2">
        <v>12077.2</v>
      </c>
      <c r="AJ2742" s="2">
        <v>3285.42</v>
      </c>
      <c r="AK2742" s="2">
        <v>3285.42</v>
      </c>
      <c r="AL2742" t="str">
        <f>"$"</f>
        <v>$</v>
      </c>
    </row>
    <row r="2743" spans="1:38" x14ac:dyDescent="0.3">
      <c r="A2743" t="str">
        <f>"SO23000370"</f>
        <v>SO23000370</v>
      </c>
      <c r="B2743" t="str">
        <f>"E000402029"</f>
        <v>E000402029</v>
      </c>
      <c r="C2743" t="str">
        <f>"לאישור הסוכן"</f>
        <v>לאישור הסוכן</v>
      </c>
      <c r="E2743" s="3">
        <v>45145</v>
      </c>
      <c r="F2743" s="3">
        <v>45337</v>
      </c>
      <c r="G2743" t="str">
        <f>"700065"</f>
        <v>700065</v>
      </c>
      <c r="H2743" t="str">
        <f>"אלתא מערכות בע""מ"</f>
        <v>אלתא מערכות בע"מ</v>
      </c>
      <c r="I2743" t="str">
        <f>"רחמים זרוק"</f>
        <v>רחמים זרוק</v>
      </c>
      <c r="J2743" t="str">
        <f>"OP-AR03808"</f>
        <v>OP-AR03808</v>
      </c>
      <c r="K2743" s="1" t="str">
        <f>"2015F637-002    CABLE ASSY VGA"</f>
        <v>2015F637-002    CABLE ASSY VGA</v>
      </c>
      <c r="L2743">
        <v>12</v>
      </c>
      <c r="O2743">
        <v>193.26</v>
      </c>
      <c r="P2743" t="str">
        <f>"$"</f>
        <v>$</v>
      </c>
      <c r="Q2743" t="str">
        <f>"117"</f>
        <v>117</v>
      </c>
      <c r="R2743" t="str">
        <f>"רתמות"</f>
        <v>רתמות</v>
      </c>
      <c r="S2743" t="str">
        <f>"040"</f>
        <v>040</v>
      </c>
      <c r="T2743" t="str">
        <f>"עמר ליגל"</f>
        <v>עמר ליגל</v>
      </c>
      <c r="U2743">
        <v>0</v>
      </c>
      <c r="V2743">
        <v>0</v>
      </c>
      <c r="W2743">
        <v>193.26</v>
      </c>
      <c r="X2743" s="2">
        <v>2319.12</v>
      </c>
      <c r="AA2743">
        <v>12</v>
      </c>
      <c r="AC2743">
        <v>0</v>
      </c>
      <c r="AE2743">
        <v>0</v>
      </c>
      <c r="AF2743">
        <v>0</v>
      </c>
      <c r="AG2743">
        <v>710.42</v>
      </c>
      <c r="AH2743">
        <v>0</v>
      </c>
      <c r="AI2743" s="2">
        <v>8525.09</v>
      </c>
      <c r="AJ2743" s="2">
        <v>2319.12</v>
      </c>
      <c r="AK2743" s="2">
        <v>2319.12</v>
      </c>
      <c r="AL2743" t="str">
        <f>"$"</f>
        <v>$</v>
      </c>
    </row>
    <row r="2744" spans="1:38" x14ac:dyDescent="0.3">
      <c r="A2744" t="str">
        <f>"SO23000370"</f>
        <v>SO23000370</v>
      </c>
      <c r="B2744" t="str">
        <f>"E000402029"</f>
        <v>E000402029</v>
      </c>
      <c r="C2744" t="str">
        <f>"לאישור הסוכן"</f>
        <v>לאישור הסוכן</v>
      </c>
      <c r="E2744" s="3">
        <v>45145</v>
      </c>
      <c r="F2744" s="3">
        <v>45337</v>
      </c>
      <c r="G2744" t="str">
        <f>"700065"</f>
        <v>700065</v>
      </c>
      <c r="H2744" t="str">
        <f>"אלתא מערכות בע""מ"</f>
        <v>אלתא מערכות בע"מ</v>
      </c>
      <c r="I2744" t="str">
        <f>"רחמים זרוק"</f>
        <v>רחמים זרוק</v>
      </c>
      <c r="J2744" t="str">
        <f>"OP-AR03809"</f>
        <v>OP-AR03809</v>
      </c>
      <c r="K2744" s="1" t="str">
        <f>"2015F639-001    CABLE ASSY SBC ON"</f>
        <v>2015F639-001    CABLE ASSY SBC ON</v>
      </c>
      <c r="L2744">
        <v>12</v>
      </c>
      <c r="O2744">
        <v>193.26</v>
      </c>
      <c r="P2744" t="str">
        <f>"$"</f>
        <v>$</v>
      </c>
      <c r="Q2744" t="str">
        <f>"117"</f>
        <v>117</v>
      </c>
      <c r="R2744" t="str">
        <f>"רתמות"</f>
        <v>רתמות</v>
      </c>
      <c r="S2744" t="str">
        <f>"040"</f>
        <v>040</v>
      </c>
      <c r="T2744" t="str">
        <f>"עמר ליגל"</f>
        <v>עמר ליגל</v>
      </c>
      <c r="U2744">
        <v>0</v>
      </c>
      <c r="V2744">
        <v>0</v>
      </c>
      <c r="W2744">
        <v>193.26</v>
      </c>
      <c r="X2744" s="2">
        <v>2319.12</v>
      </c>
      <c r="AA2744">
        <v>12</v>
      </c>
      <c r="AC2744">
        <v>0</v>
      </c>
      <c r="AE2744">
        <v>0</v>
      </c>
      <c r="AF2744">
        <v>0</v>
      </c>
      <c r="AG2744">
        <v>710.42</v>
      </c>
      <c r="AH2744">
        <v>0</v>
      </c>
      <c r="AI2744" s="2">
        <v>8525.09</v>
      </c>
      <c r="AJ2744" s="2">
        <v>2319.12</v>
      </c>
      <c r="AK2744" s="2">
        <v>2319.12</v>
      </c>
      <c r="AL2744" t="str">
        <f>"$"</f>
        <v>$</v>
      </c>
    </row>
    <row r="2745" spans="1:38" x14ac:dyDescent="0.3">
      <c r="A2745" t="str">
        <f>"SO23000370"</f>
        <v>SO23000370</v>
      </c>
      <c r="B2745" t="str">
        <f>"E000402029"</f>
        <v>E000402029</v>
      </c>
      <c r="C2745" t="str">
        <f>"לאישור הסוכן"</f>
        <v>לאישור הסוכן</v>
      </c>
      <c r="E2745" s="3">
        <v>45145</v>
      </c>
      <c r="F2745" s="3">
        <v>45337</v>
      </c>
      <c r="G2745" t="str">
        <f>"700065"</f>
        <v>700065</v>
      </c>
      <c r="H2745" t="str">
        <f>"אלתא מערכות בע""מ"</f>
        <v>אלתא מערכות בע"מ</v>
      </c>
      <c r="I2745" t="str">
        <f>"רחמים זרוק"</f>
        <v>רחמים זרוק</v>
      </c>
      <c r="J2745" t="str">
        <f>"OP-AR03810"</f>
        <v>OP-AR03810</v>
      </c>
      <c r="K2745" s="1" t="str">
        <f>"2015F621-001    CABLE ASSY W18 DISK POWER"</f>
        <v>2015F621-001    CABLE ASSY W18 DISK POWER</v>
      </c>
      <c r="L2745">
        <v>4</v>
      </c>
      <c r="O2745">
        <v>219.35</v>
      </c>
      <c r="P2745" t="str">
        <f>"$"</f>
        <v>$</v>
      </c>
      <c r="Q2745" t="str">
        <f>"117"</f>
        <v>117</v>
      </c>
      <c r="R2745" t="str">
        <f>"רתמות"</f>
        <v>רתמות</v>
      </c>
      <c r="S2745" t="str">
        <f>"040"</f>
        <v>040</v>
      </c>
      <c r="T2745" t="str">
        <f>"עמר ליגל"</f>
        <v>עמר ליגל</v>
      </c>
      <c r="U2745">
        <v>0</v>
      </c>
      <c r="V2745">
        <v>0</v>
      </c>
      <c r="W2745">
        <v>219.35</v>
      </c>
      <c r="X2745">
        <v>877.4</v>
      </c>
      <c r="AA2745">
        <v>4</v>
      </c>
      <c r="AC2745">
        <v>0</v>
      </c>
      <c r="AE2745">
        <v>0</v>
      </c>
      <c r="AF2745">
        <v>0</v>
      </c>
      <c r="AG2745">
        <v>806.33</v>
      </c>
      <c r="AH2745">
        <v>0</v>
      </c>
      <c r="AI2745" s="2">
        <v>3225.32</v>
      </c>
      <c r="AJ2745">
        <v>877.4</v>
      </c>
      <c r="AK2745">
        <v>877.4</v>
      </c>
      <c r="AL2745" t="str">
        <f>"$"</f>
        <v>$</v>
      </c>
    </row>
    <row r="2746" spans="1:38" x14ac:dyDescent="0.3">
      <c r="A2746" t="str">
        <f>"SO23000370"</f>
        <v>SO23000370</v>
      </c>
      <c r="B2746" t="str">
        <f>"E000402029"</f>
        <v>E000402029</v>
      </c>
      <c r="C2746" t="str">
        <f>"לאישור הסוכן"</f>
        <v>לאישור הסוכן</v>
      </c>
      <c r="E2746" s="3">
        <v>45145</v>
      </c>
      <c r="F2746" s="3">
        <v>45337</v>
      </c>
      <c r="G2746" t="str">
        <f>"700065"</f>
        <v>700065</v>
      </c>
      <c r="H2746" t="str">
        <f>"אלתא מערכות בע""מ"</f>
        <v>אלתא מערכות בע"מ</v>
      </c>
      <c r="I2746" t="str">
        <f>"רחמים זרוק"</f>
        <v>רחמים זרוק</v>
      </c>
      <c r="J2746" t="str">
        <f>"OP-AR03811"</f>
        <v>OP-AR03811</v>
      </c>
      <c r="K2746" s="1" t="str">
        <f>"2015F622-001    CABLE ASSY W22 DC POWER"</f>
        <v>2015F622-001    CABLE ASSY W22 DC POWER</v>
      </c>
      <c r="L2746">
        <v>4</v>
      </c>
      <c r="O2746">
        <v>184.85</v>
      </c>
      <c r="P2746" t="str">
        <f>"$"</f>
        <v>$</v>
      </c>
      <c r="Q2746" t="str">
        <f>"117"</f>
        <v>117</v>
      </c>
      <c r="R2746" t="str">
        <f>"רתמות"</f>
        <v>רתמות</v>
      </c>
      <c r="S2746" t="str">
        <f>"040"</f>
        <v>040</v>
      </c>
      <c r="T2746" t="str">
        <f>"עמר ליגל"</f>
        <v>עמר ליגל</v>
      </c>
      <c r="U2746">
        <v>0</v>
      </c>
      <c r="V2746">
        <v>0</v>
      </c>
      <c r="W2746">
        <v>184.85</v>
      </c>
      <c r="X2746">
        <v>739.4</v>
      </c>
      <c r="AA2746">
        <v>4</v>
      </c>
      <c r="AC2746">
        <v>0</v>
      </c>
      <c r="AE2746">
        <v>0</v>
      </c>
      <c r="AF2746">
        <v>0</v>
      </c>
      <c r="AG2746">
        <v>679.51</v>
      </c>
      <c r="AH2746">
        <v>0</v>
      </c>
      <c r="AI2746" s="2">
        <v>2718.03</v>
      </c>
      <c r="AJ2746">
        <v>739.4</v>
      </c>
      <c r="AK2746">
        <v>739.4</v>
      </c>
      <c r="AL2746" t="str">
        <f>"$"</f>
        <v>$</v>
      </c>
    </row>
    <row r="2747" spans="1:38" x14ac:dyDescent="0.3">
      <c r="A2747" t="str">
        <f>"SO23000370"</f>
        <v>SO23000370</v>
      </c>
      <c r="B2747" t="str">
        <f>"E000402029"</f>
        <v>E000402029</v>
      </c>
      <c r="C2747" t="str">
        <f>"לאישור הסוכן"</f>
        <v>לאישור הסוכן</v>
      </c>
      <c r="E2747" s="3">
        <v>45145</v>
      </c>
      <c r="F2747" s="3">
        <v>45337</v>
      </c>
      <c r="G2747" t="str">
        <f>"700065"</f>
        <v>700065</v>
      </c>
      <c r="H2747" t="str">
        <f>"אלתא מערכות בע""מ"</f>
        <v>אלתא מערכות בע"מ</v>
      </c>
      <c r="I2747" t="str">
        <f>"רחמים זרוק"</f>
        <v>רחמים זרוק</v>
      </c>
      <c r="J2747" t="str">
        <f>"OP-AR03812"</f>
        <v>OP-AR03812</v>
      </c>
      <c r="K2747" s="1" t="str">
        <f>"2015F631-001    CABLE ASSY W26 F.PANEL"</f>
        <v>2015F631-001    CABLE ASSY W26 F.PANEL</v>
      </c>
      <c r="L2747">
        <v>4</v>
      </c>
      <c r="O2747">
        <v>162.16999999999999</v>
      </c>
      <c r="P2747" t="str">
        <f>"$"</f>
        <v>$</v>
      </c>
      <c r="Q2747" t="str">
        <f>"117"</f>
        <v>117</v>
      </c>
      <c r="R2747" t="str">
        <f>"רתמות"</f>
        <v>רתמות</v>
      </c>
      <c r="S2747" t="str">
        <f>"040"</f>
        <v>040</v>
      </c>
      <c r="T2747" t="str">
        <f>"עמר ליגל"</f>
        <v>עמר ליגל</v>
      </c>
      <c r="U2747">
        <v>0</v>
      </c>
      <c r="V2747">
        <v>0</v>
      </c>
      <c r="W2747">
        <v>162.16999999999999</v>
      </c>
      <c r="X2747">
        <v>648.67999999999995</v>
      </c>
      <c r="AA2747">
        <v>4</v>
      </c>
      <c r="AC2747">
        <v>0</v>
      </c>
      <c r="AE2747">
        <v>0</v>
      </c>
      <c r="AF2747">
        <v>0</v>
      </c>
      <c r="AG2747">
        <v>596.14</v>
      </c>
      <c r="AH2747">
        <v>0</v>
      </c>
      <c r="AI2747" s="2">
        <v>2384.5500000000002</v>
      </c>
      <c r="AJ2747">
        <v>648.67999999999995</v>
      </c>
      <c r="AK2747">
        <v>648.67999999999995</v>
      </c>
      <c r="AL2747" t="str">
        <f>"$"</f>
        <v>$</v>
      </c>
    </row>
    <row r="2748" spans="1:38" x14ac:dyDescent="0.3">
      <c r="A2748" t="str">
        <f>"SO23000370"</f>
        <v>SO23000370</v>
      </c>
      <c r="B2748" t="str">
        <f>"E000402029"</f>
        <v>E000402029</v>
      </c>
      <c r="C2748" t="str">
        <f>"לאישור הסוכן"</f>
        <v>לאישור הסוכן</v>
      </c>
      <c r="E2748" s="3">
        <v>45145</v>
      </c>
      <c r="F2748" s="3">
        <v>45337</v>
      </c>
      <c r="G2748" t="str">
        <f>"700065"</f>
        <v>700065</v>
      </c>
      <c r="H2748" t="str">
        <f>"אלתא מערכות בע""מ"</f>
        <v>אלתא מערכות בע"מ</v>
      </c>
      <c r="I2748" t="str">
        <f>"רחמים זרוק"</f>
        <v>רחמים זרוק</v>
      </c>
      <c r="J2748" t="str">
        <f>"OP-AR03813"</f>
        <v>OP-AR03813</v>
      </c>
      <c r="K2748" s="1" t="str">
        <f>"2015F632-001    CABLE FLAT 60 PIN 52CM"</f>
        <v>2015F632-001    CABLE FLAT 60 PIN 52CM</v>
      </c>
      <c r="L2748">
        <v>4</v>
      </c>
      <c r="O2748">
        <v>162.16999999999999</v>
      </c>
      <c r="P2748" t="str">
        <f>"$"</f>
        <v>$</v>
      </c>
      <c r="Q2748" t="str">
        <f>"117"</f>
        <v>117</v>
      </c>
      <c r="R2748" t="str">
        <f>"רתמות"</f>
        <v>רתמות</v>
      </c>
      <c r="S2748" t="str">
        <f>"040"</f>
        <v>040</v>
      </c>
      <c r="T2748" t="str">
        <f>"עמר ליגל"</f>
        <v>עמר ליגל</v>
      </c>
      <c r="U2748">
        <v>0</v>
      </c>
      <c r="V2748">
        <v>0</v>
      </c>
      <c r="W2748">
        <v>162.16999999999999</v>
      </c>
      <c r="X2748">
        <v>648.67999999999995</v>
      </c>
      <c r="AA2748">
        <v>4</v>
      </c>
      <c r="AC2748">
        <v>0</v>
      </c>
      <c r="AE2748">
        <v>0</v>
      </c>
      <c r="AF2748">
        <v>0</v>
      </c>
      <c r="AG2748">
        <v>596.14</v>
      </c>
      <c r="AH2748">
        <v>0</v>
      </c>
      <c r="AI2748" s="2">
        <v>2384.5500000000002</v>
      </c>
      <c r="AJ2748">
        <v>648.67999999999995</v>
      </c>
      <c r="AK2748">
        <v>648.67999999999995</v>
      </c>
      <c r="AL2748" t="str">
        <f>"$"</f>
        <v>$</v>
      </c>
    </row>
    <row r="2749" spans="1:38" x14ac:dyDescent="0.3">
      <c r="A2749" t="str">
        <f>"SO23000370"</f>
        <v>SO23000370</v>
      </c>
      <c r="B2749" t="str">
        <f>"E000402029"</f>
        <v>E000402029</v>
      </c>
      <c r="C2749" t="str">
        <f>"לאישור הסוכן"</f>
        <v>לאישור הסוכן</v>
      </c>
      <c r="E2749" s="3">
        <v>45145</v>
      </c>
      <c r="F2749" s="3">
        <v>45337</v>
      </c>
      <c r="G2749" t="str">
        <f>"700065"</f>
        <v>700065</v>
      </c>
      <c r="H2749" t="str">
        <f>"אלתא מערכות בע""מ"</f>
        <v>אלתא מערכות בע"מ</v>
      </c>
      <c r="I2749" t="str">
        <f>"רחמים זרוק"</f>
        <v>רחמים זרוק</v>
      </c>
      <c r="J2749" t="str">
        <f>"OP-AR03814"</f>
        <v>OP-AR03814</v>
      </c>
      <c r="K2749" s="1" t="str">
        <f>"2015F633-001    CABLE FLAT 50 PIN 60 CM"</f>
        <v>2015F633-001    CABLE FLAT 50 PIN 60 CM</v>
      </c>
      <c r="L2749">
        <v>4</v>
      </c>
      <c r="O2749">
        <v>94.77</v>
      </c>
      <c r="P2749" t="str">
        <f>"$"</f>
        <v>$</v>
      </c>
      <c r="Q2749" t="str">
        <f>"117"</f>
        <v>117</v>
      </c>
      <c r="R2749" t="str">
        <f>"רתמות"</f>
        <v>רתמות</v>
      </c>
      <c r="S2749" t="str">
        <f>"040"</f>
        <v>040</v>
      </c>
      <c r="T2749" t="str">
        <f>"עמר ליגל"</f>
        <v>עמר ליגל</v>
      </c>
      <c r="U2749">
        <v>0</v>
      </c>
      <c r="V2749">
        <v>0</v>
      </c>
      <c r="W2749">
        <v>94.77</v>
      </c>
      <c r="X2749">
        <v>379.08</v>
      </c>
      <c r="AA2749">
        <v>4</v>
      </c>
      <c r="AC2749">
        <v>0</v>
      </c>
      <c r="AE2749">
        <v>0</v>
      </c>
      <c r="AF2749">
        <v>0</v>
      </c>
      <c r="AG2749">
        <v>348.37</v>
      </c>
      <c r="AH2749">
        <v>0</v>
      </c>
      <c r="AI2749" s="2">
        <v>1393.5</v>
      </c>
      <c r="AJ2749">
        <v>379.08</v>
      </c>
      <c r="AK2749">
        <v>379.08</v>
      </c>
      <c r="AL2749" t="str">
        <f>"$"</f>
        <v>$</v>
      </c>
    </row>
    <row r="2750" spans="1:38" x14ac:dyDescent="0.3">
      <c r="A2750" t="str">
        <f>"SO23000370"</f>
        <v>SO23000370</v>
      </c>
      <c r="B2750" t="str">
        <f>"E000402029"</f>
        <v>E000402029</v>
      </c>
      <c r="C2750" t="str">
        <f>"לאישור הסוכן"</f>
        <v>לאישור הסוכן</v>
      </c>
      <c r="E2750" s="3">
        <v>45145</v>
      </c>
      <c r="F2750" s="3">
        <v>45337</v>
      </c>
      <c r="G2750" t="str">
        <f>"700065"</f>
        <v>700065</v>
      </c>
      <c r="H2750" t="str">
        <f>"אלתא מערכות בע""מ"</f>
        <v>אלתא מערכות בע"מ</v>
      </c>
      <c r="I2750" t="str">
        <f>"רחמים זרוק"</f>
        <v>רחמים זרוק</v>
      </c>
      <c r="J2750" t="str">
        <f>"OP-AR03815"</f>
        <v>OP-AR03815</v>
      </c>
      <c r="K2750" s="1" t="str">
        <f>"2015F634-001    CABLE FLAT 40 PIN 67CM"</f>
        <v>2015F634-001    CABLE FLAT 40 PIN 67CM</v>
      </c>
      <c r="L2750">
        <v>4</v>
      </c>
      <c r="O2750">
        <v>253.53</v>
      </c>
      <c r="P2750" t="str">
        <f>"$"</f>
        <v>$</v>
      </c>
      <c r="Q2750" t="str">
        <f>"117"</f>
        <v>117</v>
      </c>
      <c r="R2750" t="str">
        <f>"רתמות"</f>
        <v>רתמות</v>
      </c>
      <c r="S2750" t="str">
        <f>"040"</f>
        <v>040</v>
      </c>
      <c r="T2750" t="str">
        <f>"עמר ליגל"</f>
        <v>עמר ליגל</v>
      </c>
      <c r="U2750">
        <v>0</v>
      </c>
      <c r="V2750">
        <v>0</v>
      </c>
      <c r="W2750">
        <v>253.53</v>
      </c>
      <c r="X2750" s="2">
        <v>1014.12</v>
      </c>
      <c r="AA2750">
        <v>4</v>
      </c>
      <c r="AC2750">
        <v>0</v>
      </c>
      <c r="AE2750">
        <v>0</v>
      </c>
      <c r="AF2750">
        <v>0</v>
      </c>
      <c r="AG2750">
        <v>931.98</v>
      </c>
      <c r="AH2750">
        <v>0</v>
      </c>
      <c r="AI2750" s="2">
        <v>3727.91</v>
      </c>
      <c r="AJ2750" s="2">
        <v>1014.12</v>
      </c>
      <c r="AK2750" s="2">
        <v>1014.12</v>
      </c>
      <c r="AL2750" t="str">
        <f>"$"</f>
        <v>$</v>
      </c>
    </row>
    <row r="2751" spans="1:38" x14ac:dyDescent="0.3">
      <c r="A2751" t="str">
        <f>"SO23000371"</f>
        <v>SO23000371</v>
      </c>
      <c r="B2751" t="str">
        <f>"E000401376"</f>
        <v>E000401376</v>
      </c>
      <c r="C2751" t="str">
        <f>"לאישור הסוכן"</f>
        <v>לאישור הסוכן</v>
      </c>
      <c r="E2751" s="3">
        <v>45145</v>
      </c>
      <c r="F2751" s="3">
        <v>45290</v>
      </c>
      <c r="G2751" t="str">
        <f>"700065"</f>
        <v>700065</v>
      </c>
      <c r="H2751" t="str">
        <f>"אלתא מערכות בע""מ"</f>
        <v>אלתא מערכות בע"מ</v>
      </c>
      <c r="I2751" t="str">
        <f>"רוני דידי"</f>
        <v>רוני דידי</v>
      </c>
      <c r="J2751" t="str">
        <f>"PD0201111"</f>
        <v>PD0201111</v>
      </c>
      <c r="K2751" s="1" t="str">
        <f>"בורר וולטמטר 7 מצבים לפנל 194L-E12-8251"</f>
        <v>בורר וולטמטר 7 מצבים לפנל 194L-E12-8251</v>
      </c>
      <c r="L2751">
        <v>2</v>
      </c>
      <c r="M2751" t="str">
        <f>"PR23000598"</f>
        <v>PR23000598</v>
      </c>
      <c r="N2751" t="str">
        <f>"חח"</f>
        <v>חח</v>
      </c>
      <c r="O2751">
        <v>32</v>
      </c>
      <c r="P2751" t="str">
        <f>"$"</f>
        <v>$</v>
      </c>
      <c r="Q2751" t="str">
        <f>"112"</f>
        <v>112</v>
      </c>
      <c r="R2751" t="str">
        <f>"תיקון תקלות"</f>
        <v>תיקון תקלות</v>
      </c>
      <c r="S2751" t="str">
        <f>"007"</f>
        <v>007</v>
      </c>
      <c r="T2751" t="str">
        <f>"עמר ליגל"</f>
        <v>עמר ליגל</v>
      </c>
      <c r="U2751">
        <v>0</v>
      </c>
      <c r="V2751">
        <v>0</v>
      </c>
      <c r="W2751">
        <v>32</v>
      </c>
      <c r="X2751">
        <v>64</v>
      </c>
      <c r="AA2751">
        <v>2</v>
      </c>
      <c r="AC2751">
        <v>0</v>
      </c>
      <c r="AE2751">
        <v>0</v>
      </c>
      <c r="AF2751">
        <v>0</v>
      </c>
      <c r="AG2751">
        <v>117.63</v>
      </c>
      <c r="AH2751">
        <v>0</v>
      </c>
      <c r="AI2751">
        <v>235.26</v>
      </c>
      <c r="AJ2751">
        <v>64</v>
      </c>
      <c r="AK2751">
        <v>64</v>
      </c>
      <c r="AL2751" t="str">
        <f>"$"</f>
        <v>$</v>
      </c>
    </row>
    <row r="2752" spans="1:38" x14ac:dyDescent="0.3">
      <c r="A2752" t="str">
        <f>"SO23000371"</f>
        <v>SO23000371</v>
      </c>
      <c r="B2752" t="str">
        <f>"E000401376"</f>
        <v>E000401376</v>
      </c>
      <c r="C2752" t="str">
        <f>"לאישור הסוכן"</f>
        <v>לאישור הסוכן</v>
      </c>
      <c r="E2752" s="3">
        <v>45145</v>
      </c>
      <c r="F2752" s="3">
        <v>45290</v>
      </c>
      <c r="G2752" t="str">
        <f>"700065"</f>
        <v>700065</v>
      </c>
      <c r="H2752" t="str">
        <f>"אלתא מערכות בע""מ"</f>
        <v>אלתא מערכות בע"מ</v>
      </c>
      <c r="I2752" t="str">
        <f>"רוני דידי"</f>
        <v>רוני דידי</v>
      </c>
      <c r="J2752" t="str">
        <f>"PD0200240"</f>
        <v>PD0200240</v>
      </c>
      <c r="K2752" s="1" t="str">
        <f>"סליל הפסקה SOR XT1..XT4 24-30 Vac/dc"</f>
        <v>סליל הפסקה SOR XT1..XT4 24-30 Vac/dc</v>
      </c>
      <c r="L2752">
        <v>2</v>
      </c>
      <c r="M2752" t="str">
        <f>"PR23000598"</f>
        <v>PR23000598</v>
      </c>
      <c r="N2752" t="str">
        <f>"חח"</f>
        <v>חח</v>
      </c>
      <c r="O2752">
        <v>39</v>
      </c>
      <c r="P2752" t="str">
        <f>"$"</f>
        <v>$</v>
      </c>
      <c r="Q2752" t="str">
        <f>"112"</f>
        <v>112</v>
      </c>
      <c r="R2752" t="str">
        <f>"תיקון תקלות"</f>
        <v>תיקון תקלות</v>
      </c>
      <c r="S2752" t="str">
        <f>"007"</f>
        <v>007</v>
      </c>
      <c r="T2752" t="str">
        <f>"עמר ליגל"</f>
        <v>עמר ליגל</v>
      </c>
      <c r="U2752">
        <v>0</v>
      </c>
      <c r="V2752">
        <v>0</v>
      </c>
      <c r="W2752">
        <v>39</v>
      </c>
      <c r="X2752">
        <v>78</v>
      </c>
      <c r="AA2752">
        <v>2</v>
      </c>
      <c r="AC2752">
        <v>0</v>
      </c>
      <c r="AE2752">
        <v>0</v>
      </c>
      <c r="AF2752">
        <v>0</v>
      </c>
      <c r="AG2752">
        <v>143.36000000000001</v>
      </c>
      <c r="AH2752">
        <v>0</v>
      </c>
      <c r="AI2752">
        <v>286.73</v>
      </c>
      <c r="AJ2752">
        <v>78</v>
      </c>
      <c r="AK2752">
        <v>78</v>
      </c>
      <c r="AL2752" t="str">
        <f>"$"</f>
        <v>$</v>
      </c>
    </row>
    <row r="2753" spans="1:38" x14ac:dyDescent="0.3">
      <c r="A2753" t="str">
        <f>"SO23000371"</f>
        <v>SO23000371</v>
      </c>
      <c r="B2753" t="str">
        <f>"E000401376"</f>
        <v>E000401376</v>
      </c>
      <c r="C2753" t="str">
        <f>"לאישור הסוכן"</f>
        <v>לאישור הסוכן</v>
      </c>
      <c r="E2753" s="3">
        <v>45145</v>
      </c>
      <c r="F2753" s="3">
        <v>45290</v>
      </c>
      <c r="G2753" t="str">
        <f>"700065"</f>
        <v>700065</v>
      </c>
      <c r="H2753" t="str">
        <f>"אלתא מערכות בע""מ"</f>
        <v>אלתא מערכות בע"מ</v>
      </c>
      <c r="I2753" t="str">
        <f>"רוני דידי"</f>
        <v>רוני דידי</v>
      </c>
      <c r="J2753" t="str">
        <f>"PD0200097"</f>
        <v>PD0200097</v>
      </c>
      <c r="K2753" s="1" t="str">
        <f>"סט לד ירוק ABB CL-520G220V d.c. 220DC"</f>
        <v>סט לד ירוק ABB CL-520G220V d.c. 220DC</v>
      </c>
      <c r="L2753">
        <v>5</v>
      </c>
      <c r="M2753" t="str">
        <f>"PR23000598"</f>
        <v>PR23000598</v>
      </c>
      <c r="N2753" t="str">
        <f>"חח"</f>
        <v>חח</v>
      </c>
      <c r="O2753">
        <v>11</v>
      </c>
      <c r="P2753" t="str">
        <f>"$"</f>
        <v>$</v>
      </c>
      <c r="Q2753" t="str">
        <f>"112"</f>
        <v>112</v>
      </c>
      <c r="R2753" t="str">
        <f>"תיקון תקלות"</f>
        <v>תיקון תקלות</v>
      </c>
      <c r="S2753" t="str">
        <f>"007"</f>
        <v>007</v>
      </c>
      <c r="T2753" t="str">
        <f>"עמר ליגל"</f>
        <v>עמר ליגל</v>
      </c>
      <c r="U2753">
        <v>0</v>
      </c>
      <c r="V2753">
        <v>0</v>
      </c>
      <c r="W2753">
        <v>11</v>
      </c>
      <c r="X2753">
        <v>55</v>
      </c>
      <c r="AA2753">
        <v>5</v>
      </c>
      <c r="AC2753">
        <v>0</v>
      </c>
      <c r="AE2753">
        <v>0</v>
      </c>
      <c r="AF2753">
        <v>0</v>
      </c>
      <c r="AG2753">
        <v>40.44</v>
      </c>
      <c r="AH2753">
        <v>0</v>
      </c>
      <c r="AI2753">
        <v>202.18</v>
      </c>
      <c r="AJ2753">
        <v>55</v>
      </c>
      <c r="AK2753">
        <v>55</v>
      </c>
      <c r="AL2753" t="str">
        <f>"$"</f>
        <v>$</v>
      </c>
    </row>
    <row r="2754" spans="1:38" x14ac:dyDescent="0.3">
      <c r="A2754" t="str">
        <f>"SO23000371"</f>
        <v>SO23000371</v>
      </c>
      <c r="B2754" t="str">
        <f>"E000401376"</f>
        <v>E000401376</v>
      </c>
      <c r="C2754" t="str">
        <f>"לאישור הסוכן"</f>
        <v>לאישור הסוכן</v>
      </c>
      <c r="E2754" s="3">
        <v>45145</v>
      </c>
      <c r="F2754" s="3">
        <v>45290</v>
      </c>
      <c r="G2754" t="str">
        <f>"700065"</f>
        <v>700065</v>
      </c>
      <c r="H2754" t="str">
        <f>"אלתא מערכות בע""מ"</f>
        <v>אלתא מערכות בע"מ</v>
      </c>
      <c r="I2754" t="str">
        <f>"רוני דידי"</f>
        <v>רוני דידי</v>
      </c>
      <c r="J2754" t="str">
        <f>"PD0200347"</f>
        <v>PD0200347</v>
      </c>
      <c r="K2754" s="1" t="str">
        <f>"סט לד אדום ABB CL-502R24V a.c./d.c.    24AC/DC"</f>
        <v>סט לד אדום ABB CL-502R24V a.c./d.c.    24AC/DC</v>
      </c>
      <c r="L2754">
        <v>5</v>
      </c>
      <c r="O2754">
        <v>12</v>
      </c>
      <c r="P2754" t="str">
        <f>"$"</f>
        <v>$</v>
      </c>
      <c r="Q2754" t="str">
        <f>"112"</f>
        <v>112</v>
      </c>
      <c r="R2754" t="str">
        <f>"תיקון תקלות"</f>
        <v>תיקון תקלות</v>
      </c>
      <c r="S2754" t="str">
        <f>"007"</f>
        <v>007</v>
      </c>
      <c r="T2754" t="str">
        <f>"עמר ליגל"</f>
        <v>עמר ליגל</v>
      </c>
      <c r="U2754">
        <v>0</v>
      </c>
      <c r="V2754">
        <v>0</v>
      </c>
      <c r="W2754">
        <v>12</v>
      </c>
      <c r="X2754">
        <v>60</v>
      </c>
      <c r="AA2754">
        <v>5</v>
      </c>
      <c r="AC2754">
        <v>0</v>
      </c>
      <c r="AE2754">
        <v>0</v>
      </c>
      <c r="AF2754">
        <v>0</v>
      </c>
      <c r="AG2754">
        <v>44.11</v>
      </c>
      <c r="AH2754">
        <v>0</v>
      </c>
      <c r="AI2754">
        <v>220.56</v>
      </c>
      <c r="AJ2754">
        <v>60</v>
      </c>
      <c r="AK2754">
        <v>60</v>
      </c>
      <c r="AL2754" t="str">
        <f>"$"</f>
        <v>$</v>
      </c>
    </row>
    <row r="2755" spans="1:38" x14ac:dyDescent="0.3">
      <c r="A2755" t="str">
        <f>"SO23000371"</f>
        <v>SO23000371</v>
      </c>
      <c r="B2755" t="str">
        <f>"E000401376"</f>
        <v>E000401376</v>
      </c>
      <c r="C2755" t="str">
        <f>"לאישור הסוכן"</f>
        <v>לאישור הסוכן</v>
      </c>
      <c r="E2755" s="3">
        <v>45145</v>
      </c>
      <c r="F2755" s="3">
        <v>45290</v>
      </c>
      <c r="G2755" t="str">
        <f>"700065"</f>
        <v>700065</v>
      </c>
      <c r="H2755" t="str">
        <f>"אלתא מערכות בע""מ"</f>
        <v>אלתא מערכות בע"מ</v>
      </c>
      <c r="I2755" t="str">
        <f>"רוני דידי"</f>
        <v>רוני דידי</v>
      </c>
      <c r="J2755" t="str">
        <f>"PS0200144"</f>
        <v>PS0200144</v>
      </c>
      <c r="K2755" s="1" t="str">
        <f>"ספק כח PRO TOP3 960W 24V 2467120000 40A"</f>
        <v>ספק כח PRO TOP3 960W 24V 2467120000 40A</v>
      </c>
      <c r="L2755">
        <v>1</v>
      </c>
      <c r="M2755" t="str">
        <f>"PR23000598"</f>
        <v>PR23000598</v>
      </c>
      <c r="N2755" t="str">
        <f>"חח"</f>
        <v>חח</v>
      </c>
      <c r="O2755">
        <v>653</v>
      </c>
      <c r="P2755" t="str">
        <f>"$"</f>
        <v>$</v>
      </c>
      <c r="Q2755" t="str">
        <f>"112"</f>
        <v>112</v>
      </c>
      <c r="R2755" t="str">
        <f>"תיקון תקלות"</f>
        <v>תיקון תקלות</v>
      </c>
      <c r="S2755" t="str">
        <f>"007"</f>
        <v>007</v>
      </c>
      <c r="T2755" t="str">
        <f>"עמר ליגל"</f>
        <v>עמר ליגל</v>
      </c>
      <c r="U2755">
        <v>0</v>
      </c>
      <c r="V2755">
        <v>0</v>
      </c>
      <c r="W2755">
        <v>653</v>
      </c>
      <c r="X2755">
        <v>653</v>
      </c>
      <c r="AA2755">
        <v>1</v>
      </c>
      <c r="AC2755">
        <v>0</v>
      </c>
      <c r="AE2755">
        <v>0</v>
      </c>
      <c r="AF2755">
        <v>0</v>
      </c>
      <c r="AG2755" s="2">
        <v>2400.4299999999998</v>
      </c>
      <c r="AH2755">
        <v>0</v>
      </c>
      <c r="AI2755" s="2">
        <v>2400.4299999999998</v>
      </c>
      <c r="AJ2755">
        <v>653</v>
      </c>
      <c r="AK2755">
        <v>653</v>
      </c>
      <c r="AL2755" t="str">
        <f>"$"</f>
        <v>$</v>
      </c>
    </row>
    <row r="2756" spans="1:38" x14ac:dyDescent="0.3">
      <c r="A2756" t="str">
        <f>"SO23000371"</f>
        <v>SO23000371</v>
      </c>
      <c r="B2756" t="str">
        <f>"E000401376"</f>
        <v>E000401376</v>
      </c>
      <c r="C2756" t="str">
        <f>"לאישור הסוכן"</f>
        <v>לאישור הסוכן</v>
      </c>
      <c r="E2756" s="3">
        <v>45145</v>
      </c>
      <c r="F2756" s="3">
        <v>45290</v>
      </c>
      <c r="G2756" t="str">
        <f>"700065"</f>
        <v>700065</v>
      </c>
      <c r="H2756" t="str">
        <f>"אלתא מערכות בע""מ"</f>
        <v>אלתא מערכות בע"מ</v>
      </c>
      <c r="I2756" t="str">
        <f>"רוני דידי"</f>
        <v>רוני דידי</v>
      </c>
      <c r="J2756" t="str">
        <f>"PD0201485"</f>
        <v>PD0201485</v>
      </c>
      <c r="K2756" s="1" t="str">
        <f>"מגן ברק widmulle VPU AC II 4 R 480/50 2591280000"</f>
        <v>מגן ברק widmulle VPU AC II 4 R 480/50 2591280000</v>
      </c>
      <c r="L2756">
        <v>2</v>
      </c>
      <c r="M2756" t="str">
        <f>"PR23000598"</f>
        <v>PR23000598</v>
      </c>
      <c r="N2756" t="str">
        <f>"חח"</f>
        <v>חח</v>
      </c>
      <c r="O2756">
        <v>189</v>
      </c>
      <c r="P2756" t="str">
        <f>"$"</f>
        <v>$</v>
      </c>
      <c r="Q2756" t="str">
        <f>"112"</f>
        <v>112</v>
      </c>
      <c r="R2756" t="str">
        <f>"תיקון תקלות"</f>
        <v>תיקון תקלות</v>
      </c>
      <c r="S2756" t="str">
        <f>"007"</f>
        <v>007</v>
      </c>
      <c r="T2756" t="str">
        <f>"עמר ליגל"</f>
        <v>עמר ליגל</v>
      </c>
      <c r="U2756">
        <v>0</v>
      </c>
      <c r="V2756">
        <v>0</v>
      </c>
      <c r="W2756">
        <v>189</v>
      </c>
      <c r="X2756">
        <v>378</v>
      </c>
      <c r="AA2756">
        <v>2</v>
      </c>
      <c r="AC2756">
        <v>0</v>
      </c>
      <c r="AE2756">
        <v>0</v>
      </c>
      <c r="AF2756">
        <v>0</v>
      </c>
      <c r="AG2756">
        <v>694.76</v>
      </c>
      <c r="AH2756">
        <v>0</v>
      </c>
      <c r="AI2756" s="2">
        <v>1389.53</v>
      </c>
      <c r="AJ2756">
        <v>378</v>
      </c>
      <c r="AK2756">
        <v>378</v>
      </c>
      <c r="AL2756" t="str">
        <f>"$"</f>
        <v>$</v>
      </c>
    </row>
    <row r="2757" spans="1:38" x14ac:dyDescent="0.3">
      <c r="A2757" t="str">
        <f>"SO23000371"</f>
        <v>SO23000371</v>
      </c>
      <c r="B2757" t="str">
        <f>"E000401376"</f>
        <v>E000401376</v>
      </c>
      <c r="C2757" t="str">
        <f>"לאישור הסוכן"</f>
        <v>לאישור הסוכן</v>
      </c>
      <c r="E2757" s="3">
        <v>45145</v>
      </c>
      <c r="F2757" s="3">
        <v>45290</v>
      </c>
      <c r="G2757" t="str">
        <f>"700065"</f>
        <v>700065</v>
      </c>
      <c r="H2757" t="str">
        <f>"אלתא מערכות בע""מ"</f>
        <v>אלתא מערכות בע"מ</v>
      </c>
      <c r="I2757" t="str">
        <f>"רוני דידי"</f>
        <v>רוני דידי</v>
      </c>
      <c r="J2757" t="str">
        <f>"PA1001831"</f>
        <v>PA1001831</v>
      </c>
      <c r="K2757" s="1" t="str">
        <f>"נצנץ אדום 261.120.70 WERMA"</f>
        <v>נצנץ אדום 261.120.70 WERMA</v>
      </c>
      <c r="L2757">
        <v>2</v>
      </c>
      <c r="M2757" t="str">
        <f>"PR23000598"</f>
        <v>PR23000598</v>
      </c>
      <c r="N2757" t="str">
        <f>"חח"</f>
        <v>חח</v>
      </c>
      <c r="O2757">
        <v>190</v>
      </c>
      <c r="P2757" t="str">
        <f>"$"</f>
        <v>$</v>
      </c>
      <c r="Q2757" t="str">
        <f>"112"</f>
        <v>112</v>
      </c>
      <c r="R2757" t="str">
        <f>"תיקון תקלות"</f>
        <v>תיקון תקלות</v>
      </c>
      <c r="S2757" t="str">
        <f>"007"</f>
        <v>007</v>
      </c>
      <c r="T2757" t="str">
        <f>"עמר ליגל"</f>
        <v>עמר ליגל</v>
      </c>
      <c r="U2757">
        <v>0</v>
      </c>
      <c r="V2757">
        <v>0</v>
      </c>
      <c r="W2757">
        <v>190</v>
      </c>
      <c r="X2757">
        <v>380</v>
      </c>
      <c r="AA2757">
        <v>2</v>
      </c>
      <c r="AC2757">
        <v>0</v>
      </c>
      <c r="AE2757">
        <v>0</v>
      </c>
      <c r="AF2757">
        <v>0</v>
      </c>
      <c r="AG2757">
        <v>698.44</v>
      </c>
      <c r="AH2757">
        <v>0</v>
      </c>
      <c r="AI2757" s="2">
        <v>1396.88</v>
      </c>
      <c r="AJ2757">
        <v>380</v>
      </c>
      <c r="AK2757">
        <v>380</v>
      </c>
      <c r="AL2757" t="str">
        <f>"$"</f>
        <v>$</v>
      </c>
    </row>
    <row r="2758" spans="1:38" x14ac:dyDescent="0.3">
      <c r="A2758" t="str">
        <f>"SO23000371"</f>
        <v>SO23000371</v>
      </c>
      <c r="B2758" t="str">
        <f>"E000401376"</f>
        <v>E000401376</v>
      </c>
      <c r="C2758" t="str">
        <f>"לאישור הסוכן"</f>
        <v>לאישור הסוכן</v>
      </c>
      <c r="E2758" s="3">
        <v>45145</v>
      </c>
      <c r="F2758" s="3">
        <v>45290</v>
      </c>
      <c r="G2758" t="str">
        <f>"700065"</f>
        <v>700065</v>
      </c>
      <c r="H2758" t="str">
        <f>"אלתא מערכות בע""מ"</f>
        <v>אלתא מערכות בע"מ</v>
      </c>
      <c r="I2758" t="str">
        <f>"רוני דידי"</f>
        <v>רוני דידי</v>
      </c>
      <c r="J2758" t="str">
        <f>"PA9900229"</f>
        <v>PA9900229</v>
      </c>
      <c r="K2758" s="1" t="str">
        <f>"מונה שעות עבודה HOUR METER 701FR00101248D2060A"</f>
        <v>מונה שעות עבודה HOUR METER 701FR00101248D2060A</v>
      </c>
      <c r="L2758">
        <v>1</v>
      </c>
      <c r="M2758" t="str">
        <f>"PR23000598"</f>
        <v>PR23000598</v>
      </c>
      <c r="N2758" t="str">
        <f>"חח"</f>
        <v>חח</v>
      </c>
      <c r="O2758">
        <v>78</v>
      </c>
      <c r="P2758" t="str">
        <f>"$"</f>
        <v>$</v>
      </c>
      <c r="Q2758" t="str">
        <f>"112"</f>
        <v>112</v>
      </c>
      <c r="R2758" t="str">
        <f>"תיקון תקלות"</f>
        <v>תיקון תקלות</v>
      </c>
      <c r="S2758" t="str">
        <f>"007"</f>
        <v>007</v>
      </c>
      <c r="T2758" t="str">
        <f>"עמר ליגל"</f>
        <v>עמר ליגל</v>
      </c>
      <c r="U2758">
        <v>0</v>
      </c>
      <c r="V2758">
        <v>0</v>
      </c>
      <c r="W2758">
        <v>78</v>
      </c>
      <c r="X2758">
        <v>78</v>
      </c>
      <c r="AA2758">
        <v>1</v>
      </c>
      <c r="AC2758">
        <v>0</v>
      </c>
      <c r="AE2758">
        <v>0</v>
      </c>
      <c r="AF2758">
        <v>0</v>
      </c>
      <c r="AG2758">
        <v>286.73</v>
      </c>
      <c r="AH2758">
        <v>0</v>
      </c>
      <c r="AI2758">
        <v>286.73</v>
      </c>
      <c r="AJ2758">
        <v>78</v>
      </c>
      <c r="AK2758">
        <v>78</v>
      </c>
      <c r="AL2758" t="str">
        <f>"$"</f>
        <v>$</v>
      </c>
    </row>
    <row r="2759" spans="1:38" x14ac:dyDescent="0.3">
      <c r="A2759" t="str">
        <f>"SO23000371"</f>
        <v>SO23000371</v>
      </c>
      <c r="B2759" t="str">
        <f>"E000401376"</f>
        <v>E000401376</v>
      </c>
      <c r="C2759" t="str">
        <f>"לאישור הסוכן"</f>
        <v>לאישור הסוכן</v>
      </c>
      <c r="E2759" s="3">
        <v>45145</v>
      </c>
      <c r="F2759" s="3">
        <v>45290</v>
      </c>
      <c r="G2759" t="str">
        <f>"700065"</f>
        <v>700065</v>
      </c>
      <c r="H2759" t="str">
        <f>"אלתא מערכות בע""מ"</f>
        <v>אלתא מערכות בע"מ</v>
      </c>
      <c r="I2759" t="str">
        <f>"רוני דידי"</f>
        <v>רוני דידי</v>
      </c>
      <c r="J2759" t="str">
        <f>"PA1001828"</f>
        <v>PA1001828</v>
      </c>
      <c r="K2759" s="1" t="str">
        <f>"Fan Accessories 120mm Finger Guard G109-3A"</f>
        <v>Fan Accessories 120mm Finger Guard G109-3A</v>
      </c>
      <c r="L2759">
        <v>2</v>
      </c>
      <c r="M2759" t="str">
        <f>"PR23000598"</f>
        <v>PR23000598</v>
      </c>
      <c r="N2759" t="str">
        <f>"חח"</f>
        <v>חח</v>
      </c>
      <c r="O2759">
        <v>3</v>
      </c>
      <c r="P2759" t="str">
        <f>"$"</f>
        <v>$</v>
      </c>
      <c r="Q2759" t="str">
        <f>"112"</f>
        <v>112</v>
      </c>
      <c r="R2759" t="str">
        <f>"תיקון תקלות"</f>
        <v>תיקון תקלות</v>
      </c>
      <c r="S2759" t="str">
        <f>"007"</f>
        <v>007</v>
      </c>
      <c r="T2759" t="str">
        <f>"עמר ליגל"</f>
        <v>עמר ליגל</v>
      </c>
      <c r="U2759">
        <v>0</v>
      </c>
      <c r="V2759">
        <v>0</v>
      </c>
      <c r="W2759">
        <v>3</v>
      </c>
      <c r="X2759">
        <v>6</v>
      </c>
      <c r="AA2759">
        <v>2</v>
      </c>
      <c r="AC2759">
        <v>0</v>
      </c>
      <c r="AE2759">
        <v>0</v>
      </c>
      <c r="AF2759">
        <v>0</v>
      </c>
      <c r="AG2759">
        <v>11.03</v>
      </c>
      <c r="AH2759">
        <v>0</v>
      </c>
      <c r="AI2759">
        <v>22.06</v>
      </c>
      <c r="AJ2759">
        <v>6</v>
      </c>
      <c r="AK2759">
        <v>6</v>
      </c>
      <c r="AL2759" t="str">
        <f>"$"</f>
        <v>$</v>
      </c>
    </row>
    <row r="2760" spans="1:38" x14ac:dyDescent="0.3">
      <c r="A2760" t="str">
        <f>"SO23000371"</f>
        <v>SO23000371</v>
      </c>
      <c r="B2760" t="str">
        <f>"E000401376"</f>
        <v>E000401376</v>
      </c>
      <c r="C2760" t="str">
        <f>"לאישור הסוכן"</f>
        <v>לאישור הסוכן</v>
      </c>
      <c r="E2760" s="3">
        <v>45145</v>
      </c>
      <c r="F2760" s="3">
        <v>45290</v>
      </c>
      <c r="G2760" t="str">
        <f>"700065"</f>
        <v>700065</v>
      </c>
      <c r="H2760" t="str">
        <f>"אלתא מערכות בע""מ"</f>
        <v>אלתא מערכות בע"מ</v>
      </c>
      <c r="I2760" t="str">
        <f>"רוני דידי"</f>
        <v>רוני דידי</v>
      </c>
      <c r="J2760" t="str">
        <f>"PD9900588"</f>
        <v>PD9900588</v>
      </c>
      <c r="K2760" s="1" t="str">
        <f>"מאוורר PFB1248UHE-EP 120x120 FAN 220CFM 48VDC"</f>
        <v>מאוורר PFB1248UHE-EP 120x120 FAN 220CFM 48VDC</v>
      </c>
      <c r="L2760">
        <v>2</v>
      </c>
      <c r="M2760" t="str">
        <f>"PR23000598"</f>
        <v>PR23000598</v>
      </c>
      <c r="N2760" t="str">
        <f>"חח"</f>
        <v>חח</v>
      </c>
      <c r="O2760">
        <v>109</v>
      </c>
      <c r="P2760" t="str">
        <f>"$"</f>
        <v>$</v>
      </c>
      <c r="Q2760" t="str">
        <f>"112"</f>
        <v>112</v>
      </c>
      <c r="R2760" t="str">
        <f>"תיקון תקלות"</f>
        <v>תיקון תקלות</v>
      </c>
      <c r="S2760" t="str">
        <f>"007"</f>
        <v>007</v>
      </c>
      <c r="T2760" t="str">
        <f>"עמר ליגל"</f>
        <v>עמר ליגל</v>
      </c>
      <c r="U2760">
        <v>0</v>
      </c>
      <c r="V2760">
        <v>0</v>
      </c>
      <c r="W2760">
        <v>109</v>
      </c>
      <c r="X2760">
        <v>218</v>
      </c>
      <c r="AA2760">
        <v>2</v>
      </c>
      <c r="AC2760">
        <v>0</v>
      </c>
      <c r="AE2760">
        <v>0</v>
      </c>
      <c r="AF2760">
        <v>0</v>
      </c>
      <c r="AG2760">
        <v>400.68</v>
      </c>
      <c r="AH2760">
        <v>0</v>
      </c>
      <c r="AI2760">
        <v>801.37</v>
      </c>
      <c r="AJ2760">
        <v>218</v>
      </c>
      <c r="AK2760">
        <v>218</v>
      </c>
      <c r="AL2760" t="str">
        <f>"$"</f>
        <v>$</v>
      </c>
    </row>
    <row r="2761" spans="1:38" x14ac:dyDescent="0.3">
      <c r="A2761" t="str">
        <f>"SO23000371"</f>
        <v>SO23000371</v>
      </c>
      <c r="B2761" t="str">
        <f>"E000401376"</f>
        <v>E000401376</v>
      </c>
      <c r="C2761" t="str">
        <f>"לאישור הסוכן"</f>
        <v>לאישור הסוכן</v>
      </c>
      <c r="E2761" s="3">
        <v>45145</v>
      </c>
      <c r="F2761" s="3">
        <v>45290</v>
      </c>
      <c r="G2761" t="str">
        <f>"700065"</f>
        <v>700065</v>
      </c>
      <c r="H2761" t="str">
        <f>"אלתא מערכות בע""מ"</f>
        <v>אלתא מערכות בע"מ</v>
      </c>
      <c r="I2761" t="str">
        <f>"רוני דידי"</f>
        <v>רוני דידי</v>
      </c>
      <c r="J2761" t="str">
        <f>"PD0300436"</f>
        <v>PD0300436</v>
      </c>
      <c r="K2761" s="1" t="str">
        <f>"וולטמטר דיגיטלי AC/DC דגם ABB VLMD P"</f>
        <v>וולטמטר דיגיטלי AC/DC דגם ABB VLMD P</v>
      </c>
      <c r="L2761">
        <v>4</v>
      </c>
      <c r="M2761" t="str">
        <f>"PR23000598"</f>
        <v>PR23000598</v>
      </c>
      <c r="N2761" t="str">
        <f>"חח"</f>
        <v>חח</v>
      </c>
      <c r="O2761">
        <v>167</v>
      </c>
      <c r="P2761" t="str">
        <f>"$"</f>
        <v>$</v>
      </c>
      <c r="Q2761" t="str">
        <f>"112"</f>
        <v>112</v>
      </c>
      <c r="R2761" t="str">
        <f>"תיקון תקלות"</f>
        <v>תיקון תקלות</v>
      </c>
      <c r="S2761" t="str">
        <f>"007"</f>
        <v>007</v>
      </c>
      <c r="T2761" t="str">
        <f>"עמר ליגל"</f>
        <v>עמר ליגל</v>
      </c>
      <c r="U2761">
        <v>0</v>
      </c>
      <c r="V2761">
        <v>0</v>
      </c>
      <c r="W2761">
        <v>167</v>
      </c>
      <c r="X2761">
        <v>668</v>
      </c>
      <c r="AA2761">
        <v>4</v>
      </c>
      <c r="AC2761">
        <v>0</v>
      </c>
      <c r="AE2761">
        <v>0</v>
      </c>
      <c r="AF2761">
        <v>0</v>
      </c>
      <c r="AG2761">
        <v>613.89</v>
      </c>
      <c r="AH2761">
        <v>0</v>
      </c>
      <c r="AI2761" s="2">
        <v>2455.5700000000002</v>
      </c>
      <c r="AJ2761">
        <v>668</v>
      </c>
      <c r="AK2761">
        <v>668</v>
      </c>
      <c r="AL2761" t="str">
        <f>"$"</f>
        <v>$</v>
      </c>
    </row>
    <row r="2762" spans="1:38" x14ac:dyDescent="0.3">
      <c r="A2762" t="str">
        <f>"SO23000371"</f>
        <v>SO23000371</v>
      </c>
      <c r="B2762" t="str">
        <f>"E000401376"</f>
        <v>E000401376</v>
      </c>
      <c r="C2762" t="str">
        <f>"לאישור הסוכן"</f>
        <v>לאישור הסוכן</v>
      </c>
      <c r="E2762" s="3">
        <v>45145</v>
      </c>
      <c r="F2762" s="3">
        <v>45290</v>
      </c>
      <c r="G2762" t="str">
        <f>"700065"</f>
        <v>700065</v>
      </c>
      <c r="H2762" t="str">
        <f>"אלתא מערכות בע""מ"</f>
        <v>אלתא מערכות בע"מ</v>
      </c>
      <c r="I2762" t="str">
        <f>"רוני דידי"</f>
        <v>רוני דידי</v>
      </c>
      <c r="J2762" t="str">
        <f>"PA1001830"</f>
        <v>PA1001830</v>
      </c>
      <c r="K2762" s="1" t="str">
        <f>"נצנץ כחול 261.520.70 WERMA"</f>
        <v>נצנץ כחול 261.520.70 WERMA</v>
      </c>
      <c r="L2762">
        <v>2</v>
      </c>
      <c r="M2762" t="str">
        <f>"PR23000598"</f>
        <v>PR23000598</v>
      </c>
      <c r="N2762" t="str">
        <f>"חח"</f>
        <v>חח</v>
      </c>
      <c r="O2762">
        <v>190</v>
      </c>
      <c r="P2762" t="str">
        <f>"$"</f>
        <v>$</v>
      </c>
      <c r="Q2762" t="str">
        <f>"112"</f>
        <v>112</v>
      </c>
      <c r="R2762" t="str">
        <f>"תיקון תקלות"</f>
        <v>תיקון תקלות</v>
      </c>
      <c r="S2762" t="str">
        <f>"007"</f>
        <v>007</v>
      </c>
      <c r="T2762" t="str">
        <f>"עמר ליגל"</f>
        <v>עמר ליגל</v>
      </c>
      <c r="U2762">
        <v>0</v>
      </c>
      <c r="V2762">
        <v>0</v>
      </c>
      <c r="W2762">
        <v>190</v>
      </c>
      <c r="X2762">
        <v>380</v>
      </c>
      <c r="AA2762">
        <v>2</v>
      </c>
      <c r="AC2762">
        <v>0</v>
      </c>
      <c r="AE2762">
        <v>0</v>
      </c>
      <c r="AF2762">
        <v>0</v>
      </c>
      <c r="AG2762">
        <v>698.44</v>
      </c>
      <c r="AH2762">
        <v>0</v>
      </c>
      <c r="AI2762" s="2">
        <v>1396.88</v>
      </c>
      <c r="AJ2762">
        <v>380</v>
      </c>
      <c r="AK2762">
        <v>380</v>
      </c>
      <c r="AL2762" t="str">
        <f>"$"</f>
        <v>$</v>
      </c>
    </row>
    <row r="2763" spans="1:38" x14ac:dyDescent="0.3">
      <c r="A2763" t="str">
        <f>"SO23000377"</f>
        <v>SO23000377</v>
      </c>
      <c r="B2763" t="str">
        <f>"E000401196"</f>
        <v>E000401196</v>
      </c>
      <c r="C2763" t="str">
        <f>"בוצעה"</f>
        <v>בוצעה</v>
      </c>
      <c r="E2763" s="3">
        <v>45150</v>
      </c>
      <c r="F2763" s="3">
        <v>45204</v>
      </c>
      <c r="G2763" t="str">
        <f>"700065"</f>
        <v>700065</v>
      </c>
      <c r="H2763" t="str">
        <f>"אלתא מערכות בע""מ"</f>
        <v>אלתא מערכות בע"מ</v>
      </c>
      <c r="I2763" t="str">
        <f>"רוני דידי"</f>
        <v>רוני דידי</v>
      </c>
      <c r="J2763" t="str">
        <f>"SH0100029"</f>
        <v>SH0100029</v>
      </c>
      <c r="K2763" s="1" t="str">
        <f>"שנאי 150KAV לפי מפרט מצורף קומפלט"</f>
        <v>שנאי 150KAV לפי מפרט מצורף קומפלט</v>
      </c>
      <c r="L2763">
        <v>1</v>
      </c>
      <c r="M2763" t="str">
        <f>"PR23000554"</f>
        <v>PR23000554</v>
      </c>
      <c r="N2763" t="str">
        <f>"E000401196 שנאי"</f>
        <v>E000401196 שנאי</v>
      </c>
      <c r="O2763" s="2">
        <v>19250</v>
      </c>
      <c r="P2763" t="str">
        <f>"$"</f>
        <v>$</v>
      </c>
      <c r="Q2763" t="str">
        <f>"112"</f>
        <v>112</v>
      </c>
      <c r="R2763" t="str">
        <f>"תיקון תקלות"</f>
        <v>תיקון תקלות</v>
      </c>
      <c r="S2763" t="str">
        <f>"007"</f>
        <v>007</v>
      </c>
      <c r="T2763" t="str">
        <f>"עמר ליגל"</f>
        <v>עמר ליגל</v>
      </c>
      <c r="U2763">
        <v>0</v>
      </c>
      <c r="V2763">
        <v>0</v>
      </c>
      <c r="W2763" s="2">
        <v>19250</v>
      </c>
      <c r="X2763" s="2">
        <v>19250</v>
      </c>
      <c r="Z2763" t="str">
        <f>"Y"</f>
        <v>Y</v>
      </c>
      <c r="AA2763">
        <v>0</v>
      </c>
      <c r="AC2763">
        <v>0</v>
      </c>
      <c r="AE2763">
        <v>0</v>
      </c>
      <c r="AF2763">
        <v>0</v>
      </c>
      <c r="AG2763" s="2">
        <v>71667.75</v>
      </c>
      <c r="AH2763">
        <v>0</v>
      </c>
      <c r="AI2763" s="2">
        <v>71667.75</v>
      </c>
      <c r="AJ2763" s="2">
        <v>19250</v>
      </c>
      <c r="AK2763" s="2">
        <v>19250</v>
      </c>
      <c r="AL2763" t="str">
        <f>"$"</f>
        <v>$</v>
      </c>
    </row>
    <row r="2764" spans="1:38" x14ac:dyDescent="0.3">
      <c r="A2764" t="str">
        <f>"SO23000378"</f>
        <v>SO23000378</v>
      </c>
      <c r="B2764" t="str">
        <f>"E000400792"</f>
        <v>E000400792</v>
      </c>
      <c r="C2764" t="str">
        <f>"מאושרת לבצוע"</f>
        <v>מאושרת לבצוע</v>
      </c>
      <c r="E2764" s="3">
        <v>45150</v>
      </c>
      <c r="F2764" s="3">
        <v>45290</v>
      </c>
      <c r="G2764" t="str">
        <f>"700065"</f>
        <v>700065</v>
      </c>
      <c r="H2764" t="str">
        <f>"אלתא מערכות בע""מ"</f>
        <v>אלתא מערכות בע"מ</v>
      </c>
      <c r="I2764" t="str">
        <f>"רוני דידי"</f>
        <v>רוני דידי</v>
      </c>
      <c r="J2764" t="str">
        <f>"000"</f>
        <v>000</v>
      </c>
      <c r="K2764" s="1" t="str">
        <f>"שינוי מסדי מחשבים 1-2"</f>
        <v>שינוי מסדי מחשבים 1-2</v>
      </c>
      <c r="L2764">
        <v>1</v>
      </c>
      <c r="O2764" s="2">
        <v>2200</v>
      </c>
      <c r="P2764" t="str">
        <f>"$"</f>
        <v>$</v>
      </c>
      <c r="Q2764" t="str">
        <f>"112"</f>
        <v>112</v>
      </c>
      <c r="R2764" t="str">
        <f>"תיקון תקלות"</f>
        <v>תיקון תקלות</v>
      </c>
      <c r="S2764" t="str">
        <f>"007"</f>
        <v>007</v>
      </c>
      <c r="T2764" t="str">
        <f>"עמר ליגל"</f>
        <v>עמר ליגל</v>
      </c>
      <c r="U2764">
        <v>0</v>
      </c>
      <c r="V2764">
        <v>0</v>
      </c>
      <c r="W2764" s="2">
        <v>2200</v>
      </c>
      <c r="X2764" s="2">
        <v>2200</v>
      </c>
      <c r="AA2764">
        <v>1</v>
      </c>
      <c r="AC2764">
        <v>0</v>
      </c>
      <c r="AE2764">
        <v>0</v>
      </c>
      <c r="AF2764">
        <v>0</v>
      </c>
      <c r="AG2764" s="2">
        <v>8190.6</v>
      </c>
      <c r="AH2764">
        <v>0</v>
      </c>
      <c r="AI2764" s="2">
        <v>8190.6</v>
      </c>
      <c r="AJ2764" s="2">
        <v>2200</v>
      </c>
      <c r="AK2764" s="2">
        <v>2200</v>
      </c>
      <c r="AL2764" t="str">
        <f>"$"</f>
        <v>$</v>
      </c>
    </row>
    <row r="2765" spans="1:38" x14ac:dyDescent="0.3">
      <c r="A2765" t="str">
        <f>"SO23000378"</f>
        <v>SO23000378</v>
      </c>
      <c r="B2765" t="str">
        <f>"E000400792"</f>
        <v>E000400792</v>
      </c>
      <c r="C2765" t="str">
        <f>"מאושרת לבצוע"</f>
        <v>מאושרת לבצוע</v>
      </c>
      <c r="E2765" s="3">
        <v>45150</v>
      </c>
      <c r="F2765" s="3">
        <v>45290</v>
      </c>
      <c r="G2765" t="str">
        <f>"700065"</f>
        <v>700065</v>
      </c>
      <c r="H2765" t="str">
        <f>"אלתא מערכות בע""מ"</f>
        <v>אלתא מערכות בע"מ</v>
      </c>
      <c r="I2765" t="str">
        <f>"רוני דידי"</f>
        <v>רוני דידי</v>
      </c>
      <c r="J2765" t="str">
        <f>"000"</f>
        <v>000</v>
      </c>
      <c r="K2765" s="1" t="str">
        <f>"שינוי מסדי מחשבים 3-11"</f>
        <v>שינוי מסדי מחשבים 3-11</v>
      </c>
      <c r="L2765">
        <v>1</v>
      </c>
      <c r="O2765" s="2">
        <v>9450</v>
      </c>
      <c r="P2765" t="str">
        <f>"$"</f>
        <v>$</v>
      </c>
      <c r="Q2765" t="str">
        <f>"112"</f>
        <v>112</v>
      </c>
      <c r="R2765" t="str">
        <f>"תיקון תקלות"</f>
        <v>תיקון תקלות</v>
      </c>
      <c r="S2765" t="str">
        <f>"007"</f>
        <v>007</v>
      </c>
      <c r="T2765" t="str">
        <f>"עמר ליגל"</f>
        <v>עמר ליגל</v>
      </c>
      <c r="U2765">
        <v>0</v>
      </c>
      <c r="V2765">
        <v>0</v>
      </c>
      <c r="W2765" s="2">
        <v>9450</v>
      </c>
      <c r="X2765" s="2">
        <v>9450</v>
      </c>
      <c r="AA2765">
        <v>1</v>
      </c>
      <c r="AC2765">
        <v>0</v>
      </c>
      <c r="AE2765">
        <v>0</v>
      </c>
      <c r="AF2765">
        <v>0</v>
      </c>
      <c r="AG2765" s="2">
        <v>35182.35</v>
      </c>
      <c r="AH2765">
        <v>0</v>
      </c>
      <c r="AI2765" s="2">
        <v>35182.35</v>
      </c>
      <c r="AJ2765" s="2">
        <v>9450</v>
      </c>
      <c r="AK2765" s="2">
        <v>9450</v>
      </c>
      <c r="AL2765" t="str">
        <f>"$"</f>
        <v>$</v>
      </c>
    </row>
    <row r="2766" spans="1:38" x14ac:dyDescent="0.3">
      <c r="A2766" t="str">
        <f>"SO23000378"</f>
        <v>SO23000378</v>
      </c>
      <c r="B2766" t="str">
        <f>"E000400792"</f>
        <v>E000400792</v>
      </c>
      <c r="C2766" t="str">
        <f>"מאושרת לבצוע"</f>
        <v>מאושרת לבצוע</v>
      </c>
      <c r="E2766" s="3">
        <v>45150</v>
      </c>
      <c r="F2766" s="3">
        <v>45290</v>
      </c>
      <c r="G2766" t="str">
        <f>"700065"</f>
        <v>700065</v>
      </c>
      <c r="H2766" t="str">
        <f>"אלתא מערכות בע""מ"</f>
        <v>אלתא מערכות בע"מ</v>
      </c>
      <c r="I2766" t="str">
        <f>"רוני דידי"</f>
        <v>רוני דידי</v>
      </c>
      <c r="J2766" t="str">
        <f>"000"</f>
        <v>000</v>
      </c>
      <c r="K2766" s="1" t="str">
        <f>"שינוי תכן מסדי מחשבים"</f>
        <v>שינוי תכן מסדי מחשבים</v>
      </c>
      <c r="L2766">
        <v>1</v>
      </c>
      <c r="O2766" s="2">
        <v>5500</v>
      </c>
      <c r="P2766" t="str">
        <f>"$"</f>
        <v>$</v>
      </c>
      <c r="Q2766" t="str">
        <f>"112"</f>
        <v>112</v>
      </c>
      <c r="R2766" t="str">
        <f>"תיקון תקלות"</f>
        <v>תיקון תקלות</v>
      </c>
      <c r="S2766" t="str">
        <f>"007"</f>
        <v>007</v>
      </c>
      <c r="T2766" t="str">
        <f>"עמר ליגל"</f>
        <v>עמר ליגל</v>
      </c>
      <c r="U2766">
        <v>0</v>
      </c>
      <c r="V2766">
        <v>0</v>
      </c>
      <c r="W2766" s="2">
        <v>5500</v>
      </c>
      <c r="X2766" s="2">
        <v>5500</v>
      </c>
      <c r="AA2766">
        <v>1</v>
      </c>
      <c r="AC2766">
        <v>0</v>
      </c>
      <c r="AE2766">
        <v>0</v>
      </c>
      <c r="AF2766">
        <v>0</v>
      </c>
      <c r="AG2766" s="2">
        <v>20476.5</v>
      </c>
      <c r="AH2766">
        <v>0</v>
      </c>
      <c r="AI2766" s="2">
        <v>20476.5</v>
      </c>
      <c r="AJ2766" s="2">
        <v>5500</v>
      </c>
      <c r="AK2766" s="2">
        <v>5500</v>
      </c>
      <c r="AL2766" t="str">
        <f>"$"</f>
        <v>$</v>
      </c>
    </row>
    <row r="2767" spans="1:38" x14ac:dyDescent="0.3">
      <c r="A2767" t="str">
        <f>"SO23000379"</f>
        <v>SO23000379</v>
      </c>
      <c r="B2767" t="str">
        <f>"E000402077"</f>
        <v>E000402077</v>
      </c>
      <c r="C2767" t="str">
        <f>"מאושרת לבצוע"</f>
        <v>מאושרת לבצוע</v>
      </c>
      <c r="E2767" s="3">
        <v>45150</v>
      </c>
      <c r="F2767" s="3">
        <v>45148</v>
      </c>
      <c r="G2767" t="str">
        <f>"700065"</f>
        <v>700065</v>
      </c>
      <c r="H2767" t="str">
        <f>"אלתא מערכות בע""מ"</f>
        <v>אלתא מערכות בע"מ</v>
      </c>
      <c r="I2767" t="str">
        <f>"ערן שלו"</f>
        <v>ערן שלו</v>
      </c>
      <c r="J2767" t="str">
        <f>"PA1002542"</f>
        <v>PA1002542</v>
      </c>
      <c r="K2767" s="1" t="str">
        <f>"פאוץ לצינור דלק RPU"</f>
        <v>פאוץ לצינור דלק RPU</v>
      </c>
      <c r="L2767">
        <v>1</v>
      </c>
      <c r="M2767" t="str">
        <f>"PR23000553"</f>
        <v>PR23000553</v>
      </c>
      <c r="N2767" t="str">
        <f>"00 פאוץ לצינור דלק עם סקוץ מש"</f>
        <v>00 פאוץ לצינור דלק עם סקוץ מש</v>
      </c>
      <c r="O2767">
        <v>500</v>
      </c>
      <c r="P2767" t="str">
        <f>"$"</f>
        <v>$</v>
      </c>
      <c r="Q2767" t="str">
        <f>"118"</f>
        <v>118</v>
      </c>
      <c r="R2767" t="str">
        <f>"מערכות"</f>
        <v>מערכות</v>
      </c>
      <c r="S2767" t="str">
        <f>"034"</f>
        <v>034</v>
      </c>
      <c r="T2767" t="str">
        <f>"עמר ליגל"</f>
        <v>עמר ליגל</v>
      </c>
      <c r="U2767">
        <v>0</v>
      </c>
      <c r="V2767">
        <v>0</v>
      </c>
      <c r="W2767">
        <v>500</v>
      </c>
      <c r="X2767">
        <v>500</v>
      </c>
      <c r="AA2767">
        <v>1</v>
      </c>
      <c r="AC2767">
        <v>0</v>
      </c>
      <c r="AE2767">
        <v>0</v>
      </c>
      <c r="AF2767">
        <v>0</v>
      </c>
      <c r="AG2767" s="2">
        <v>1861.5</v>
      </c>
      <c r="AH2767">
        <v>0</v>
      </c>
      <c r="AI2767" s="2">
        <v>1861.5</v>
      </c>
      <c r="AJ2767">
        <v>500</v>
      </c>
      <c r="AK2767">
        <v>500</v>
      </c>
      <c r="AL2767" t="str">
        <f>"$"</f>
        <v>$</v>
      </c>
    </row>
    <row r="2768" spans="1:38" x14ac:dyDescent="0.3">
      <c r="A2768" t="str">
        <f>"SO23000380"</f>
        <v>SO23000380</v>
      </c>
      <c r="B2768" t="str">
        <f>"E000402416"</f>
        <v>E000402416</v>
      </c>
      <c r="C2768" t="str">
        <f>"לאישור הסוכן"</f>
        <v>לאישור הסוכן</v>
      </c>
      <c r="E2768" s="3">
        <v>45150</v>
      </c>
      <c r="F2768" s="3">
        <v>45296</v>
      </c>
      <c r="G2768" t="str">
        <f>"700065"</f>
        <v>700065</v>
      </c>
      <c r="H2768" t="str">
        <f>"אלתא מערכות בע""מ"</f>
        <v>אלתא מערכות בע"מ</v>
      </c>
      <c r="I2768" t="str">
        <f>"רחמים זרוק"</f>
        <v>רחמים זרוק</v>
      </c>
      <c r="J2768" t="str">
        <f>"OP-AR03801"</f>
        <v>OP-AR03801</v>
      </c>
      <c r="K2768" s="1" t="str">
        <f>"2214B328-001     JPOD DTRC MAN"</f>
        <v>2214B328-001     JPOD DTRC MAN</v>
      </c>
      <c r="L2768">
        <v>1</v>
      </c>
      <c r="O2768" s="2">
        <v>2150.36</v>
      </c>
      <c r="P2768" t="str">
        <f>"$"</f>
        <v>$</v>
      </c>
      <c r="Q2768" t="str">
        <f>"117"</f>
        <v>117</v>
      </c>
      <c r="R2768" t="str">
        <f>"רתמות"</f>
        <v>רתמות</v>
      </c>
      <c r="S2768" t="str">
        <f>"040"</f>
        <v>040</v>
      </c>
      <c r="T2768" t="str">
        <f>"עמר ליגל"</f>
        <v>עמר ליגל</v>
      </c>
      <c r="U2768">
        <v>0</v>
      </c>
      <c r="V2768">
        <v>0</v>
      </c>
      <c r="W2768" s="2">
        <v>2150.36</v>
      </c>
      <c r="X2768" s="2">
        <v>2150.36</v>
      </c>
      <c r="AA2768">
        <v>1</v>
      </c>
      <c r="AC2768">
        <v>0</v>
      </c>
      <c r="AE2768">
        <v>0</v>
      </c>
      <c r="AF2768">
        <v>0</v>
      </c>
      <c r="AG2768" s="2">
        <v>8005.79</v>
      </c>
      <c r="AH2768">
        <v>0</v>
      </c>
      <c r="AI2768" s="2">
        <v>8005.79</v>
      </c>
      <c r="AJ2768" s="2">
        <v>2150.36</v>
      </c>
      <c r="AK2768" s="2">
        <v>2150.36</v>
      </c>
      <c r="AL2768" t="str">
        <f>"$"</f>
        <v>$</v>
      </c>
    </row>
    <row r="2769" spans="1:38" x14ac:dyDescent="0.3">
      <c r="A2769" t="str">
        <f>"SO23000381"</f>
        <v>SO23000381</v>
      </c>
      <c r="B2769" t="str">
        <f>"E000402050"</f>
        <v>E000402050</v>
      </c>
      <c r="C2769" t="str">
        <f>"טיוטא"</f>
        <v>טיוטא</v>
      </c>
      <c r="E2769" s="3">
        <v>45150</v>
      </c>
      <c r="F2769" s="3">
        <v>45275</v>
      </c>
      <c r="G2769" t="str">
        <f>"700065"</f>
        <v>700065</v>
      </c>
      <c r="H2769" t="str">
        <f>"אלתא מערכות בע""מ"</f>
        <v>אלתא מערכות בע"מ</v>
      </c>
      <c r="I2769" t="str">
        <f>"רוני דידי"</f>
        <v>רוני דידי</v>
      </c>
      <c r="J2769" t="str">
        <f>"OP-AR00467"</f>
        <v>OP-AR00467</v>
      </c>
      <c r="K2769" s="1" t="str">
        <f>"AC PCU CONTROL BOX"</f>
        <v>AC PCU CONTROL BOX</v>
      </c>
      <c r="L2769">
        <v>1</v>
      </c>
      <c r="M2769" t="str">
        <f>"PR23000599"</f>
        <v>PR23000599</v>
      </c>
      <c r="N2769" t="str">
        <f>"AC PCU CONTROL BOX"</f>
        <v>AC PCU CONTROL BOX</v>
      </c>
      <c r="O2769" s="2">
        <v>4250</v>
      </c>
      <c r="P2769" t="str">
        <f>"$"</f>
        <v>$</v>
      </c>
      <c r="Q2769" t="str">
        <f>"118"</f>
        <v>118</v>
      </c>
      <c r="R2769" t="str">
        <f>"מערכות"</f>
        <v>מערכות</v>
      </c>
      <c r="S2769" t="str">
        <f>"007"</f>
        <v>007</v>
      </c>
      <c r="T2769" t="str">
        <f>"עמר ליגל"</f>
        <v>עמר ליגל</v>
      </c>
      <c r="U2769">
        <v>0</v>
      </c>
      <c r="V2769">
        <v>0</v>
      </c>
      <c r="W2769" s="2">
        <v>4250</v>
      </c>
      <c r="X2769" s="2">
        <v>4250</v>
      </c>
      <c r="AA2769">
        <v>1</v>
      </c>
      <c r="AC2769">
        <v>0</v>
      </c>
      <c r="AE2769">
        <v>0</v>
      </c>
      <c r="AF2769">
        <v>0</v>
      </c>
      <c r="AG2769" s="2">
        <v>15822.75</v>
      </c>
      <c r="AH2769">
        <v>0</v>
      </c>
      <c r="AI2769" s="2">
        <v>15822.75</v>
      </c>
      <c r="AJ2769" s="2">
        <v>4250</v>
      </c>
      <c r="AK2769" s="2">
        <v>4250</v>
      </c>
      <c r="AL2769" t="str">
        <f>"$"</f>
        <v>$</v>
      </c>
    </row>
    <row r="2770" spans="1:38" x14ac:dyDescent="0.3">
      <c r="A2770" t="str">
        <f>"SO23000382"</f>
        <v>SO23000382</v>
      </c>
      <c r="B2770" t="str">
        <f>"E000402937"</f>
        <v>E000402937</v>
      </c>
      <c r="C2770" t="str">
        <f>"בוצעה"</f>
        <v>בוצעה</v>
      </c>
      <c r="E2770" s="3">
        <v>45151</v>
      </c>
      <c r="F2770" s="3">
        <v>45290</v>
      </c>
      <c r="G2770" t="str">
        <f>"700065"</f>
        <v>700065</v>
      </c>
      <c r="H2770" t="str">
        <f>"אלתא מערכות בע""מ"</f>
        <v>אלתא מערכות בע"מ</v>
      </c>
      <c r="I2770" t="str">
        <f>"ערן שלו"</f>
        <v>ערן שלו</v>
      </c>
      <c r="J2770" t="str">
        <f>"ZV0180238"</f>
        <v>ZV0180238</v>
      </c>
      <c r="K2770" s="1" t="str">
        <f>"בסיס צ'קלקה עבור יחידת PDB LB / ARMY"</f>
        <v>בסיס צ'קלקה עבור יחידת PDB LB / ARMY</v>
      </c>
      <c r="L2770">
        <v>1</v>
      </c>
      <c r="M2770" t="str">
        <f>"PR23000560"</f>
        <v>PR23000560</v>
      </c>
      <c r="N2770" t="str">
        <f>"אספקה  חח LB PDB"</f>
        <v>אספקה  חח LB PDB</v>
      </c>
      <c r="O2770">
        <v>300</v>
      </c>
      <c r="P2770" t="str">
        <f>"$"</f>
        <v>$</v>
      </c>
      <c r="Q2770" t="str">
        <f>"112"</f>
        <v>112</v>
      </c>
      <c r="R2770" t="str">
        <f>"תיקון תקלות"</f>
        <v>תיקון תקלות</v>
      </c>
      <c r="S2770" t="str">
        <f>"034"</f>
        <v>034</v>
      </c>
      <c r="T2770" t="str">
        <f>"עמר ליגל"</f>
        <v>עמר ליגל</v>
      </c>
      <c r="U2770">
        <v>0</v>
      </c>
      <c r="V2770">
        <v>0</v>
      </c>
      <c r="W2770">
        <v>300</v>
      </c>
      <c r="X2770">
        <v>300</v>
      </c>
      <c r="Z2770" t="str">
        <f>"Y"</f>
        <v>Y</v>
      </c>
      <c r="AA2770">
        <v>0</v>
      </c>
      <c r="AC2770">
        <v>0</v>
      </c>
      <c r="AE2770">
        <v>0</v>
      </c>
      <c r="AF2770">
        <v>0</v>
      </c>
      <c r="AG2770" s="2">
        <v>1116.9000000000001</v>
      </c>
      <c r="AH2770">
        <v>0</v>
      </c>
      <c r="AI2770" s="2">
        <v>1116.9000000000001</v>
      </c>
      <c r="AJ2770">
        <v>300</v>
      </c>
      <c r="AK2770">
        <v>300</v>
      </c>
      <c r="AL2770" t="str">
        <f>"$"</f>
        <v>$</v>
      </c>
    </row>
    <row r="2771" spans="1:38" x14ac:dyDescent="0.3">
      <c r="A2771" t="str">
        <f>"SO23000382"</f>
        <v>SO23000382</v>
      </c>
      <c r="B2771" t="str">
        <f>"E000402937"</f>
        <v>E000402937</v>
      </c>
      <c r="C2771" t="str">
        <f>"בוצעה"</f>
        <v>בוצעה</v>
      </c>
      <c r="E2771" s="3">
        <v>45151</v>
      </c>
      <c r="F2771" s="3">
        <v>45290</v>
      </c>
      <c r="G2771" t="str">
        <f>"700065"</f>
        <v>700065</v>
      </c>
      <c r="H2771" t="str">
        <f>"אלתא מערכות בע""מ"</f>
        <v>אלתא מערכות בע"מ</v>
      </c>
      <c r="I2771" t="str">
        <f>"ערן שלו"</f>
        <v>ערן שלו</v>
      </c>
      <c r="J2771" t="str">
        <f>"CO0700054"</f>
        <v>CO0700054</v>
      </c>
      <c r="K2771" s="1" t="str">
        <f>"אטם TRISIL 03.31.10.1824 F 0811"</f>
        <v>אטם TRISIL 03.31.10.1824 F 0811</v>
      </c>
      <c r="L2771">
        <v>1</v>
      </c>
      <c r="O2771">
        <v>600</v>
      </c>
      <c r="P2771" t="str">
        <f>"$"</f>
        <v>$</v>
      </c>
      <c r="Q2771" t="str">
        <f>"112"</f>
        <v>112</v>
      </c>
      <c r="R2771" t="str">
        <f>"תיקון תקלות"</f>
        <v>תיקון תקלות</v>
      </c>
      <c r="S2771" t="str">
        <f>"034"</f>
        <v>034</v>
      </c>
      <c r="T2771" t="str">
        <f>"עמר ליגל"</f>
        <v>עמר ליגל</v>
      </c>
      <c r="U2771">
        <v>0</v>
      </c>
      <c r="V2771">
        <v>0</v>
      </c>
      <c r="W2771">
        <v>600</v>
      </c>
      <c r="X2771">
        <v>600</v>
      </c>
      <c r="Z2771" t="str">
        <f>"Y"</f>
        <v>Y</v>
      </c>
      <c r="AA2771">
        <v>0</v>
      </c>
      <c r="AC2771">
        <v>0</v>
      </c>
      <c r="AE2771">
        <v>0</v>
      </c>
      <c r="AF2771">
        <v>0</v>
      </c>
      <c r="AG2771" s="2">
        <v>2233.8000000000002</v>
      </c>
      <c r="AH2771">
        <v>0</v>
      </c>
      <c r="AI2771" s="2">
        <v>2233.8000000000002</v>
      </c>
      <c r="AJ2771">
        <v>600</v>
      </c>
      <c r="AK2771">
        <v>600</v>
      </c>
      <c r="AL2771" t="str">
        <f>"$"</f>
        <v>$</v>
      </c>
    </row>
    <row r="2772" spans="1:38" x14ac:dyDescent="0.3">
      <c r="A2772" t="str">
        <f>"SO23000385"</f>
        <v>SO23000385</v>
      </c>
      <c r="B2772" t="str">
        <f>"E000403169"</f>
        <v>E000403169</v>
      </c>
      <c r="C2772" t="str">
        <f>"מאושרת לבצוע"</f>
        <v>מאושרת לבצוע</v>
      </c>
      <c r="E2772" s="3">
        <v>45153</v>
      </c>
      <c r="F2772" s="3">
        <v>45153</v>
      </c>
      <c r="G2772" t="str">
        <f>"700065"</f>
        <v>700065</v>
      </c>
      <c r="H2772" t="str">
        <f>"אלתא מערכות בע""מ"</f>
        <v>אלתא מערכות בע"מ</v>
      </c>
      <c r="I2772" t="str">
        <f>"ערן שלו"</f>
        <v>ערן שלו</v>
      </c>
      <c r="J2772" t="str">
        <f>"PD0300074"</f>
        <v>PD0300074</v>
      </c>
      <c r="K2772" s="1" t="str">
        <f>"נורה Q22PP1BPXXSR220E אדומה"</f>
        <v>נורה Q22PP1BPXXSR220E אדומה</v>
      </c>
      <c r="L2772">
        <v>1</v>
      </c>
      <c r="M2772" t="str">
        <f>"PR23000560"</f>
        <v>PR23000560</v>
      </c>
      <c r="N2772" t="str">
        <f>"אספקה  חח LB PDB"</f>
        <v>אספקה  חח LB PDB</v>
      </c>
      <c r="O2772">
        <v>19</v>
      </c>
      <c r="P2772" t="str">
        <f>"$"</f>
        <v>$</v>
      </c>
      <c r="Q2772" t="str">
        <f>"118"</f>
        <v>118</v>
      </c>
      <c r="R2772" t="str">
        <f>"מערכות"</f>
        <v>מערכות</v>
      </c>
      <c r="S2772" t="str">
        <f>"034"</f>
        <v>034</v>
      </c>
      <c r="T2772" t="str">
        <f>"חן בזק"</f>
        <v>חן בזק</v>
      </c>
      <c r="U2772">
        <v>0</v>
      </c>
      <c r="V2772">
        <v>0</v>
      </c>
      <c r="W2772">
        <v>19</v>
      </c>
      <c r="X2772">
        <v>19</v>
      </c>
      <c r="Z2772" t="str">
        <f>"Y"</f>
        <v>Y</v>
      </c>
      <c r="AA2772">
        <v>0</v>
      </c>
      <c r="AC2772">
        <v>0</v>
      </c>
      <c r="AE2772">
        <v>0</v>
      </c>
      <c r="AF2772">
        <v>0</v>
      </c>
      <c r="AG2772">
        <v>71.5</v>
      </c>
      <c r="AH2772">
        <v>0</v>
      </c>
      <c r="AI2772">
        <v>71.5</v>
      </c>
      <c r="AJ2772">
        <v>19</v>
      </c>
      <c r="AK2772">
        <v>19</v>
      </c>
      <c r="AL2772" t="str">
        <f>"$"</f>
        <v>$</v>
      </c>
    </row>
    <row r="2773" spans="1:38" x14ac:dyDescent="0.3">
      <c r="A2773" t="str">
        <f>"SO23000385"</f>
        <v>SO23000385</v>
      </c>
      <c r="B2773" t="str">
        <f>"E000403169"</f>
        <v>E000403169</v>
      </c>
      <c r="C2773" t="str">
        <f>"מאושרת לבצוע"</f>
        <v>מאושרת לבצוע</v>
      </c>
      <c r="E2773" s="3">
        <v>45153</v>
      </c>
      <c r="F2773" s="3">
        <v>45153</v>
      </c>
      <c r="G2773" t="str">
        <f>"700065"</f>
        <v>700065</v>
      </c>
      <c r="H2773" t="str">
        <f>"אלתא מערכות בע""מ"</f>
        <v>אלתא מערכות בע"מ</v>
      </c>
      <c r="I2773" t="str">
        <f>"ערן שלו"</f>
        <v>ערן שלו</v>
      </c>
      <c r="J2773" t="str">
        <f>"PD0341834"</f>
        <v>PD0341834</v>
      </c>
      <c r="K2773" s="1" t="str">
        <f>"נורה Q22PP1BPXXR28E 28VDC אדום"</f>
        <v>נורה Q22PP1BPXXR28E 28VDC אדום</v>
      </c>
      <c r="L2773">
        <v>1</v>
      </c>
      <c r="M2773" t="str">
        <f>"PR23000560"</f>
        <v>PR23000560</v>
      </c>
      <c r="N2773" t="str">
        <f>"אספקה  חח LB PDB"</f>
        <v>אספקה  חח LB PDB</v>
      </c>
      <c r="O2773">
        <v>95</v>
      </c>
      <c r="P2773" t="str">
        <f>"$"</f>
        <v>$</v>
      </c>
      <c r="Q2773" t="str">
        <f>"118"</f>
        <v>118</v>
      </c>
      <c r="R2773" t="str">
        <f>"מערכות"</f>
        <v>מערכות</v>
      </c>
      <c r="S2773" t="str">
        <f>"034"</f>
        <v>034</v>
      </c>
      <c r="T2773" t="str">
        <f>"חן בזק"</f>
        <v>חן בזק</v>
      </c>
      <c r="U2773">
        <v>0</v>
      </c>
      <c r="V2773">
        <v>0</v>
      </c>
      <c r="W2773">
        <v>95</v>
      </c>
      <c r="X2773">
        <v>95</v>
      </c>
      <c r="Z2773" t="str">
        <f>"Y"</f>
        <v>Y</v>
      </c>
      <c r="AA2773">
        <v>0</v>
      </c>
      <c r="AC2773">
        <v>0</v>
      </c>
      <c r="AE2773">
        <v>0</v>
      </c>
      <c r="AF2773">
        <v>0</v>
      </c>
      <c r="AG2773">
        <v>357.49</v>
      </c>
      <c r="AH2773">
        <v>0</v>
      </c>
      <c r="AI2773">
        <v>357.49</v>
      </c>
      <c r="AJ2773">
        <v>95</v>
      </c>
      <c r="AK2773">
        <v>95</v>
      </c>
      <c r="AL2773" t="str">
        <f>"$"</f>
        <v>$</v>
      </c>
    </row>
    <row r="2774" spans="1:38" x14ac:dyDescent="0.3">
      <c r="A2774" t="str">
        <f>"SO23000385"</f>
        <v>SO23000385</v>
      </c>
      <c r="B2774" t="str">
        <f>"E000403169"</f>
        <v>E000403169</v>
      </c>
      <c r="C2774" t="str">
        <f>"מאושרת לבצוע"</f>
        <v>מאושרת לבצוע</v>
      </c>
      <c r="E2774" s="3">
        <v>45153</v>
      </c>
      <c r="F2774" s="3">
        <v>45153</v>
      </c>
      <c r="G2774" t="str">
        <f>"700065"</f>
        <v>700065</v>
      </c>
      <c r="H2774" t="str">
        <f>"אלתא מערכות בע""מ"</f>
        <v>אלתא מערכות בע"מ</v>
      </c>
      <c r="I2774" t="str">
        <f>"ערן שלו"</f>
        <v>ערן שלו</v>
      </c>
      <c r="J2774" t="str">
        <f>"PD0341835"</f>
        <v>PD0341835</v>
      </c>
      <c r="K2774" s="1" t="str">
        <f>"נורה Q22PP1BPXXG28E 28VDC ירוק"</f>
        <v>נורה Q22PP1BPXXG28E 28VDC ירוק</v>
      </c>
      <c r="L2774">
        <v>1</v>
      </c>
      <c r="M2774" t="str">
        <f>"PR23000560"</f>
        <v>PR23000560</v>
      </c>
      <c r="N2774" t="str">
        <f>"אספקה  חח LB PDB"</f>
        <v>אספקה  חח LB PDB</v>
      </c>
      <c r="O2774">
        <v>57</v>
      </c>
      <c r="P2774" t="str">
        <f>"$"</f>
        <v>$</v>
      </c>
      <c r="Q2774" t="str">
        <f>"118"</f>
        <v>118</v>
      </c>
      <c r="R2774" t="str">
        <f>"מערכות"</f>
        <v>מערכות</v>
      </c>
      <c r="S2774" t="str">
        <f>"034"</f>
        <v>034</v>
      </c>
      <c r="T2774" t="str">
        <f>"חן בזק"</f>
        <v>חן בזק</v>
      </c>
      <c r="U2774">
        <v>0</v>
      </c>
      <c r="V2774">
        <v>0</v>
      </c>
      <c r="W2774">
        <v>57</v>
      </c>
      <c r="X2774">
        <v>57</v>
      </c>
      <c r="Z2774" t="str">
        <f>"Y"</f>
        <v>Y</v>
      </c>
      <c r="AA2774">
        <v>0</v>
      </c>
      <c r="AC2774">
        <v>0</v>
      </c>
      <c r="AE2774">
        <v>0</v>
      </c>
      <c r="AF2774">
        <v>0</v>
      </c>
      <c r="AG2774">
        <v>214.49</v>
      </c>
      <c r="AH2774">
        <v>0</v>
      </c>
      <c r="AI2774">
        <v>214.49</v>
      </c>
      <c r="AJ2774">
        <v>57</v>
      </c>
      <c r="AK2774">
        <v>57</v>
      </c>
      <c r="AL2774" t="str">
        <f>"$"</f>
        <v>$</v>
      </c>
    </row>
    <row r="2775" spans="1:38" x14ac:dyDescent="0.3">
      <c r="A2775" t="str">
        <f>"SO23000385"</f>
        <v>SO23000385</v>
      </c>
      <c r="B2775" t="str">
        <f>"E000403169"</f>
        <v>E000403169</v>
      </c>
      <c r="C2775" t="str">
        <f>"מאושרת לבצוע"</f>
        <v>מאושרת לבצוע</v>
      </c>
      <c r="E2775" s="3">
        <v>45153</v>
      </c>
      <c r="F2775" s="3">
        <v>45153</v>
      </c>
      <c r="G2775" t="str">
        <f>"700065"</f>
        <v>700065</v>
      </c>
      <c r="H2775" t="str">
        <f>"אלתא מערכות בע""מ"</f>
        <v>אלתא מערכות בע"מ</v>
      </c>
      <c r="I2775" t="str">
        <f>"ערן שלו"</f>
        <v>ערן שלו</v>
      </c>
      <c r="J2775" t="str">
        <f>"PD0341833"</f>
        <v>PD0341833</v>
      </c>
      <c r="K2775" s="1" t="str">
        <f>"נורה 220V ירוק Q22PP1BPXXSG220E"</f>
        <v>נורה 220V ירוק Q22PP1BPXXSG220E</v>
      </c>
      <c r="L2775">
        <v>1</v>
      </c>
      <c r="M2775" t="str">
        <f>"PR23000560"</f>
        <v>PR23000560</v>
      </c>
      <c r="N2775" t="str">
        <f>"אספקה  חח LB PDB"</f>
        <v>אספקה  חח LB PDB</v>
      </c>
      <c r="O2775">
        <v>84</v>
      </c>
      <c r="P2775" t="str">
        <f>"$"</f>
        <v>$</v>
      </c>
      <c r="Q2775" t="str">
        <f>"118"</f>
        <v>118</v>
      </c>
      <c r="R2775" t="str">
        <f>"מערכות"</f>
        <v>מערכות</v>
      </c>
      <c r="S2775" t="str">
        <f>"034"</f>
        <v>034</v>
      </c>
      <c r="T2775" t="str">
        <f>"חן בזק"</f>
        <v>חן בזק</v>
      </c>
      <c r="U2775">
        <v>0</v>
      </c>
      <c r="V2775">
        <v>0</v>
      </c>
      <c r="W2775">
        <v>84</v>
      </c>
      <c r="X2775">
        <v>84</v>
      </c>
      <c r="Z2775" t="str">
        <f>"Y"</f>
        <v>Y</v>
      </c>
      <c r="AA2775">
        <v>0</v>
      </c>
      <c r="AC2775">
        <v>0</v>
      </c>
      <c r="AE2775">
        <v>0</v>
      </c>
      <c r="AF2775">
        <v>0</v>
      </c>
      <c r="AG2775">
        <v>316.08999999999997</v>
      </c>
      <c r="AH2775">
        <v>0</v>
      </c>
      <c r="AI2775">
        <v>316.08999999999997</v>
      </c>
      <c r="AJ2775">
        <v>84</v>
      </c>
      <c r="AK2775">
        <v>84</v>
      </c>
      <c r="AL2775" t="str">
        <f>"$"</f>
        <v>$</v>
      </c>
    </row>
    <row r="2776" spans="1:38" x14ac:dyDescent="0.3">
      <c r="A2776" t="str">
        <f>"SO23000385"</f>
        <v>SO23000385</v>
      </c>
      <c r="B2776" t="str">
        <f>"E000403169"</f>
        <v>E000403169</v>
      </c>
      <c r="C2776" t="str">
        <f>"מאושרת לבצוע"</f>
        <v>מאושרת לבצוע</v>
      </c>
      <c r="E2776" s="3">
        <v>45153</v>
      </c>
      <c r="F2776" s="3">
        <v>45153</v>
      </c>
      <c r="G2776" t="str">
        <f>"700065"</f>
        <v>700065</v>
      </c>
      <c r="H2776" t="str">
        <f>"אלתא מערכות בע""מ"</f>
        <v>אלתא מערכות בע"מ</v>
      </c>
      <c r="I2776" t="str">
        <f>"ערן שלו"</f>
        <v>ערן שלו</v>
      </c>
      <c r="J2776" t="str">
        <f>"000"</f>
        <v>000</v>
      </c>
      <c r="K2776" s="1" t="str">
        <f>"סט שילוט צבעוני חצוני ל- AUX+"</f>
        <v>סט שילוט צבעוני חצוני ל- AUX+</v>
      </c>
      <c r="L2776">
        <v>1</v>
      </c>
      <c r="M2776" t="str">
        <f>"PR23000560"</f>
        <v>PR23000560</v>
      </c>
      <c r="N2776" t="str">
        <f>"אספקה  חח LB PDB"</f>
        <v>אספקה  חח LB PDB</v>
      </c>
      <c r="O2776">
        <v>240</v>
      </c>
      <c r="P2776" t="str">
        <f>"$"</f>
        <v>$</v>
      </c>
      <c r="Q2776" t="str">
        <f>"118"</f>
        <v>118</v>
      </c>
      <c r="R2776" t="str">
        <f>"מערכות"</f>
        <v>מערכות</v>
      </c>
      <c r="S2776" t="str">
        <f>"034"</f>
        <v>034</v>
      </c>
      <c r="T2776" t="str">
        <f>"חן בזק"</f>
        <v>חן בזק</v>
      </c>
      <c r="U2776">
        <v>0</v>
      </c>
      <c r="V2776">
        <v>0</v>
      </c>
      <c r="W2776">
        <v>240</v>
      </c>
      <c r="X2776">
        <v>240</v>
      </c>
      <c r="Z2776" t="str">
        <f>"Y"</f>
        <v>Y</v>
      </c>
      <c r="AA2776">
        <v>0</v>
      </c>
      <c r="AC2776">
        <v>0</v>
      </c>
      <c r="AE2776">
        <v>0</v>
      </c>
      <c r="AF2776">
        <v>0</v>
      </c>
      <c r="AG2776">
        <v>903.12</v>
      </c>
      <c r="AH2776">
        <v>0</v>
      </c>
      <c r="AI2776">
        <v>903.12</v>
      </c>
      <c r="AJ2776">
        <v>240</v>
      </c>
      <c r="AK2776">
        <v>240</v>
      </c>
      <c r="AL2776" t="str">
        <f>"$"</f>
        <v>$</v>
      </c>
    </row>
    <row r="2777" spans="1:38" x14ac:dyDescent="0.3">
      <c r="A2777" t="str">
        <f>"SO23000385"</f>
        <v>SO23000385</v>
      </c>
      <c r="B2777" t="str">
        <f>"E000403169"</f>
        <v>E000403169</v>
      </c>
      <c r="C2777" t="str">
        <f>"מאושרת לבצוע"</f>
        <v>מאושרת לבצוע</v>
      </c>
      <c r="E2777" s="3">
        <v>45153</v>
      </c>
      <c r="F2777" s="3">
        <v>45153</v>
      </c>
      <c r="G2777" t="str">
        <f>"700065"</f>
        <v>700065</v>
      </c>
      <c r="H2777" t="str">
        <f>"אלתא מערכות בע""מ"</f>
        <v>אלתא מערכות בע"מ</v>
      </c>
      <c r="I2777" t="str">
        <f>"ערן שלו"</f>
        <v>ערן שלו</v>
      </c>
      <c r="J2777" t="str">
        <f>"PD0200318"</f>
        <v>PD0200318</v>
      </c>
      <c r="K2777" s="1" t="str">
        <f>"מנוע הפעלה MOE XT2/XT4  220...250V ac/dc"</f>
        <v>מנוע הפעלה MOE XT2/XT4  220...250V ac/dc</v>
      </c>
      <c r="L2777">
        <v>1</v>
      </c>
      <c r="M2777" t="str">
        <f>"PR23000560"</f>
        <v>PR23000560</v>
      </c>
      <c r="N2777" t="str">
        <f>"אספקה  חח LB PDB"</f>
        <v>אספקה  חח LB PDB</v>
      </c>
      <c r="O2777">
        <v>670</v>
      </c>
      <c r="P2777" t="str">
        <f>"$"</f>
        <v>$</v>
      </c>
      <c r="Q2777" t="str">
        <f>"118"</f>
        <v>118</v>
      </c>
      <c r="R2777" t="str">
        <f>"מערכות"</f>
        <v>מערכות</v>
      </c>
      <c r="S2777" t="str">
        <f>"034"</f>
        <v>034</v>
      </c>
      <c r="T2777" t="str">
        <f>"חן בזק"</f>
        <v>חן בזק</v>
      </c>
      <c r="U2777">
        <v>0</v>
      </c>
      <c r="V2777">
        <v>0</v>
      </c>
      <c r="W2777">
        <v>670</v>
      </c>
      <c r="X2777">
        <v>670</v>
      </c>
      <c r="Z2777" t="str">
        <f>"Y"</f>
        <v>Y</v>
      </c>
      <c r="AA2777">
        <v>0</v>
      </c>
      <c r="AC2777">
        <v>0</v>
      </c>
      <c r="AE2777">
        <v>0</v>
      </c>
      <c r="AF2777">
        <v>0</v>
      </c>
      <c r="AG2777" s="2">
        <v>2521.21</v>
      </c>
      <c r="AH2777">
        <v>0</v>
      </c>
      <c r="AI2777" s="2">
        <v>2521.21</v>
      </c>
      <c r="AJ2777">
        <v>670</v>
      </c>
      <c r="AK2777">
        <v>670</v>
      </c>
      <c r="AL2777" t="str">
        <f>"$"</f>
        <v>$</v>
      </c>
    </row>
    <row r="2778" spans="1:38" x14ac:dyDescent="0.3">
      <c r="A2778" t="str">
        <f>"SO23000385"</f>
        <v>SO23000385</v>
      </c>
      <c r="B2778" t="str">
        <f>"E000403169"</f>
        <v>E000403169</v>
      </c>
      <c r="C2778" t="str">
        <f>"מאושרת לבצוע"</f>
        <v>מאושרת לבצוע</v>
      </c>
      <c r="E2778" s="3">
        <v>45153</v>
      </c>
      <c r="F2778" s="3">
        <v>45154</v>
      </c>
      <c r="G2778" t="str">
        <f>"700065"</f>
        <v>700065</v>
      </c>
      <c r="H2778" t="str">
        <f>"אלתא מערכות בע""מ"</f>
        <v>אלתא מערכות בע"מ</v>
      </c>
      <c r="I2778" t="str">
        <f>"ערן שלו"</f>
        <v>ערן שלו</v>
      </c>
      <c r="J2778" t="str">
        <f>"CO0700054"</f>
        <v>CO0700054</v>
      </c>
      <c r="K2778" s="1" t="str">
        <f>"אטם TRISIL 03.31.10.1824 F 0811"</f>
        <v>אטם TRISIL 03.31.10.1824 F 0811</v>
      </c>
      <c r="L2778">
        <v>8</v>
      </c>
      <c r="M2778" t="str">
        <f>"PR23000560"</f>
        <v>PR23000560</v>
      </c>
      <c r="N2778" t="str">
        <f>"אספקה  חח LB PDB"</f>
        <v>אספקה  חח LB PDB</v>
      </c>
      <c r="O2778">
        <v>0</v>
      </c>
      <c r="P2778" t="str">
        <f>"$"</f>
        <v>$</v>
      </c>
      <c r="Q2778" t="str">
        <f>"118"</f>
        <v>118</v>
      </c>
      <c r="R2778" t="str">
        <f>"מערכות"</f>
        <v>מערכות</v>
      </c>
      <c r="S2778" t="str">
        <f>"034"</f>
        <v>034</v>
      </c>
      <c r="T2778" t="str">
        <f>"חן בזק"</f>
        <v>חן בזק</v>
      </c>
      <c r="U2778">
        <v>0</v>
      </c>
      <c r="V2778">
        <v>0</v>
      </c>
      <c r="W2778">
        <v>0</v>
      </c>
      <c r="X2778">
        <v>0</v>
      </c>
      <c r="AA2778">
        <v>8</v>
      </c>
      <c r="AC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 t="str">
        <f>"$"</f>
        <v>$</v>
      </c>
    </row>
    <row r="2779" spans="1:38" x14ac:dyDescent="0.3">
      <c r="A2779" t="str">
        <f>"SO23000385"</f>
        <v>SO23000385</v>
      </c>
      <c r="B2779" t="str">
        <f>"E000403169"</f>
        <v>E000403169</v>
      </c>
      <c r="C2779" t="str">
        <f>"מאושרת לבצוע"</f>
        <v>מאושרת לבצוע</v>
      </c>
      <c r="E2779" s="3">
        <v>45153</v>
      </c>
      <c r="F2779" s="3">
        <v>45154</v>
      </c>
      <c r="G2779" t="str">
        <f>"700065"</f>
        <v>700065</v>
      </c>
      <c r="H2779" t="str">
        <f>"אלתא מערכות בע""מ"</f>
        <v>אלתא מערכות בע"מ</v>
      </c>
      <c r="I2779" t="str">
        <f>"ערן שלו"</f>
        <v>ערן שלו</v>
      </c>
      <c r="J2779" t="str">
        <f>"ZV0180238"</f>
        <v>ZV0180238</v>
      </c>
      <c r="K2779" s="1" t="str">
        <f>"בסיס צ'קלקה עבור יחידת PDB LB / ARMY"</f>
        <v>בסיס צ'קלקה עבור יחידת PDB LB / ARMY</v>
      </c>
      <c r="L2779">
        <v>2</v>
      </c>
      <c r="M2779" t="str">
        <f>"PR23000560"</f>
        <v>PR23000560</v>
      </c>
      <c r="N2779" t="str">
        <f>"אספקה  חח LB PDB"</f>
        <v>אספקה  חח LB PDB</v>
      </c>
      <c r="O2779">
        <v>0</v>
      </c>
      <c r="P2779" t="str">
        <f>"$"</f>
        <v>$</v>
      </c>
      <c r="Q2779" t="str">
        <f>"118"</f>
        <v>118</v>
      </c>
      <c r="R2779" t="str">
        <f>"מערכות"</f>
        <v>מערכות</v>
      </c>
      <c r="S2779" t="str">
        <f>"034"</f>
        <v>034</v>
      </c>
      <c r="T2779" t="str">
        <f>"חן בזק"</f>
        <v>חן בזק</v>
      </c>
      <c r="U2779">
        <v>0</v>
      </c>
      <c r="V2779">
        <v>0</v>
      </c>
      <c r="W2779">
        <v>0</v>
      </c>
      <c r="X2779">
        <v>0</v>
      </c>
      <c r="AA2779">
        <v>2</v>
      </c>
      <c r="AC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 t="str">
        <f>"$"</f>
        <v>$</v>
      </c>
    </row>
    <row r="2780" spans="1:38" x14ac:dyDescent="0.3">
      <c r="A2780" t="str">
        <f>"SO23000389"</f>
        <v>SO23000389</v>
      </c>
      <c r="B2780" t="str">
        <f>"E000402131"</f>
        <v>E000402131</v>
      </c>
      <c r="C2780" t="str">
        <f>"טיוטא"</f>
        <v>טיוטא</v>
      </c>
      <c r="E2780" s="3">
        <v>45157</v>
      </c>
      <c r="F2780" s="3">
        <v>45321</v>
      </c>
      <c r="G2780" t="str">
        <f>"700065"</f>
        <v>700065</v>
      </c>
      <c r="H2780" t="str">
        <f>"אלתא מערכות בע""מ"</f>
        <v>אלתא מערכות בע"מ</v>
      </c>
      <c r="I2780" t="str">
        <f>"רוני דידי"</f>
        <v>רוני דידי</v>
      </c>
      <c r="J2780" t="str">
        <f>"000"</f>
        <v>000</v>
      </c>
      <c r="K2780" s="1" t="str">
        <f>"עלויות פיתוח"</f>
        <v>עלויות פיתוח</v>
      </c>
      <c r="L2780">
        <v>1</v>
      </c>
      <c r="O2780" s="2">
        <v>61250</v>
      </c>
      <c r="P2780" t="str">
        <f>"$"</f>
        <v>$</v>
      </c>
      <c r="Q2780" t="str">
        <f>"118"</f>
        <v>118</v>
      </c>
      <c r="R2780" t="str">
        <f>"מערכות"</f>
        <v>מערכות</v>
      </c>
      <c r="S2780" t="str">
        <f>"007"</f>
        <v>007</v>
      </c>
      <c r="T2780" t="str">
        <f>"עמר ליגל"</f>
        <v>עמר ליגל</v>
      </c>
      <c r="U2780">
        <v>0</v>
      </c>
      <c r="V2780">
        <v>0</v>
      </c>
      <c r="W2780" s="2">
        <v>61250</v>
      </c>
      <c r="X2780" s="2">
        <v>61250</v>
      </c>
      <c r="AA2780">
        <v>1</v>
      </c>
      <c r="AC2780">
        <v>0</v>
      </c>
      <c r="AE2780">
        <v>0</v>
      </c>
      <c r="AF2780">
        <v>0</v>
      </c>
      <c r="AG2780" s="2">
        <v>232321.25</v>
      </c>
      <c r="AH2780">
        <v>0</v>
      </c>
      <c r="AI2780" s="2">
        <v>232321.25</v>
      </c>
      <c r="AJ2780" s="2">
        <v>61250</v>
      </c>
      <c r="AK2780" s="2">
        <v>61250</v>
      </c>
      <c r="AL2780" t="str">
        <f>"$"</f>
        <v>$</v>
      </c>
    </row>
    <row r="2781" spans="1:38" x14ac:dyDescent="0.3">
      <c r="A2781" t="str">
        <f>"SO23000389"</f>
        <v>SO23000389</v>
      </c>
      <c r="B2781" t="str">
        <f>"E000402131"</f>
        <v>E000402131</v>
      </c>
      <c r="C2781" t="str">
        <f>"טיוטא"</f>
        <v>טיוטא</v>
      </c>
      <c r="E2781" s="3">
        <v>45157</v>
      </c>
      <c r="F2781" s="3">
        <v>45321</v>
      </c>
      <c r="G2781" t="str">
        <f>"700065"</f>
        <v>700065</v>
      </c>
      <c r="H2781" t="str">
        <f>"אלתא מערכות בע""מ"</f>
        <v>אלתא מערכות בע"מ</v>
      </c>
      <c r="I2781" t="str">
        <f>"רוני דידי"</f>
        <v>רוני דידי</v>
      </c>
      <c r="J2781" t="str">
        <f>"000"</f>
        <v>000</v>
      </c>
      <c r="K2781" s="1" t="str">
        <f>"עלויות אימות פיתוח"</f>
        <v>עלויות אימות פיתוח</v>
      </c>
      <c r="L2781">
        <v>1</v>
      </c>
      <c r="O2781" s="2">
        <v>26227</v>
      </c>
      <c r="P2781" t="str">
        <f>"$"</f>
        <v>$</v>
      </c>
      <c r="Q2781" t="str">
        <f>"118"</f>
        <v>118</v>
      </c>
      <c r="R2781" t="str">
        <f>"מערכות"</f>
        <v>מערכות</v>
      </c>
      <c r="S2781" t="str">
        <f>"007"</f>
        <v>007</v>
      </c>
      <c r="T2781" t="str">
        <f>"עמר ליגל"</f>
        <v>עמר ליגל</v>
      </c>
      <c r="U2781">
        <v>0</v>
      </c>
      <c r="V2781">
        <v>0</v>
      </c>
      <c r="W2781" s="2">
        <v>26227</v>
      </c>
      <c r="X2781" s="2">
        <v>26227</v>
      </c>
      <c r="AA2781">
        <v>1</v>
      </c>
      <c r="AC2781">
        <v>0</v>
      </c>
      <c r="AE2781">
        <v>0</v>
      </c>
      <c r="AF2781">
        <v>0</v>
      </c>
      <c r="AG2781" s="2">
        <v>99479.01</v>
      </c>
      <c r="AH2781">
        <v>0</v>
      </c>
      <c r="AI2781" s="2">
        <v>99479.01</v>
      </c>
      <c r="AJ2781" s="2">
        <v>26227</v>
      </c>
      <c r="AK2781" s="2">
        <v>26227</v>
      </c>
      <c r="AL2781" t="str">
        <f>"$"</f>
        <v>$</v>
      </c>
    </row>
    <row r="2782" spans="1:38" x14ac:dyDescent="0.3">
      <c r="A2782" t="str">
        <f>"SO23000389"</f>
        <v>SO23000389</v>
      </c>
      <c r="B2782" t="str">
        <f>"E000402131"</f>
        <v>E000402131</v>
      </c>
      <c r="C2782" t="str">
        <f>"טיוטא"</f>
        <v>טיוטא</v>
      </c>
      <c r="E2782" s="3">
        <v>45157</v>
      </c>
      <c r="F2782" s="3">
        <v>45321</v>
      </c>
      <c r="G2782" t="str">
        <f>"700065"</f>
        <v>700065</v>
      </c>
      <c r="H2782" t="str">
        <f>"אלתא מערכות בע""מ"</f>
        <v>אלתא מערכות בע"מ</v>
      </c>
      <c r="I2782" t="str">
        <f>"רוני דידי"</f>
        <v>רוני דידי</v>
      </c>
      <c r="J2782" t="str">
        <f>"000"</f>
        <v>000</v>
      </c>
      <c r="K2782" s="1" t="str">
        <f>"CU CABINET"</f>
        <v>CU CABINET</v>
      </c>
      <c r="L2782">
        <v>1</v>
      </c>
      <c r="O2782" s="2">
        <v>232900</v>
      </c>
      <c r="P2782" t="str">
        <f>"$"</f>
        <v>$</v>
      </c>
      <c r="Q2782" t="str">
        <f>"118"</f>
        <v>118</v>
      </c>
      <c r="R2782" t="str">
        <f>"מערכות"</f>
        <v>מערכות</v>
      </c>
      <c r="S2782" t="str">
        <f>"007"</f>
        <v>007</v>
      </c>
      <c r="T2782" t="str">
        <f>"עמר ליגל"</f>
        <v>עמר ליגל</v>
      </c>
      <c r="U2782">
        <v>0</v>
      </c>
      <c r="V2782">
        <v>0</v>
      </c>
      <c r="W2782" s="2">
        <v>232900</v>
      </c>
      <c r="X2782" s="2">
        <v>232900</v>
      </c>
      <c r="AA2782">
        <v>1</v>
      </c>
      <c r="AC2782">
        <v>0</v>
      </c>
      <c r="AE2782">
        <v>0</v>
      </c>
      <c r="AF2782">
        <v>0</v>
      </c>
      <c r="AG2782" s="2">
        <v>883389.7</v>
      </c>
      <c r="AH2782">
        <v>0</v>
      </c>
      <c r="AI2782" s="2">
        <v>883389.7</v>
      </c>
      <c r="AJ2782" s="2">
        <v>232900</v>
      </c>
      <c r="AK2782" s="2">
        <v>232900</v>
      </c>
      <c r="AL2782" t="str">
        <f>"$"</f>
        <v>$</v>
      </c>
    </row>
    <row r="2783" spans="1:38" x14ac:dyDescent="0.3">
      <c r="A2783" t="str">
        <f>"SO23000405"</f>
        <v>SO23000405</v>
      </c>
      <c r="B2783" t="str">
        <f>"E000402864"</f>
        <v>E000402864</v>
      </c>
      <c r="C2783" t="str">
        <f>"מאושרת לבצוע"</f>
        <v>מאושרת לבצוע</v>
      </c>
      <c r="E2783" s="3">
        <v>45159</v>
      </c>
      <c r="F2783" s="3">
        <v>45473</v>
      </c>
      <c r="G2783" t="str">
        <f>"700065"</f>
        <v>700065</v>
      </c>
      <c r="H2783" t="str">
        <f>"אלתא מערכות בע""מ"</f>
        <v>אלתא מערכות בע"מ</v>
      </c>
      <c r="I2783" t="str">
        <f>"רוני דידי"</f>
        <v>רוני דידי</v>
      </c>
      <c r="J2783" t="str">
        <f>"000"</f>
        <v>000</v>
      </c>
      <c r="K2783" s="1" t="str">
        <f>"ימי הכנת תכן הדרכה למערכות BEL"</f>
        <v>ימי הכנת תכן הדרכה למערכות BEL</v>
      </c>
      <c r="L2783">
        <v>1</v>
      </c>
      <c r="O2783" s="2">
        <v>2400</v>
      </c>
      <c r="P2783" t="str">
        <f>"$"</f>
        <v>$</v>
      </c>
      <c r="Q2783" t="str">
        <f>"112"</f>
        <v>112</v>
      </c>
      <c r="R2783" t="str">
        <f>"תיקון תקלות"</f>
        <v>תיקון תקלות</v>
      </c>
      <c r="S2783" t="str">
        <f>"007"</f>
        <v>007</v>
      </c>
      <c r="T2783" t="str">
        <f>"עמר ליגל"</f>
        <v>עמר ליגל</v>
      </c>
      <c r="U2783">
        <v>0</v>
      </c>
      <c r="V2783">
        <v>0</v>
      </c>
      <c r="W2783" s="2">
        <v>2400</v>
      </c>
      <c r="X2783" s="2">
        <v>2400</v>
      </c>
      <c r="AA2783">
        <v>1</v>
      </c>
      <c r="AC2783">
        <v>0</v>
      </c>
      <c r="AE2783">
        <v>0</v>
      </c>
      <c r="AF2783">
        <v>0</v>
      </c>
      <c r="AG2783" s="2">
        <v>9105.6</v>
      </c>
      <c r="AH2783">
        <v>0</v>
      </c>
      <c r="AI2783" s="2">
        <v>9105.6</v>
      </c>
      <c r="AJ2783" s="2">
        <v>2400</v>
      </c>
      <c r="AK2783" s="2">
        <v>2400</v>
      </c>
      <c r="AL2783" t="str">
        <f>"$"</f>
        <v>$</v>
      </c>
    </row>
    <row r="2784" spans="1:38" x14ac:dyDescent="0.3">
      <c r="A2784" t="str">
        <f>"SO23000405"</f>
        <v>SO23000405</v>
      </c>
      <c r="B2784" t="str">
        <f>"E000402864"</f>
        <v>E000402864</v>
      </c>
      <c r="C2784" t="str">
        <f>"מאושרת לבצוע"</f>
        <v>מאושרת לבצוע</v>
      </c>
      <c r="E2784" s="3">
        <v>45159</v>
      </c>
      <c r="F2784" s="3">
        <v>45473</v>
      </c>
      <c r="G2784" t="str">
        <f>"700065"</f>
        <v>700065</v>
      </c>
      <c r="H2784" t="str">
        <f>"אלתא מערכות בע""מ"</f>
        <v>אלתא מערכות בע"מ</v>
      </c>
      <c r="I2784" t="str">
        <f>"רוני דידי"</f>
        <v>רוני דידי</v>
      </c>
      <c r="J2784" t="str">
        <f>"000"</f>
        <v>000</v>
      </c>
      <c r="K2784" s="1" t="str">
        <f>"ימי הכנה תכן הדרכה למערכת IAC"</f>
        <v>ימי הכנה תכן הדרכה למערכת IAC</v>
      </c>
      <c r="L2784">
        <v>1</v>
      </c>
      <c r="O2784" s="2">
        <v>2400</v>
      </c>
      <c r="P2784" t="str">
        <f>"$"</f>
        <v>$</v>
      </c>
      <c r="Q2784" t="str">
        <f>"112"</f>
        <v>112</v>
      </c>
      <c r="R2784" t="str">
        <f>"תיקון תקלות"</f>
        <v>תיקון תקלות</v>
      </c>
      <c r="S2784" t="str">
        <f>"007"</f>
        <v>007</v>
      </c>
      <c r="T2784" t="str">
        <f>"עמר ליגל"</f>
        <v>עמר ליגל</v>
      </c>
      <c r="U2784">
        <v>0</v>
      </c>
      <c r="V2784">
        <v>0</v>
      </c>
      <c r="W2784" s="2">
        <v>2400</v>
      </c>
      <c r="X2784" s="2">
        <v>2400</v>
      </c>
      <c r="AA2784">
        <v>1</v>
      </c>
      <c r="AC2784">
        <v>0</v>
      </c>
      <c r="AE2784">
        <v>0</v>
      </c>
      <c r="AF2784">
        <v>0</v>
      </c>
      <c r="AG2784" s="2">
        <v>9105.6</v>
      </c>
      <c r="AH2784">
        <v>0</v>
      </c>
      <c r="AI2784" s="2">
        <v>9105.6</v>
      </c>
      <c r="AJ2784" s="2">
        <v>2400</v>
      </c>
      <c r="AK2784" s="2">
        <v>2400</v>
      </c>
      <c r="AL2784" t="str">
        <f>"$"</f>
        <v>$</v>
      </c>
    </row>
    <row r="2785" spans="1:38" x14ac:dyDescent="0.3">
      <c r="A2785" t="str">
        <f>"SO23000405"</f>
        <v>SO23000405</v>
      </c>
      <c r="B2785" t="str">
        <f>"E000402864"</f>
        <v>E000402864</v>
      </c>
      <c r="C2785" t="str">
        <f>"מאושרת לבצוע"</f>
        <v>מאושרת לבצוע</v>
      </c>
      <c r="E2785" s="3">
        <v>45159</v>
      </c>
      <c r="F2785" s="3">
        <v>45473</v>
      </c>
      <c r="G2785" t="str">
        <f>"700065"</f>
        <v>700065</v>
      </c>
      <c r="H2785" t="str">
        <f>"אלתא מערכות בע""מ"</f>
        <v>אלתא מערכות בע"מ</v>
      </c>
      <c r="I2785" t="str">
        <f>"רוני דידי"</f>
        <v>רוני דידי</v>
      </c>
      <c r="J2785" t="str">
        <f>"000"</f>
        <v>000</v>
      </c>
      <c r="K2785" s="1" t="str">
        <f>"ימי הדרכה BEL"</f>
        <v>ימי הדרכה BEL</v>
      </c>
      <c r="L2785">
        <v>1</v>
      </c>
      <c r="O2785" s="2">
        <v>12000</v>
      </c>
      <c r="P2785" t="str">
        <f>"$"</f>
        <v>$</v>
      </c>
      <c r="Q2785" t="str">
        <f>"112"</f>
        <v>112</v>
      </c>
      <c r="R2785" t="str">
        <f>"תיקון תקלות"</f>
        <v>תיקון תקלות</v>
      </c>
      <c r="S2785" t="str">
        <f>"007"</f>
        <v>007</v>
      </c>
      <c r="T2785" t="str">
        <f>"עמר ליגל"</f>
        <v>עמר ליגל</v>
      </c>
      <c r="U2785">
        <v>0</v>
      </c>
      <c r="V2785">
        <v>0</v>
      </c>
      <c r="W2785" s="2">
        <v>12000</v>
      </c>
      <c r="X2785" s="2">
        <v>12000</v>
      </c>
      <c r="AA2785">
        <v>1</v>
      </c>
      <c r="AC2785">
        <v>0</v>
      </c>
      <c r="AE2785">
        <v>0</v>
      </c>
      <c r="AF2785">
        <v>0</v>
      </c>
      <c r="AG2785" s="2">
        <v>45528</v>
      </c>
      <c r="AH2785">
        <v>0</v>
      </c>
      <c r="AI2785" s="2">
        <v>45528</v>
      </c>
      <c r="AJ2785" s="2">
        <v>12000</v>
      </c>
      <c r="AK2785" s="2">
        <v>12000</v>
      </c>
      <c r="AL2785" t="str">
        <f>"$"</f>
        <v>$</v>
      </c>
    </row>
    <row r="2786" spans="1:38" x14ac:dyDescent="0.3">
      <c r="A2786" t="str">
        <f>"SO23000405"</f>
        <v>SO23000405</v>
      </c>
      <c r="B2786" t="str">
        <f>"E000402864"</f>
        <v>E000402864</v>
      </c>
      <c r="C2786" t="str">
        <f>"מאושרת לבצוע"</f>
        <v>מאושרת לבצוע</v>
      </c>
      <c r="E2786" s="3">
        <v>45159</v>
      </c>
      <c r="F2786" s="3">
        <v>45473</v>
      </c>
      <c r="G2786" t="str">
        <f>"700065"</f>
        <v>700065</v>
      </c>
      <c r="H2786" t="str">
        <f>"אלתא מערכות בע""מ"</f>
        <v>אלתא מערכות בע"מ</v>
      </c>
      <c r="I2786" t="str">
        <f>"רוני דידי"</f>
        <v>רוני דידי</v>
      </c>
      <c r="J2786" t="str">
        <f>"000"</f>
        <v>000</v>
      </c>
      <c r="K2786" s="1" t="str">
        <f>"ימי הדרכה KAI"</f>
        <v>ימי הדרכה KAI</v>
      </c>
      <c r="L2786">
        <v>1</v>
      </c>
      <c r="O2786" s="2">
        <v>12000</v>
      </c>
      <c r="P2786" t="str">
        <f>"$"</f>
        <v>$</v>
      </c>
      <c r="Q2786" t="str">
        <f>"112"</f>
        <v>112</v>
      </c>
      <c r="R2786" t="str">
        <f>"תיקון תקלות"</f>
        <v>תיקון תקלות</v>
      </c>
      <c r="S2786" t="str">
        <f>"007"</f>
        <v>007</v>
      </c>
      <c r="T2786" t="str">
        <f>"עמר ליגל"</f>
        <v>עמר ליגל</v>
      </c>
      <c r="U2786">
        <v>0</v>
      </c>
      <c r="V2786">
        <v>0</v>
      </c>
      <c r="W2786" s="2">
        <v>12000</v>
      </c>
      <c r="X2786" s="2">
        <v>12000</v>
      </c>
      <c r="AA2786">
        <v>1</v>
      </c>
      <c r="AC2786">
        <v>0</v>
      </c>
      <c r="AE2786">
        <v>0</v>
      </c>
      <c r="AF2786">
        <v>0</v>
      </c>
      <c r="AG2786" s="2">
        <v>45528</v>
      </c>
      <c r="AH2786">
        <v>0</v>
      </c>
      <c r="AI2786" s="2">
        <v>45528</v>
      </c>
      <c r="AJ2786" s="2">
        <v>12000</v>
      </c>
      <c r="AK2786" s="2">
        <v>12000</v>
      </c>
      <c r="AL2786" t="str">
        <f>"$"</f>
        <v>$</v>
      </c>
    </row>
    <row r="2787" spans="1:38" x14ac:dyDescent="0.3">
      <c r="A2787" t="str">
        <f>"SO23000406"</f>
        <v>SO23000406</v>
      </c>
      <c r="B2787" t="str">
        <f>"E000402863"</f>
        <v>E000402863</v>
      </c>
      <c r="C2787" t="str">
        <f>"טיוטא"</f>
        <v>טיוטא</v>
      </c>
      <c r="E2787" s="3">
        <v>45159</v>
      </c>
      <c r="F2787" s="3">
        <v>45290</v>
      </c>
      <c r="G2787" t="str">
        <f>"700065"</f>
        <v>700065</v>
      </c>
      <c r="H2787" t="str">
        <f>"אלתא מערכות בע""מ"</f>
        <v>אלתא מערכות בע"מ</v>
      </c>
      <c r="I2787" t="str">
        <f>"ערן שלו"</f>
        <v>ערן שלו</v>
      </c>
      <c r="J2787" t="str">
        <f>"000"</f>
        <v>000</v>
      </c>
      <c r="K2787" s="1" t="str">
        <f>"פירוק והרכבת דלת בקרון אינטגר"</f>
        <v>פירוק והרכבת דלת בקרון אינטגר</v>
      </c>
      <c r="L2787">
        <v>1</v>
      </c>
      <c r="O2787" s="2">
        <v>6555</v>
      </c>
      <c r="P2787" t="str">
        <f>"$"</f>
        <v>$</v>
      </c>
      <c r="Q2787" t="str">
        <f>"112"</f>
        <v>112</v>
      </c>
      <c r="R2787" t="str">
        <f>"תיקון תקלות"</f>
        <v>תיקון תקלות</v>
      </c>
      <c r="S2787" t="str">
        <f>"034"</f>
        <v>034</v>
      </c>
      <c r="T2787" t="str">
        <f>"עמר ליגל"</f>
        <v>עמר ליגל</v>
      </c>
      <c r="U2787">
        <v>0</v>
      </c>
      <c r="V2787">
        <v>0</v>
      </c>
      <c r="W2787" s="2">
        <v>6555</v>
      </c>
      <c r="X2787" s="2">
        <v>6555</v>
      </c>
      <c r="AA2787">
        <v>1</v>
      </c>
      <c r="AC2787">
        <v>0</v>
      </c>
      <c r="AE2787">
        <v>0</v>
      </c>
      <c r="AF2787">
        <v>0</v>
      </c>
      <c r="AG2787" s="2">
        <v>24869.67</v>
      </c>
      <c r="AH2787">
        <v>0</v>
      </c>
      <c r="AI2787" s="2">
        <v>24869.67</v>
      </c>
      <c r="AJ2787" s="2">
        <v>6555</v>
      </c>
      <c r="AK2787" s="2">
        <v>6555</v>
      </c>
      <c r="AL2787" t="str">
        <f>"$"</f>
        <v>$</v>
      </c>
    </row>
    <row r="2788" spans="1:38" x14ac:dyDescent="0.3">
      <c r="A2788" t="str">
        <f>"SO23000407"</f>
        <v>SO23000407</v>
      </c>
      <c r="B2788" t="str">
        <f>"E000402929"</f>
        <v>E000402929</v>
      </c>
      <c r="C2788" t="str">
        <f>"לאישור הסוכן"</f>
        <v>לאישור הסוכן</v>
      </c>
      <c r="E2788" s="3">
        <v>45159</v>
      </c>
      <c r="F2788" s="3">
        <v>45290</v>
      </c>
      <c r="G2788" t="str">
        <f>"700065"</f>
        <v>700065</v>
      </c>
      <c r="H2788" t="str">
        <f>"אלתא מערכות בע""מ"</f>
        <v>אלתא מערכות בע"מ</v>
      </c>
      <c r="I2788" t="str">
        <f>"רחמים זרוק"</f>
        <v>רחמים זרוק</v>
      </c>
      <c r="J2788" t="str">
        <f>"OP-AR03823"</f>
        <v>OP-AR03823</v>
      </c>
      <c r="K2788" s="1" t="str">
        <f>"4040K799-001    HARNESS WK799 - UAV CONTROL CABLE"</f>
        <v>4040K799-001    HARNESS WK799 - UAV CONTROL CABLE</v>
      </c>
      <c r="L2788">
        <v>2</v>
      </c>
      <c r="M2788" t="str">
        <f>"PR23000631"</f>
        <v>PR23000631</v>
      </c>
      <c r="N2788" t="str">
        <f>"E000402929"</f>
        <v>E000402929</v>
      </c>
      <c r="O2788">
        <v>410.28</v>
      </c>
      <c r="P2788" t="str">
        <f>"$"</f>
        <v>$</v>
      </c>
      <c r="Q2788" t="str">
        <f>"117"</f>
        <v>117</v>
      </c>
      <c r="R2788" t="str">
        <f>"רתמות"</f>
        <v>רתמות</v>
      </c>
      <c r="S2788" t="str">
        <f>"040"</f>
        <v>040</v>
      </c>
      <c r="T2788" t="str">
        <f>"עמר ליגל"</f>
        <v>עמר ליגל</v>
      </c>
      <c r="U2788">
        <v>0</v>
      </c>
      <c r="V2788">
        <v>0</v>
      </c>
      <c r="W2788">
        <v>410.28</v>
      </c>
      <c r="X2788">
        <v>820.56</v>
      </c>
      <c r="AA2788">
        <v>2</v>
      </c>
      <c r="AC2788">
        <v>0</v>
      </c>
      <c r="AE2788">
        <v>0</v>
      </c>
      <c r="AF2788">
        <v>0</v>
      </c>
      <c r="AG2788" s="2">
        <v>1556.6</v>
      </c>
      <c r="AH2788">
        <v>0</v>
      </c>
      <c r="AI2788" s="2">
        <v>3113.2</v>
      </c>
      <c r="AJ2788">
        <v>820.56</v>
      </c>
      <c r="AK2788">
        <v>820.56</v>
      </c>
      <c r="AL2788" t="str">
        <f>"$"</f>
        <v>$</v>
      </c>
    </row>
    <row r="2789" spans="1:38" x14ac:dyDescent="0.3">
      <c r="A2789" t="str">
        <f>"SO23000407"</f>
        <v>SO23000407</v>
      </c>
      <c r="B2789" t="str">
        <f>"E000402929"</f>
        <v>E000402929</v>
      </c>
      <c r="C2789" t="str">
        <f>"לאישור הסוכן"</f>
        <v>לאישור הסוכן</v>
      </c>
      <c r="E2789" s="3">
        <v>45159</v>
      </c>
      <c r="F2789" s="3">
        <v>45290</v>
      </c>
      <c r="G2789" t="str">
        <f>"700065"</f>
        <v>700065</v>
      </c>
      <c r="H2789" t="str">
        <f>"אלתא מערכות בע""מ"</f>
        <v>אלתא מערכות בע"מ</v>
      </c>
      <c r="I2789" t="str">
        <f>"רחמים זרוק"</f>
        <v>רחמים זרוק</v>
      </c>
      <c r="J2789" t="str">
        <f>"OP-AR03824"</f>
        <v>OP-AR03824</v>
      </c>
      <c r="K2789" s="1" t="str">
        <f>"2025E121-001     NOVA PWR MAINT LAB CABLE"</f>
        <v>2025E121-001     NOVA PWR MAINT LAB CABLE</v>
      </c>
      <c r="L2789">
        <v>3</v>
      </c>
      <c r="M2789" t="str">
        <f>"PR23000631"</f>
        <v>PR23000631</v>
      </c>
      <c r="N2789" t="str">
        <f>"E000402929"</f>
        <v>E000402929</v>
      </c>
      <c r="O2789" s="2">
        <v>1113.74</v>
      </c>
      <c r="P2789" t="str">
        <f>"$"</f>
        <v>$</v>
      </c>
      <c r="Q2789" t="str">
        <f>"117"</f>
        <v>117</v>
      </c>
      <c r="R2789" t="str">
        <f>"רתמות"</f>
        <v>רתמות</v>
      </c>
      <c r="S2789" t="str">
        <f>"040"</f>
        <v>040</v>
      </c>
      <c r="T2789" t="str">
        <f>"עמר ליגל"</f>
        <v>עמר ליגל</v>
      </c>
      <c r="U2789">
        <v>0</v>
      </c>
      <c r="V2789">
        <v>0</v>
      </c>
      <c r="W2789" s="2">
        <v>1113.74</v>
      </c>
      <c r="X2789" s="2">
        <v>3341.22</v>
      </c>
      <c r="AA2789">
        <v>3</v>
      </c>
      <c r="AC2789">
        <v>0</v>
      </c>
      <c r="AE2789">
        <v>0</v>
      </c>
      <c r="AF2789">
        <v>0</v>
      </c>
      <c r="AG2789" s="2">
        <v>4225.53</v>
      </c>
      <c r="AH2789">
        <v>0</v>
      </c>
      <c r="AI2789" s="2">
        <v>12676.59</v>
      </c>
      <c r="AJ2789" s="2">
        <v>3341.22</v>
      </c>
      <c r="AK2789" s="2">
        <v>3341.22</v>
      </c>
      <c r="AL2789" t="str">
        <f>"$"</f>
        <v>$</v>
      </c>
    </row>
    <row r="2790" spans="1:38" x14ac:dyDescent="0.3">
      <c r="A2790" t="str">
        <f>"SO23000407"</f>
        <v>SO23000407</v>
      </c>
      <c r="B2790" t="str">
        <f>"E000402929"</f>
        <v>E000402929</v>
      </c>
      <c r="C2790" t="str">
        <f>"לאישור הסוכן"</f>
        <v>לאישור הסוכן</v>
      </c>
      <c r="E2790" s="3">
        <v>45159</v>
      </c>
      <c r="F2790" s="3">
        <v>45290</v>
      </c>
      <c r="G2790" t="str">
        <f>"700065"</f>
        <v>700065</v>
      </c>
      <c r="H2790" t="str">
        <f>"אלתא מערכות בע""מ"</f>
        <v>אלתא מערכות בע"מ</v>
      </c>
      <c r="I2790" t="str">
        <f>"רחמים זרוק"</f>
        <v>רחמים זרוק</v>
      </c>
      <c r="J2790" t="str">
        <f>"OP-AR03825"</f>
        <v>OP-AR03825</v>
      </c>
      <c r="K2790" s="1" t="str">
        <f>"2203D692-001    GRU FIOR J3 LAB IO CABLE"</f>
        <v>2203D692-001    GRU FIOR J3 LAB IO CABLE</v>
      </c>
      <c r="L2790">
        <v>4</v>
      </c>
      <c r="M2790" t="str">
        <f>"PR23000631"</f>
        <v>PR23000631</v>
      </c>
      <c r="N2790" t="str">
        <f>"E000402929"</f>
        <v>E000402929</v>
      </c>
      <c r="O2790">
        <v>869.26</v>
      </c>
      <c r="P2790" t="str">
        <f>"$"</f>
        <v>$</v>
      </c>
      <c r="Q2790" t="str">
        <f>"117"</f>
        <v>117</v>
      </c>
      <c r="R2790" t="str">
        <f>"רתמות"</f>
        <v>רתמות</v>
      </c>
      <c r="S2790" t="str">
        <f>"040"</f>
        <v>040</v>
      </c>
      <c r="T2790" t="str">
        <f>"עמר ליגל"</f>
        <v>עמר ליגל</v>
      </c>
      <c r="U2790">
        <v>0</v>
      </c>
      <c r="V2790">
        <v>0</v>
      </c>
      <c r="W2790">
        <v>869.26</v>
      </c>
      <c r="X2790" s="2">
        <v>3477.04</v>
      </c>
      <c r="AA2790">
        <v>4</v>
      </c>
      <c r="AC2790">
        <v>0</v>
      </c>
      <c r="AE2790">
        <v>0</v>
      </c>
      <c r="AF2790">
        <v>0</v>
      </c>
      <c r="AG2790" s="2">
        <v>3297.97</v>
      </c>
      <c r="AH2790">
        <v>0</v>
      </c>
      <c r="AI2790" s="2">
        <v>13191.89</v>
      </c>
      <c r="AJ2790" s="2">
        <v>3477.04</v>
      </c>
      <c r="AK2790" s="2">
        <v>3477.04</v>
      </c>
      <c r="AL2790" t="str">
        <f>"$"</f>
        <v>$</v>
      </c>
    </row>
    <row r="2791" spans="1:38" x14ac:dyDescent="0.3">
      <c r="A2791" t="str">
        <f>"SO23000408"</f>
        <v>SO23000408</v>
      </c>
      <c r="B2791" t="str">
        <f>"E000402629"</f>
        <v>E000402629</v>
      </c>
      <c r="C2791" t="str">
        <f>"לאישור הסוכן"</f>
        <v>לאישור הסוכן</v>
      </c>
      <c r="E2791" s="3">
        <v>45159</v>
      </c>
      <c r="F2791" s="3">
        <v>45288</v>
      </c>
      <c r="G2791" t="str">
        <f>"700065"</f>
        <v>700065</v>
      </c>
      <c r="H2791" t="str">
        <f>"אלתא מערכות בע""מ"</f>
        <v>אלתא מערכות בע"מ</v>
      </c>
      <c r="I2791" t="str">
        <f>"רחמים זרוק"</f>
        <v>רחמים זרוק</v>
      </c>
      <c r="J2791" t="str">
        <f>"OP-AR03357"</f>
        <v>OP-AR03357</v>
      </c>
      <c r="K2791" s="1" t="str">
        <f>"2120B058-001    CABLE ASSY WTRM-S"</f>
        <v>2120B058-001    CABLE ASSY WTRM-S</v>
      </c>
      <c r="L2791">
        <v>1</v>
      </c>
      <c r="M2791" t="str">
        <f>"PR23000630"</f>
        <v>PR23000630</v>
      </c>
      <c r="N2791" t="str">
        <f>"E000402629"</f>
        <v>E000402629</v>
      </c>
      <c r="O2791">
        <v>575.33000000000004</v>
      </c>
      <c r="P2791" t="str">
        <f>"$"</f>
        <v>$</v>
      </c>
      <c r="Q2791" t="str">
        <f>"117"</f>
        <v>117</v>
      </c>
      <c r="R2791" t="str">
        <f>"רתמות"</f>
        <v>רתמות</v>
      </c>
      <c r="S2791" t="str">
        <f>"040"</f>
        <v>040</v>
      </c>
      <c r="T2791" t="str">
        <f>"עמר ליגל"</f>
        <v>עמר ליגל</v>
      </c>
      <c r="U2791">
        <v>0</v>
      </c>
      <c r="V2791">
        <v>0</v>
      </c>
      <c r="W2791">
        <v>575.33000000000004</v>
      </c>
      <c r="X2791">
        <v>575.33000000000004</v>
      </c>
      <c r="AA2791">
        <v>1</v>
      </c>
      <c r="AC2791">
        <v>0</v>
      </c>
      <c r="AE2791">
        <v>0</v>
      </c>
      <c r="AF2791">
        <v>0</v>
      </c>
      <c r="AG2791" s="2">
        <v>2182.8000000000002</v>
      </c>
      <c r="AH2791">
        <v>0</v>
      </c>
      <c r="AI2791" s="2">
        <v>2182.8000000000002</v>
      </c>
      <c r="AJ2791">
        <v>575.33000000000004</v>
      </c>
      <c r="AK2791">
        <v>575.33000000000004</v>
      </c>
      <c r="AL2791" t="str">
        <f>"$"</f>
        <v>$</v>
      </c>
    </row>
    <row r="2792" spans="1:38" x14ac:dyDescent="0.3">
      <c r="A2792" t="str">
        <f>"SO23000408"</f>
        <v>SO23000408</v>
      </c>
      <c r="B2792" t="str">
        <f>"E000402629"</f>
        <v>E000402629</v>
      </c>
      <c r="C2792" t="str">
        <f>"לאישור הסוכן"</f>
        <v>לאישור הסוכן</v>
      </c>
      <c r="E2792" s="3">
        <v>45159</v>
      </c>
      <c r="F2792" s="3">
        <v>45288</v>
      </c>
      <c r="G2792" t="str">
        <f>"700065"</f>
        <v>700065</v>
      </c>
      <c r="H2792" t="str">
        <f>"אלתא מערכות בע""מ"</f>
        <v>אלתא מערכות בע"מ</v>
      </c>
      <c r="I2792" t="str">
        <f>"רחמים זרוק"</f>
        <v>רחמים זרוק</v>
      </c>
      <c r="J2792" t="str">
        <f>"OP-AR03358"</f>
        <v>OP-AR03358</v>
      </c>
      <c r="K2792" s="1" t="str">
        <f>"2120B068-001    CABLE ASSY WDTRM-L"</f>
        <v>2120B068-001    CABLE ASSY WDTRM-L</v>
      </c>
      <c r="L2792">
        <v>1</v>
      </c>
      <c r="M2792" t="str">
        <f>"PR23000630"</f>
        <v>PR23000630</v>
      </c>
      <c r="N2792" t="str">
        <f>"E000402629"</f>
        <v>E000402629</v>
      </c>
      <c r="O2792">
        <v>575.33000000000004</v>
      </c>
      <c r="P2792" t="str">
        <f>"$"</f>
        <v>$</v>
      </c>
      <c r="Q2792" t="str">
        <f>"117"</f>
        <v>117</v>
      </c>
      <c r="R2792" t="str">
        <f>"רתמות"</f>
        <v>רתמות</v>
      </c>
      <c r="S2792" t="str">
        <f>"040"</f>
        <v>040</v>
      </c>
      <c r="T2792" t="str">
        <f>"עמר ליגל"</f>
        <v>עמר ליגל</v>
      </c>
      <c r="U2792">
        <v>0</v>
      </c>
      <c r="V2792">
        <v>0</v>
      </c>
      <c r="W2792">
        <v>575.33000000000004</v>
      </c>
      <c r="X2792">
        <v>575.33000000000004</v>
      </c>
      <c r="AA2792">
        <v>1</v>
      </c>
      <c r="AC2792">
        <v>0</v>
      </c>
      <c r="AE2792">
        <v>0</v>
      </c>
      <c r="AF2792">
        <v>0</v>
      </c>
      <c r="AG2792" s="2">
        <v>2182.8000000000002</v>
      </c>
      <c r="AH2792">
        <v>0</v>
      </c>
      <c r="AI2792" s="2">
        <v>2182.8000000000002</v>
      </c>
      <c r="AJ2792">
        <v>575.33000000000004</v>
      </c>
      <c r="AK2792">
        <v>575.33000000000004</v>
      </c>
      <c r="AL2792" t="str">
        <f>"$"</f>
        <v>$</v>
      </c>
    </row>
    <row r="2793" spans="1:38" x14ac:dyDescent="0.3">
      <c r="A2793" t="str">
        <f>"SO23000408"</f>
        <v>SO23000408</v>
      </c>
      <c r="B2793" t="str">
        <f>"E000402629"</f>
        <v>E000402629</v>
      </c>
      <c r="C2793" t="str">
        <f>"לאישור הסוכן"</f>
        <v>לאישור הסוכן</v>
      </c>
      <c r="E2793" s="3">
        <v>45159</v>
      </c>
      <c r="F2793" s="3">
        <v>45288</v>
      </c>
      <c r="G2793" t="str">
        <f>"700065"</f>
        <v>700065</v>
      </c>
      <c r="H2793" t="str">
        <f>"אלתא מערכות בע""מ"</f>
        <v>אלתא מערכות בע"מ</v>
      </c>
      <c r="I2793" t="str">
        <f>"רחמים זרוק"</f>
        <v>רחמים זרוק</v>
      </c>
      <c r="J2793" t="str">
        <f>"OP-AR03359"</f>
        <v>OP-AR03359</v>
      </c>
      <c r="K2793" s="1" t="str">
        <f>"2120B090-001    CABLE ASSY FSA-S"</f>
        <v>2120B090-001    CABLE ASSY FSA-S</v>
      </c>
      <c r="L2793">
        <v>1</v>
      </c>
      <c r="M2793" t="str">
        <f>"PR23000630"</f>
        <v>PR23000630</v>
      </c>
      <c r="N2793" t="str">
        <f>"E000402629"</f>
        <v>E000402629</v>
      </c>
      <c r="O2793">
        <v>575.33000000000004</v>
      </c>
      <c r="P2793" t="str">
        <f>"$"</f>
        <v>$</v>
      </c>
      <c r="Q2793" t="str">
        <f>"117"</f>
        <v>117</v>
      </c>
      <c r="R2793" t="str">
        <f>"רתמות"</f>
        <v>רתמות</v>
      </c>
      <c r="S2793" t="str">
        <f>"040"</f>
        <v>040</v>
      </c>
      <c r="T2793" t="str">
        <f>"עמר ליגל"</f>
        <v>עמר ליגל</v>
      </c>
      <c r="U2793">
        <v>0</v>
      </c>
      <c r="V2793">
        <v>0</v>
      </c>
      <c r="W2793">
        <v>575.33000000000004</v>
      </c>
      <c r="X2793">
        <v>575.33000000000004</v>
      </c>
      <c r="AA2793">
        <v>1</v>
      </c>
      <c r="AC2793">
        <v>0</v>
      </c>
      <c r="AE2793">
        <v>0</v>
      </c>
      <c r="AF2793">
        <v>0</v>
      </c>
      <c r="AG2793" s="2">
        <v>2182.8000000000002</v>
      </c>
      <c r="AH2793">
        <v>0</v>
      </c>
      <c r="AI2793" s="2">
        <v>2182.8000000000002</v>
      </c>
      <c r="AJ2793">
        <v>575.33000000000004</v>
      </c>
      <c r="AK2793">
        <v>575.33000000000004</v>
      </c>
      <c r="AL2793" t="str">
        <f>"$"</f>
        <v>$</v>
      </c>
    </row>
    <row r="2794" spans="1:38" x14ac:dyDescent="0.3">
      <c r="A2794" t="str">
        <f>"SO23000411"</f>
        <v>SO23000411</v>
      </c>
      <c r="B2794" t="str">
        <f>"E000403253"</f>
        <v>E000403253</v>
      </c>
      <c r="C2794" t="str">
        <f>"טיוטא"</f>
        <v>טיוטא</v>
      </c>
      <c r="E2794" s="3">
        <v>45161</v>
      </c>
      <c r="F2794" s="3">
        <v>45311</v>
      </c>
      <c r="G2794" t="str">
        <f>"700065"</f>
        <v>700065</v>
      </c>
      <c r="H2794" t="str">
        <f>"אלתא מערכות בע""מ"</f>
        <v>אלתא מערכות בע"מ</v>
      </c>
      <c r="I2794" t="str">
        <f>"רחמים זרוק"</f>
        <v>רחמים זרוק</v>
      </c>
      <c r="J2794" t="str">
        <f>"OP-AR03827"</f>
        <v>OP-AR03827</v>
      </c>
      <c r="K2794" s="1" t="str">
        <f>"2093B122-001    WU-HV1 CABLE F/ASSY"</f>
        <v>2093B122-001    WU-HV1 CABLE F/ASSY</v>
      </c>
      <c r="L2794">
        <v>1</v>
      </c>
      <c r="M2794" t="str">
        <f>"PR23000637"</f>
        <v>PR23000637</v>
      </c>
      <c r="N2794" t="str">
        <f>"E000403253"</f>
        <v>E000403253</v>
      </c>
      <c r="O2794">
        <v>562.33000000000004</v>
      </c>
      <c r="P2794" t="str">
        <f>"$"</f>
        <v>$</v>
      </c>
      <c r="Q2794" t="str">
        <f>"117"</f>
        <v>117</v>
      </c>
      <c r="R2794" t="str">
        <f>"רתמות"</f>
        <v>רתמות</v>
      </c>
      <c r="S2794" t="str">
        <f>"040"</f>
        <v>040</v>
      </c>
      <c r="T2794" t="str">
        <f>"עמר ליגל"</f>
        <v>עמר ליגל</v>
      </c>
      <c r="U2794">
        <v>0</v>
      </c>
      <c r="V2794">
        <v>0</v>
      </c>
      <c r="W2794">
        <v>562.33000000000004</v>
      </c>
      <c r="X2794">
        <v>562.33000000000004</v>
      </c>
      <c r="AA2794">
        <v>1</v>
      </c>
      <c r="AC2794">
        <v>0</v>
      </c>
      <c r="AE2794">
        <v>0</v>
      </c>
      <c r="AF2794">
        <v>0</v>
      </c>
      <c r="AG2794" s="2">
        <v>2130.11</v>
      </c>
      <c r="AH2794">
        <v>0</v>
      </c>
      <c r="AI2794" s="2">
        <v>2130.11</v>
      </c>
      <c r="AJ2794">
        <v>562.33000000000004</v>
      </c>
      <c r="AK2794">
        <v>562.33000000000004</v>
      </c>
      <c r="AL2794" t="str">
        <f>"$"</f>
        <v>$</v>
      </c>
    </row>
    <row r="2795" spans="1:38" x14ac:dyDescent="0.3">
      <c r="A2795" t="str">
        <f>"SO23000411"</f>
        <v>SO23000411</v>
      </c>
      <c r="B2795" t="str">
        <f>"E000403253"</f>
        <v>E000403253</v>
      </c>
      <c r="C2795" t="str">
        <f>"טיוטא"</f>
        <v>טיוטא</v>
      </c>
      <c r="E2795" s="3">
        <v>45161</v>
      </c>
      <c r="F2795" s="3">
        <v>45311</v>
      </c>
      <c r="G2795" t="str">
        <f>"700065"</f>
        <v>700065</v>
      </c>
      <c r="H2795" t="str">
        <f>"אלתא מערכות בע""מ"</f>
        <v>אלתא מערכות בע"מ</v>
      </c>
      <c r="I2795" t="str">
        <f>"רחמים זרוק"</f>
        <v>רחמים זרוק</v>
      </c>
      <c r="J2795" t="str">
        <f>"OP-AR03204"</f>
        <v>OP-AR03204</v>
      </c>
      <c r="K2795" s="1" t="str">
        <f>"2112B728-001    NG WDTRM CABLE"</f>
        <v>2112B728-001    NG WDTRM CABLE</v>
      </c>
      <c r="L2795">
        <v>12</v>
      </c>
      <c r="M2795" t="str">
        <f>"PR23000637"</f>
        <v>PR23000637</v>
      </c>
      <c r="N2795" t="str">
        <f>"E000403253"</f>
        <v>E000403253</v>
      </c>
      <c r="O2795">
        <v>471.08</v>
      </c>
      <c r="P2795" t="str">
        <f>"$"</f>
        <v>$</v>
      </c>
      <c r="Q2795" t="str">
        <f>"117"</f>
        <v>117</v>
      </c>
      <c r="R2795" t="str">
        <f>"רתמות"</f>
        <v>רתמות</v>
      </c>
      <c r="S2795" t="str">
        <f>"040"</f>
        <v>040</v>
      </c>
      <c r="T2795" t="str">
        <f>"עמר ליגל"</f>
        <v>עמר ליגל</v>
      </c>
      <c r="U2795">
        <v>0</v>
      </c>
      <c r="V2795">
        <v>0</v>
      </c>
      <c r="W2795">
        <v>471.08</v>
      </c>
      <c r="X2795" s="2">
        <v>5652.96</v>
      </c>
      <c r="AA2795">
        <v>12</v>
      </c>
      <c r="AC2795">
        <v>0</v>
      </c>
      <c r="AE2795">
        <v>0</v>
      </c>
      <c r="AF2795">
        <v>0</v>
      </c>
      <c r="AG2795" s="2">
        <v>1784.45</v>
      </c>
      <c r="AH2795">
        <v>0</v>
      </c>
      <c r="AI2795" s="2">
        <v>21413.41</v>
      </c>
      <c r="AJ2795" s="2">
        <v>5652.96</v>
      </c>
      <c r="AK2795" s="2">
        <v>5652.96</v>
      </c>
      <c r="AL2795" t="str">
        <f>"$"</f>
        <v>$</v>
      </c>
    </row>
    <row r="2796" spans="1:38" x14ac:dyDescent="0.3">
      <c r="A2796" t="str">
        <f>"SO23000411"</f>
        <v>SO23000411</v>
      </c>
      <c r="B2796" t="str">
        <f>"E000403253"</f>
        <v>E000403253</v>
      </c>
      <c r="C2796" t="str">
        <f>"טיוטא"</f>
        <v>טיוטא</v>
      </c>
      <c r="E2796" s="3">
        <v>45161</v>
      </c>
      <c r="F2796" s="3">
        <v>45311</v>
      </c>
      <c r="G2796" t="str">
        <f>"700065"</f>
        <v>700065</v>
      </c>
      <c r="H2796" t="str">
        <f>"אלתא מערכות בע""מ"</f>
        <v>אלתא מערכות בע"מ</v>
      </c>
      <c r="I2796" t="str">
        <f>"רחמים זרוק"</f>
        <v>רחמים זרוק</v>
      </c>
      <c r="J2796" t="str">
        <f>"OP-AR03828"</f>
        <v>OP-AR03828</v>
      </c>
      <c r="K2796" s="1" t="str">
        <f>"2093B246-001    NGU TRM CABLE ASSY"</f>
        <v>2093B246-001    NGU TRM CABLE ASSY</v>
      </c>
      <c r="L2796">
        <v>1</v>
      </c>
      <c r="M2796" t="str">
        <f>"PR23000637"</f>
        <v>PR23000637</v>
      </c>
      <c r="N2796" t="str">
        <f>"E000403253"</f>
        <v>E000403253</v>
      </c>
      <c r="O2796">
        <v>570.45000000000005</v>
      </c>
      <c r="P2796" t="str">
        <f>"$"</f>
        <v>$</v>
      </c>
      <c r="Q2796" t="str">
        <f>"117"</f>
        <v>117</v>
      </c>
      <c r="R2796" t="str">
        <f>"רתמות"</f>
        <v>רתמות</v>
      </c>
      <c r="S2796" t="str">
        <f>"040"</f>
        <v>040</v>
      </c>
      <c r="T2796" t="str">
        <f>"עמר ליגל"</f>
        <v>עמר ליגל</v>
      </c>
      <c r="U2796">
        <v>0</v>
      </c>
      <c r="V2796">
        <v>0</v>
      </c>
      <c r="W2796">
        <v>570.45000000000005</v>
      </c>
      <c r="X2796">
        <v>570.45000000000005</v>
      </c>
      <c r="AA2796">
        <v>1</v>
      </c>
      <c r="AC2796">
        <v>0</v>
      </c>
      <c r="AE2796">
        <v>0</v>
      </c>
      <c r="AF2796">
        <v>0</v>
      </c>
      <c r="AG2796" s="2">
        <v>2160.86</v>
      </c>
      <c r="AH2796">
        <v>0</v>
      </c>
      <c r="AI2796" s="2">
        <v>2160.86</v>
      </c>
      <c r="AJ2796">
        <v>570.45000000000005</v>
      </c>
      <c r="AK2796">
        <v>570.45000000000005</v>
      </c>
      <c r="AL2796" t="str">
        <f>"$"</f>
        <v>$</v>
      </c>
    </row>
    <row r="2797" spans="1:38" x14ac:dyDescent="0.3">
      <c r="A2797" t="str">
        <f>"SO23000411"</f>
        <v>SO23000411</v>
      </c>
      <c r="B2797" t="str">
        <f>"E000403253"</f>
        <v>E000403253</v>
      </c>
      <c r="C2797" t="str">
        <f>"טיוטא"</f>
        <v>טיוטא</v>
      </c>
      <c r="E2797" s="3">
        <v>45161</v>
      </c>
      <c r="F2797" s="3">
        <v>45311</v>
      </c>
      <c r="G2797" t="str">
        <f>"700065"</f>
        <v>700065</v>
      </c>
      <c r="H2797" t="str">
        <f>"אלתא מערכות בע""מ"</f>
        <v>אלתא מערכות בע"מ</v>
      </c>
      <c r="I2797" t="str">
        <f>"רחמים זרוק"</f>
        <v>רחמים זרוק</v>
      </c>
      <c r="J2797" t="str">
        <f>"OP-AR03829"</f>
        <v>OP-AR03829</v>
      </c>
      <c r="K2797" s="1" t="str">
        <f>"2225B162-001     BSN DRW. J1 CABLE ASSY"</f>
        <v>2225B162-001     BSN DRW. J1 CABLE ASSY</v>
      </c>
      <c r="L2797">
        <v>1</v>
      </c>
      <c r="M2797" t="str">
        <f>"PR23000637"</f>
        <v>PR23000637</v>
      </c>
      <c r="N2797" t="str">
        <f>"E000403253"</f>
        <v>E000403253</v>
      </c>
      <c r="O2797">
        <v>603.12</v>
      </c>
      <c r="P2797" t="str">
        <f>"$"</f>
        <v>$</v>
      </c>
      <c r="Q2797" t="str">
        <f>"117"</f>
        <v>117</v>
      </c>
      <c r="R2797" t="str">
        <f>"רתמות"</f>
        <v>רתמות</v>
      </c>
      <c r="S2797" t="str">
        <f>"040"</f>
        <v>040</v>
      </c>
      <c r="T2797" t="str">
        <f>"עמר ליגל"</f>
        <v>עמר ליגל</v>
      </c>
      <c r="U2797">
        <v>0</v>
      </c>
      <c r="V2797">
        <v>0</v>
      </c>
      <c r="W2797">
        <v>603.12</v>
      </c>
      <c r="X2797">
        <v>603.12</v>
      </c>
      <c r="AA2797">
        <v>1</v>
      </c>
      <c r="AC2797">
        <v>0</v>
      </c>
      <c r="AE2797">
        <v>0</v>
      </c>
      <c r="AF2797">
        <v>0</v>
      </c>
      <c r="AG2797" s="2">
        <v>2284.62</v>
      </c>
      <c r="AH2797">
        <v>0</v>
      </c>
      <c r="AI2797" s="2">
        <v>2284.62</v>
      </c>
      <c r="AJ2797">
        <v>603.12</v>
      </c>
      <c r="AK2797">
        <v>603.12</v>
      </c>
      <c r="AL2797" t="str">
        <f>"$"</f>
        <v>$</v>
      </c>
    </row>
    <row r="2798" spans="1:38" x14ac:dyDescent="0.3">
      <c r="A2798" t="str">
        <f>"SO23000411"</f>
        <v>SO23000411</v>
      </c>
      <c r="B2798" t="str">
        <f>"E000403253"</f>
        <v>E000403253</v>
      </c>
      <c r="C2798" t="str">
        <f>"טיוטא"</f>
        <v>טיוטא</v>
      </c>
      <c r="E2798" s="3">
        <v>45161</v>
      </c>
      <c r="F2798" s="3">
        <v>45311</v>
      </c>
      <c r="G2798" t="str">
        <f>"700065"</f>
        <v>700065</v>
      </c>
      <c r="H2798" t="str">
        <f>"אלתא מערכות בע""מ"</f>
        <v>אלתא מערכות בע"מ</v>
      </c>
      <c r="I2798" t="str">
        <f>"רחמים זרוק"</f>
        <v>רחמים זרוק</v>
      </c>
      <c r="J2798" t="str">
        <f>"OP-AR03943"</f>
        <v>OP-AR03943</v>
      </c>
      <c r="K2798" s="1" t="str">
        <f>"3062B179-001     LW41 CABLE"</f>
        <v>3062B179-001     LW41 CABLE</v>
      </c>
      <c r="L2798">
        <v>2</v>
      </c>
      <c r="M2798" t="str">
        <f>"PR23000637"</f>
        <v>PR23000637</v>
      </c>
      <c r="N2798" t="str">
        <f>"E000403253"</f>
        <v>E000403253</v>
      </c>
      <c r="O2798">
        <v>785.69</v>
      </c>
      <c r="P2798" t="str">
        <f>"$"</f>
        <v>$</v>
      </c>
      <c r="Q2798" t="str">
        <f>"117"</f>
        <v>117</v>
      </c>
      <c r="R2798" t="str">
        <f>"רתמות"</f>
        <v>רתמות</v>
      </c>
      <c r="S2798" t="str">
        <f>"040"</f>
        <v>040</v>
      </c>
      <c r="T2798" t="str">
        <f>"עמר ליגל"</f>
        <v>עמר ליגל</v>
      </c>
      <c r="U2798">
        <v>0</v>
      </c>
      <c r="V2798">
        <v>0</v>
      </c>
      <c r="W2798">
        <v>785.69</v>
      </c>
      <c r="X2798" s="2">
        <v>1571.38</v>
      </c>
      <c r="AA2798">
        <v>2</v>
      </c>
      <c r="AC2798">
        <v>0</v>
      </c>
      <c r="AE2798">
        <v>0</v>
      </c>
      <c r="AF2798">
        <v>0</v>
      </c>
      <c r="AG2798" s="2">
        <v>2976.19</v>
      </c>
      <c r="AH2798">
        <v>0</v>
      </c>
      <c r="AI2798" s="2">
        <v>5952.39</v>
      </c>
      <c r="AJ2798" s="2">
        <v>1571.38</v>
      </c>
      <c r="AK2798" s="2">
        <v>1571.38</v>
      </c>
      <c r="AL2798" t="str">
        <f>"$"</f>
        <v>$</v>
      </c>
    </row>
    <row r="2799" spans="1:38" x14ac:dyDescent="0.3">
      <c r="A2799" t="str">
        <f>"SO23000412"</f>
        <v>SO23000412</v>
      </c>
      <c r="B2799" t="str">
        <f>"E000403184"</f>
        <v>E000403184</v>
      </c>
      <c r="C2799" t="str">
        <f>"לאישור הסוכן"</f>
        <v>לאישור הסוכן</v>
      </c>
      <c r="E2799" s="3">
        <v>45161</v>
      </c>
      <c r="F2799" s="3">
        <v>45290</v>
      </c>
      <c r="G2799" t="str">
        <f>"700065"</f>
        <v>700065</v>
      </c>
      <c r="H2799" t="str">
        <f>"אלתא מערכות בע""מ"</f>
        <v>אלתא מערכות בע"מ</v>
      </c>
      <c r="I2799" t="str">
        <f>"רחמים זרוק"</f>
        <v>רחמים זרוק</v>
      </c>
      <c r="J2799" t="str">
        <f>"PD0300556"</f>
        <v>PD0300556</v>
      </c>
      <c r="K2799" s="1" t="str">
        <f>"סוללה HMIZGBAT Battery for Memory Backup HMI"</f>
        <v>סוללה HMIZGBAT Battery for Memory Backup HMI</v>
      </c>
      <c r="L2799">
        <v>1</v>
      </c>
      <c r="O2799">
        <v>760</v>
      </c>
      <c r="P2799" t="str">
        <f>"$"</f>
        <v>$</v>
      </c>
      <c r="Q2799" t="str">
        <f>"112"</f>
        <v>112</v>
      </c>
      <c r="R2799" t="str">
        <f>"תיקון תקלות"</f>
        <v>תיקון תקלות</v>
      </c>
      <c r="S2799" t="str">
        <f>"040"</f>
        <v>040</v>
      </c>
      <c r="T2799" t="str">
        <f>"עמר ליגל"</f>
        <v>עמר ליגל</v>
      </c>
      <c r="U2799">
        <v>0</v>
      </c>
      <c r="V2799">
        <v>0</v>
      </c>
      <c r="W2799">
        <v>760</v>
      </c>
      <c r="X2799">
        <v>760</v>
      </c>
      <c r="AA2799">
        <v>1</v>
      </c>
      <c r="AC2799">
        <v>0</v>
      </c>
      <c r="AE2799">
        <v>0</v>
      </c>
      <c r="AF2799">
        <v>0</v>
      </c>
      <c r="AG2799" s="2">
        <v>2878.88</v>
      </c>
      <c r="AH2799">
        <v>0</v>
      </c>
      <c r="AI2799" s="2">
        <v>2878.88</v>
      </c>
      <c r="AJ2799">
        <v>760</v>
      </c>
      <c r="AK2799">
        <v>760</v>
      </c>
      <c r="AL2799" t="str">
        <f>"$"</f>
        <v>$</v>
      </c>
    </row>
    <row r="2800" spans="1:38" x14ac:dyDescent="0.3">
      <c r="A2800" t="str">
        <f>"SO23000413"</f>
        <v>SO23000413</v>
      </c>
      <c r="B2800" t="str">
        <f>"E000402442"</f>
        <v>E000402442</v>
      </c>
      <c r="C2800" t="str">
        <f>"מאושרת לבצוע"</f>
        <v>מאושרת לבצוע</v>
      </c>
      <c r="E2800" s="3">
        <v>45161</v>
      </c>
      <c r="F2800" s="3">
        <v>45311</v>
      </c>
      <c r="G2800" t="str">
        <f>"700065"</f>
        <v>700065</v>
      </c>
      <c r="H2800" t="str">
        <f>"אלתא מערכות בע""מ"</f>
        <v>אלתא מערכות בע"מ</v>
      </c>
      <c r="I2800" t="str">
        <f>"רחמים זרוק"</f>
        <v>רחמים זרוק</v>
      </c>
      <c r="J2800" t="str">
        <f>"OP-AR03017"</f>
        <v>OP-AR03017</v>
      </c>
      <c r="K2800" s="1" t="str">
        <f>"2203B862-001   POWER TO JIG CABLE ASSY"</f>
        <v>2203B862-001   POWER TO JIG CABLE ASSY</v>
      </c>
      <c r="L2800">
        <v>1</v>
      </c>
      <c r="M2800" t="str">
        <f>"PR23000655"</f>
        <v>PR23000655</v>
      </c>
      <c r="N2800" t="str">
        <f>"E000402442"</f>
        <v>E000402442</v>
      </c>
      <c r="O2800">
        <v>657.74</v>
      </c>
      <c r="P2800" t="str">
        <f>"$"</f>
        <v>$</v>
      </c>
      <c r="Q2800" t="str">
        <f>"117"</f>
        <v>117</v>
      </c>
      <c r="R2800" t="str">
        <f>"רתמות"</f>
        <v>רתמות</v>
      </c>
      <c r="S2800" t="str">
        <f>"040"</f>
        <v>040</v>
      </c>
      <c r="T2800" t="str">
        <f>"עמר ליגל"</f>
        <v>עמר ליגל</v>
      </c>
      <c r="U2800">
        <v>0</v>
      </c>
      <c r="V2800">
        <v>0</v>
      </c>
      <c r="W2800">
        <v>657.74</v>
      </c>
      <c r="X2800">
        <v>657.74</v>
      </c>
      <c r="AA2800">
        <v>1</v>
      </c>
      <c r="AC2800">
        <v>0</v>
      </c>
      <c r="AE2800">
        <v>0</v>
      </c>
      <c r="AF2800">
        <v>0</v>
      </c>
      <c r="AG2800" s="2">
        <v>2491.52</v>
      </c>
      <c r="AH2800">
        <v>0</v>
      </c>
      <c r="AI2800" s="2">
        <v>2491.52</v>
      </c>
      <c r="AJ2800">
        <v>657.74</v>
      </c>
      <c r="AK2800">
        <v>657.74</v>
      </c>
      <c r="AL2800" t="str">
        <f>"$"</f>
        <v>$</v>
      </c>
    </row>
    <row r="2801" spans="1:38" x14ac:dyDescent="0.3">
      <c r="A2801" t="str">
        <f>"SO23000413"</f>
        <v>SO23000413</v>
      </c>
      <c r="B2801" t="str">
        <f>"E000402442"</f>
        <v>E000402442</v>
      </c>
      <c r="C2801" t="str">
        <f>"מאושרת לבצוע"</f>
        <v>מאושרת לבצוע</v>
      </c>
      <c r="E2801" s="3">
        <v>45161</v>
      </c>
      <c r="F2801" s="3">
        <v>45572</v>
      </c>
      <c r="G2801" t="str">
        <f>"700065"</f>
        <v>700065</v>
      </c>
      <c r="H2801" t="str">
        <f>"אלתא מערכות בע""מ"</f>
        <v>אלתא מערכות בע"מ</v>
      </c>
      <c r="I2801" t="str">
        <f>"רחמים זרוק"</f>
        <v>רחמים זרוק</v>
      </c>
      <c r="J2801" t="str">
        <f>"OP-AR02349"</f>
        <v>OP-AR02349</v>
      </c>
      <c r="K2801" s="1" t="str">
        <f>"2202B030-001     TRW20 CABLE ASSY"</f>
        <v>2202B030-001     TRW20 CABLE ASSY</v>
      </c>
      <c r="L2801">
        <v>1</v>
      </c>
      <c r="M2801" t="str">
        <f>"PR23000655"</f>
        <v>PR23000655</v>
      </c>
      <c r="N2801" t="str">
        <f>"E000402442"</f>
        <v>E000402442</v>
      </c>
      <c r="O2801">
        <v>159.41999999999999</v>
      </c>
      <c r="P2801" t="str">
        <f>"$"</f>
        <v>$</v>
      </c>
      <c r="Q2801" t="str">
        <f>"117"</f>
        <v>117</v>
      </c>
      <c r="R2801" t="str">
        <f>"רתמות"</f>
        <v>רתמות</v>
      </c>
      <c r="S2801" t="str">
        <f>"040"</f>
        <v>040</v>
      </c>
      <c r="T2801" t="str">
        <f>"עמר ליגל"</f>
        <v>עמר ליגל</v>
      </c>
      <c r="U2801">
        <v>0</v>
      </c>
      <c r="V2801">
        <v>0</v>
      </c>
      <c r="W2801">
        <v>159.41999999999999</v>
      </c>
      <c r="X2801">
        <v>159.41999999999999</v>
      </c>
      <c r="AA2801">
        <v>1</v>
      </c>
      <c r="AC2801">
        <v>0</v>
      </c>
      <c r="AE2801">
        <v>0</v>
      </c>
      <c r="AF2801">
        <v>0</v>
      </c>
      <c r="AG2801">
        <v>603.88</v>
      </c>
      <c r="AH2801">
        <v>0</v>
      </c>
      <c r="AI2801">
        <v>603.88</v>
      </c>
      <c r="AJ2801">
        <v>159.41999999999999</v>
      </c>
      <c r="AK2801">
        <v>159.41999999999999</v>
      </c>
      <c r="AL2801" t="str">
        <f>"$"</f>
        <v>$</v>
      </c>
    </row>
    <row r="2802" spans="1:38" x14ac:dyDescent="0.3">
      <c r="A2802" t="str">
        <f>"SO23000413"</f>
        <v>SO23000413</v>
      </c>
      <c r="B2802" t="str">
        <f>"E000402442"</f>
        <v>E000402442</v>
      </c>
      <c r="C2802" t="str">
        <f>"מאושרת לבצוע"</f>
        <v>מאושרת לבצוע</v>
      </c>
      <c r="E2802" s="3">
        <v>45161</v>
      </c>
      <c r="F2802" s="3">
        <v>45311</v>
      </c>
      <c r="G2802" t="str">
        <f>"700065"</f>
        <v>700065</v>
      </c>
      <c r="H2802" t="str">
        <f>"אלתא מערכות בע""מ"</f>
        <v>אלתא מערכות בע"מ</v>
      </c>
      <c r="I2802" t="str">
        <f>"רחמים זרוק"</f>
        <v>רחמים זרוק</v>
      </c>
      <c r="J2802" t="str">
        <f>"OP-AR02350"</f>
        <v>OP-AR02350</v>
      </c>
      <c r="K2802" s="1" t="str">
        <f>"2202B032-001    TRW21 CABLE ASSY"</f>
        <v>2202B032-001    TRW21 CABLE ASSY</v>
      </c>
      <c r="L2802">
        <v>1</v>
      </c>
      <c r="M2802" t="str">
        <f>"PR23000655"</f>
        <v>PR23000655</v>
      </c>
      <c r="N2802" t="str">
        <f>"E000402442"</f>
        <v>E000402442</v>
      </c>
      <c r="O2802">
        <v>150.88999999999999</v>
      </c>
      <c r="P2802" t="str">
        <f>"$"</f>
        <v>$</v>
      </c>
      <c r="Q2802" t="str">
        <f>"117"</f>
        <v>117</v>
      </c>
      <c r="R2802" t="str">
        <f>"רתמות"</f>
        <v>רתמות</v>
      </c>
      <c r="S2802" t="str">
        <f>"040"</f>
        <v>040</v>
      </c>
      <c r="T2802" t="str">
        <f>"עמר ליגל"</f>
        <v>עמר ליגל</v>
      </c>
      <c r="U2802">
        <v>0</v>
      </c>
      <c r="V2802">
        <v>0</v>
      </c>
      <c r="W2802">
        <v>150.88999999999999</v>
      </c>
      <c r="X2802">
        <v>150.88999999999999</v>
      </c>
      <c r="AA2802">
        <v>1</v>
      </c>
      <c r="AC2802">
        <v>0</v>
      </c>
      <c r="AE2802">
        <v>0</v>
      </c>
      <c r="AF2802">
        <v>0</v>
      </c>
      <c r="AG2802">
        <v>571.57000000000005</v>
      </c>
      <c r="AH2802">
        <v>0</v>
      </c>
      <c r="AI2802">
        <v>571.57000000000005</v>
      </c>
      <c r="AJ2802">
        <v>150.88999999999999</v>
      </c>
      <c r="AK2802">
        <v>150.88999999999999</v>
      </c>
      <c r="AL2802" t="str">
        <f>"$"</f>
        <v>$</v>
      </c>
    </row>
    <row r="2803" spans="1:38" x14ac:dyDescent="0.3">
      <c r="A2803" t="str">
        <f>"SO23000413"</f>
        <v>SO23000413</v>
      </c>
      <c r="B2803" t="str">
        <f>"E000402442"</f>
        <v>E000402442</v>
      </c>
      <c r="C2803" t="str">
        <f>"מאושרת לבצוע"</f>
        <v>מאושרת לבצוע</v>
      </c>
      <c r="E2803" s="3">
        <v>45161</v>
      </c>
      <c r="F2803" s="3">
        <v>45572</v>
      </c>
      <c r="G2803" t="str">
        <f>"700065"</f>
        <v>700065</v>
      </c>
      <c r="H2803" t="str">
        <f>"אלתא מערכות בע""מ"</f>
        <v>אלתא מערכות בע"מ</v>
      </c>
      <c r="I2803" t="str">
        <f>"רחמים זרוק"</f>
        <v>רחמים זרוק</v>
      </c>
      <c r="J2803" t="str">
        <f>"OP-AR02351"</f>
        <v>OP-AR02351</v>
      </c>
      <c r="K2803" s="1" t="str">
        <f>"2202B034-001    TRW22 CABLE ASSY"</f>
        <v>2202B034-001    TRW22 CABLE ASSY</v>
      </c>
      <c r="L2803">
        <v>1</v>
      </c>
      <c r="M2803" t="str">
        <f>"PR23000655"</f>
        <v>PR23000655</v>
      </c>
      <c r="N2803" t="str">
        <f>"E000402442"</f>
        <v>E000402442</v>
      </c>
      <c r="O2803">
        <v>125.97</v>
      </c>
      <c r="P2803" t="str">
        <f>"$"</f>
        <v>$</v>
      </c>
      <c r="Q2803" t="str">
        <f>"117"</f>
        <v>117</v>
      </c>
      <c r="R2803" t="str">
        <f>"רתמות"</f>
        <v>רתמות</v>
      </c>
      <c r="S2803" t="str">
        <f>"040"</f>
        <v>040</v>
      </c>
      <c r="T2803" t="str">
        <f>"עמר ליגל"</f>
        <v>עמר ליגל</v>
      </c>
      <c r="U2803">
        <v>0</v>
      </c>
      <c r="V2803">
        <v>0</v>
      </c>
      <c r="W2803">
        <v>125.97</v>
      </c>
      <c r="X2803">
        <v>125.97</v>
      </c>
      <c r="AA2803">
        <v>1</v>
      </c>
      <c r="AC2803">
        <v>0</v>
      </c>
      <c r="AE2803">
        <v>0</v>
      </c>
      <c r="AF2803">
        <v>0</v>
      </c>
      <c r="AG2803">
        <v>477.17</v>
      </c>
      <c r="AH2803">
        <v>0</v>
      </c>
      <c r="AI2803">
        <v>477.17</v>
      </c>
      <c r="AJ2803">
        <v>125.97</v>
      </c>
      <c r="AK2803">
        <v>125.97</v>
      </c>
      <c r="AL2803" t="str">
        <f>"$"</f>
        <v>$</v>
      </c>
    </row>
    <row r="2804" spans="1:38" x14ac:dyDescent="0.3">
      <c r="A2804" t="str">
        <f>"SO23000413"</f>
        <v>SO23000413</v>
      </c>
      <c r="B2804" t="str">
        <f>"E000402442"</f>
        <v>E000402442</v>
      </c>
      <c r="C2804" t="str">
        <f>"מאושרת לבצוע"</f>
        <v>מאושרת לבצוע</v>
      </c>
      <c r="E2804" s="3">
        <v>45161</v>
      </c>
      <c r="F2804" s="3">
        <v>45311</v>
      </c>
      <c r="G2804" t="str">
        <f>"700065"</f>
        <v>700065</v>
      </c>
      <c r="H2804" t="str">
        <f>"אלתא מערכות בע""מ"</f>
        <v>אלתא מערכות בע"מ</v>
      </c>
      <c r="I2804" t="str">
        <f>"רחמים זרוק"</f>
        <v>רחמים זרוק</v>
      </c>
      <c r="J2804" t="str">
        <f>"OP-AR02352"</f>
        <v>OP-AR02352</v>
      </c>
      <c r="K2804" s="1" t="str">
        <f>"2202B036-001    TRW23 CABLE ASSY"</f>
        <v>2202B036-001    TRW23 CABLE ASSY</v>
      </c>
      <c r="L2804">
        <v>1</v>
      </c>
      <c r="M2804" t="str">
        <f>"PR23000655"</f>
        <v>PR23000655</v>
      </c>
      <c r="N2804" t="str">
        <f>"E000402442"</f>
        <v>E000402442</v>
      </c>
      <c r="O2804">
        <v>76.069999999999993</v>
      </c>
      <c r="P2804" t="str">
        <f>"$"</f>
        <v>$</v>
      </c>
      <c r="Q2804" t="str">
        <f>"117"</f>
        <v>117</v>
      </c>
      <c r="R2804" t="str">
        <f>"רתמות"</f>
        <v>רתמות</v>
      </c>
      <c r="S2804" t="str">
        <f>"040"</f>
        <v>040</v>
      </c>
      <c r="T2804" t="str">
        <f>"עמר ליגל"</f>
        <v>עמר ליגל</v>
      </c>
      <c r="U2804">
        <v>0</v>
      </c>
      <c r="V2804">
        <v>0</v>
      </c>
      <c r="W2804">
        <v>76.069999999999993</v>
      </c>
      <c r="X2804">
        <v>76.069999999999993</v>
      </c>
      <c r="Z2804" t="str">
        <f>"Y"</f>
        <v>Y</v>
      </c>
      <c r="AA2804">
        <v>0</v>
      </c>
      <c r="AC2804">
        <v>0</v>
      </c>
      <c r="AE2804">
        <v>0</v>
      </c>
      <c r="AF2804">
        <v>0</v>
      </c>
      <c r="AG2804">
        <v>288.14999999999998</v>
      </c>
      <c r="AH2804">
        <v>0</v>
      </c>
      <c r="AI2804">
        <v>288.14999999999998</v>
      </c>
      <c r="AJ2804">
        <v>76.069999999999993</v>
      </c>
      <c r="AK2804">
        <v>76.069999999999993</v>
      </c>
      <c r="AL2804" t="str">
        <f>"$"</f>
        <v>$</v>
      </c>
    </row>
    <row r="2805" spans="1:38" x14ac:dyDescent="0.3">
      <c r="A2805" t="str">
        <f>"SO23000413"</f>
        <v>SO23000413</v>
      </c>
      <c r="B2805" t="str">
        <f>"E000402442"</f>
        <v>E000402442</v>
      </c>
      <c r="C2805" t="str">
        <f>"מאושרת לבצוע"</f>
        <v>מאושרת לבצוע</v>
      </c>
      <c r="E2805" s="3">
        <v>45161</v>
      </c>
      <c r="F2805" s="3">
        <v>45311</v>
      </c>
      <c r="G2805" t="str">
        <f>"700065"</f>
        <v>700065</v>
      </c>
      <c r="H2805" t="str">
        <f>"אלתא מערכות בע""מ"</f>
        <v>אלתא מערכות בע"מ</v>
      </c>
      <c r="I2805" t="str">
        <f>"רחמים זרוק"</f>
        <v>רחמים זרוק</v>
      </c>
      <c r="J2805" t="str">
        <f>"OP-AR02353"</f>
        <v>OP-AR02353</v>
      </c>
      <c r="K2805" s="1" t="str">
        <f>"2203B026-001    FIO CABLE ASSY"</f>
        <v>2203B026-001    FIO CABLE ASSY</v>
      </c>
      <c r="L2805">
        <v>1</v>
      </c>
      <c r="M2805" t="str">
        <f>"PR23000655"</f>
        <v>PR23000655</v>
      </c>
      <c r="N2805" t="str">
        <f>"E000402442"</f>
        <v>E000402442</v>
      </c>
      <c r="O2805">
        <v>603.47</v>
      </c>
      <c r="P2805" t="str">
        <f>"$"</f>
        <v>$</v>
      </c>
      <c r="Q2805" t="str">
        <f>"117"</f>
        <v>117</v>
      </c>
      <c r="R2805" t="str">
        <f>"רתמות"</f>
        <v>רתמות</v>
      </c>
      <c r="S2805" t="str">
        <f>"040"</f>
        <v>040</v>
      </c>
      <c r="T2805" t="str">
        <f>"עמר ליגל"</f>
        <v>עמר ליגל</v>
      </c>
      <c r="U2805">
        <v>0</v>
      </c>
      <c r="V2805">
        <v>0</v>
      </c>
      <c r="W2805">
        <v>603.47</v>
      </c>
      <c r="X2805">
        <v>603.47</v>
      </c>
      <c r="AA2805">
        <v>1</v>
      </c>
      <c r="AC2805">
        <v>0</v>
      </c>
      <c r="AE2805">
        <v>0</v>
      </c>
      <c r="AF2805">
        <v>0</v>
      </c>
      <c r="AG2805" s="2">
        <v>2285.94</v>
      </c>
      <c r="AH2805">
        <v>0</v>
      </c>
      <c r="AI2805" s="2">
        <v>2285.94</v>
      </c>
      <c r="AJ2805">
        <v>603.47</v>
      </c>
      <c r="AK2805">
        <v>603.47</v>
      </c>
      <c r="AL2805" t="str">
        <f>"$"</f>
        <v>$</v>
      </c>
    </row>
    <row r="2806" spans="1:38" x14ac:dyDescent="0.3">
      <c r="A2806" t="str">
        <f>"SO23000413"</f>
        <v>SO23000413</v>
      </c>
      <c r="B2806" t="str">
        <f>"E000402442"</f>
        <v>E000402442</v>
      </c>
      <c r="C2806" t="str">
        <f>"מאושרת לבצוע"</f>
        <v>מאושרת לבצוע</v>
      </c>
      <c r="E2806" s="3">
        <v>45161</v>
      </c>
      <c r="F2806" s="3">
        <v>45311</v>
      </c>
      <c r="G2806" t="str">
        <f>"700065"</f>
        <v>700065</v>
      </c>
      <c r="H2806" t="str">
        <f>"אלתא מערכות בע""מ"</f>
        <v>אלתא מערכות בע"מ</v>
      </c>
      <c r="I2806" t="str">
        <f>"רחמים זרוק"</f>
        <v>רחמים זרוק</v>
      </c>
      <c r="J2806" t="str">
        <f>"OP-AR03817"</f>
        <v>OP-AR03817</v>
      </c>
      <c r="K2806" s="1" t="str">
        <f>"2081B876-001    CABLE ASSY LVW29"</f>
        <v>2081B876-001    CABLE ASSY LVW29</v>
      </c>
      <c r="L2806">
        <v>1</v>
      </c>
      <c r="M2806" t="str">
        <f>"PR23000655"</f>
        <v>PR23000655</v>
      </c>
      <c r="N2806" t="str">
        <f>"E000402442"</f>
        <v>E000402442</v>
      </c>
      <c r="O2806">
        <v>260.2</v>
      </c>
      <c r="P2806" t="str">
        <f>"$"</f>
        <v>$</v>
      </c>
      <c r="Q2806" t="str">
        <f>"117"</f>
        <v>117</v>
      </c>
      <c r="R2806" t="str">
        <f>"רתמות"</f>
        <v>רתמות</v>
      </c>
      <c r="S2806" t="str">
        <f>"040"</f>
        <v>040</v>
      </c>
      <c r="T2806" t="str">
        <f>"עמר ליגל"</f>
        <v>עמר ליגל</v>
      </c>
      <c r="U2806">
        <v>0</v>
      </c>
      <c r="V2806">
        <v>0</v>
      </c>
      <c r="W2806">
        <v>260.2</v>
      </c>
      <c r="X2806">
        <v>260.2</v>
      </c>
      <c r="AA2806">
        <v>1</v>
      </c>
      <c r="AC2806">
        <v>0</v>
      </c>
      <c r="AE2806">
        <v>0</v>
      </c>
      <c r="AF2806">
        <v>0</v>
      </c>
      <c r="AG2806">
        <v>985.64</v>
      </c>
      <c r="AH2806">
        <v>0</v>
      </c>
      <c r="AI2806">
        <v>985.64</v>
      </c>
      <c r="AJ2806">
        <v>260.2</v>
      </c>
      <c r="AK2806">
        <v>260.2</v>
      </c>
      <c r="AL2806" t="str">
        <f>"$"</f>
        <v>$</v>
      </c>
    </row>
    <row r="2807" spans="1:38" x14ac:dyDescent="0.3">
      <c r="A2807" t="str">
        <f>"SO23000413"</f>
        <v>SO23000413</v>
      </c>
      <c r="B2807" t="str">
        <f>"E000402442"</f>
        <v>E000402442</v>
      </c>
      <c r="C2807" t="str">
        <f>"מאושרת לבצוע"</f>
        <v>מאושרת לבצוע</v>
      </c>
      <c r="E2807" s="3">
        <v>45161</v>
      </c>
      <c r="F2807" s="3">
        <v>45311</v>
      </c>
      <c r="G2807" t="str">
        <f>"700065"</f>
        <v>700065</v>
      </c>
      <c r="H2807" t="str">
        <f>"אלתא מערכות בע""מ"</f>
        <v>אלתא מערכות בע"מ</v>
      </c>
      <c r="I2807" t="str">
        <f>"רחמים זרוק"</f>
        <v>רחמים זרוק</v>
      </c>
      <c r="J2807" t="str">
        <f>"OP-AR03818"</f>
        <v>OP-AR03818</v>
      </c>
      <c r="K2807" s="1" t="str">
        <f>"2227B841-001    UUT PS CABLE CMW001"</f>
        <v>2227B841-001    UUT PS CABLE CMW001</v>
      </c>
      <c r="L2807">
        <v>3</v>
      </c>
      <c r="M2807" t="str">
        <f>"PR23000655"</f>
        <v>PR23000655</v>
      </c>
      <c r="N2807" t="str">
        <f>"E000402442"</f>
        <v>E000402442</v>
      </c>
      <c r="O2807">
        <v>338.06</v>
      </c>
      <c r="P2807" t="str">
        <f>"$"</f>
        <v>$</v>
      </c>
      <c r="Q2807" t="str">
        <f>"117"</f>
        <v>117</v>
      </c>
      <c r="R2807" t="str">
        <f>"רתמות"</f>
        <v>רתמות</v>
      </c>
      <c r="S2807" t="str">
        <f>"040"</f>
        <v>040</v>
      </c>
      <c r="T2807" t="str">
        <f>"עמר ליגל"</f>
        <v>עמר ליגל</v>
      </c>
      <c r="U2807">
        <v>0</v>
      </c>
      <c r="V2807">
        <v>0</v>
      </c>
      <c r="W2807">
        <v>338.06</v>
      </c>
      <c r="X2807" s="2">
        <v>1014.18</v>
      </c>
      <c r="AA2807">
        <v>3</v>
      </c>
      <c r="AC2807">
        <v>0</v>
      </c>
      <c r="AE2807">
        <v>0</v>
      </c>
      <c r="AF2807">
        <v>0</v>
      </c>
      <c r="AG2807" s="2">
        <v>1280.57</v>
      </c>
      <c r="AH2807">
        <v>0</v>
      </c>
      <c r="AI2807" s="2">
        <v>3841.71</v>
      </c>
      <c r="AJ2807" s="2">
        <v>1014.18</v>
      </c>
      <c r="AK2807" s="2">
        <v>1014.18</v>
      </c>
      <c r="AL2807" t="str">
        <f>"$"</f>
        <v>$</v>
      </c>
    </row>
    <row r="2808" spans="1:38" x14ac:dyDescent="0.3">
      <c r="A2808" t="str">
        <f>"SO23000413"</f>
        <v>SO23000413</v>
      </c>
      <c r="B2808" t="str">
        <f>"E000402442"</f>
        <v>E000402442</v>
      </c>
      <c r="C2808" t="str">
        <f>"מאושרת לבצוע"</f>
        <v>מאושרת לבצוע</v>
      </c>
      <c r="E2808" s="3">
        <v>45161</v>
      </c>
      <c r="F2808" s="3">
        <v>45311</v>
      </c>
      <c r="G2808" t="str">
        <f>"700065"</f>
        <v>700065</v>
      </c>
      <c r="H2808" t="str">
        <f>"אלתא מערכות בע""מ"</f>
        <v>אלתא מערכות בע"מ</v>
      </c>
      <c r="I2808" t="str">
        <f>"רחמים זרוק"</f>
        <v>רחמים זרוק</v>
      </c>
      <c r="J2808" t="str">
        <f>"OP-AR03819"</f>
        <v>OP-AR03819</v>
      </c>
      <c r="K2808" s="1" t="str">
        <f>"2227B842-001    CMW002 CABLE ASSY"</f>
        <v>2227B842-001    CMW002 CABLE ASSY</v>
      </c>
      <c r="L2808">
        <v>3</v>
      </c>
      <c r="M2808" t="str">
        <f>"PR23000655"</f>
        <v>PR23000655</v>
      </c>
      <c r="N2808" t="str">
        <f>"E000402442"</f>
        <v>E000402442</v>
      </c>
      <c r="O2808" s="2">
        <v>2533.08</v>
      </c>
      <c r="P2808" t="str">
        <f>"$"</f>
        <v>$</v>
      </c>
      <c r="Q2808" t="str">
        <f>"117"</f>
        <v>117</v>
      </c>
      <c r="R2808" t="str">
        <f>"רתמות"</f>
        <v>רתמות</v>
      </c>
      <c r="S2808" t="str">
        <f>"040"</f>
        <v>040</v>
      </c>
      <c r="T2808" t="str">
        <f>"עמר ליגל"</f>
        <v>עמר ליגל</v>
      </c>
      <c r="U2808">
        <v>0</v>
      </c>
      <c r="V2808">
        <v>0</v>
      </c>
      <c r="W2808" s="2">
        <v>2533.08</v>
      </c>
      <c r="X2808" s="2">
        <v>7599.24</v>
      </c>
      <c r="AA2808">
        <v>3</v>
      </c>
      <c r="AC2808">
        <v>0</v>
      </c>
      <c r="AE2808">
        <v>0</v>
      </c>
      <c r="AF2808">
        <v>0</v>
      </c>
      <c r="AG2808" s="2">
        <v>9595.31</v>
      </c>
      <c r="AH2808">
        <v>0</v>
      </c>
      <c r="AI2808" s="2">
        <v>28785.919999999998</v>
      </c>
      <c r="AJ2808" s="2">
        <v>7599.24</v>
      </c>
      <c r="AK2808" s="2">
        <v>7599.24</v>
      </c>
      <c r="AL2808" t="str">
        <f>"$"</f>
        <v>$</v>
      </c>
    </row>
    <row r="2809" spans="1:38" x14ac:dyDescent="0.3">
      <c r="A2809" t="str">
        <f>"SO23000413"</f>
        <v>SO23000413</v>
      </c>
      <c r="B2809" t="str">
        <f>"E000402442"</f>
        <v>E000402442</v>
      </c>
      <c r="C2809" t="str">
        <f>"מאושרת לבצוע"</f>
        <v>מאושרת לבצוע</v>
      </c>
      <c r="E2809" s="3">
        <v>45161</v>
      </c>
      <c r="F2809" s="3">
        <v>45311</v>
      </c>
      <c r="G2809" t="str">
        <f>"700065"</f>
        <v>700065</v>
      </c>
      <c r="H2809" t="str">
        <f>"אלתא מערכות בע""מ"</f>
        <v>אלתא מערכות בע"מ</v>
      </c>
      <c r="I2809" t="str">
        <f>"רחמים זרוק"</f>
        <v>רחמים זרוק</v>
      </c>
      <c r="J2809" t="str">
        <f>"OP-AR03820"</f>
        <v>OP-AR03820</v>
      </c>
      <c r="K2809" s="1" t="str">
        <f>"2227B843-001    MCW002 CABLE ASSY"</f>
        <v>2227B843-001    MCW002 CABLE ASSY</v>
      </c>
      <c r="L2809">
        <v>3</v>
      </c>
      <c r="M2809" t="str">
        <f>"PR23000655"</f>
        <v>PR23000655</v>
      </c>
      <c r="N2809" t="str">
        <f>"E000402442"</f>
        <v>E000402442</v>
      </c>
      <c r="O2809" s="2">
        <v>2556.0700000000002</v>
      </c>
      <c r="P2809" t="str">
        <f>"$"</f>
        <v>$</v>
      </c>
      <c r="Q2809" t="str">
        <f>"117"</f>
        <v>117</v>
      </c>
      <c r="R2809" t="str">
        <f>"רתמות"</f>
        <v>רתמות</v>
      </c>
      <c r="S2809" t="str">
        <f>"040"</f>
        <v>040</v>
      </c>
      <c r="T2809" t="str">
        <f>"עמר ליגל"</f>
        <v>עמר ליגל</v>
      </c>
      <c r="U2809">
        <v>0</v>
      </c>
      <c r="V2809">
        <v>0</v>
      </c>
      <c r="W2809" s="2">
        <v>2556.0700000000002</v>
      </c>
      <c r="X2809" s="2">
        <v>7668.21</v>
      </c>
      <c r="AA2809">
        <v>3</v>
      </c>
      <c r="AC2809">
        <v>0</v>
      </c>
      <c r="AE2809">
        <v>0</v>
      </c>
      <c r="AF2809">
        <v>0</v>
      </c>
      <c r="AG2809" s="2">
        <v>9682.39</v>
      </c>
      <c r="AH2809">
        <v>0</v>
      </c>
      <c r="AI2809" s="2">
        <v>29047.18</v>
      </c>
      <c r="AJ2809" s="2">
        <v>7668.21</v>
      </c>
      <c r="AK2809" s="2">
        <v>7668.21</v>
      </c>
      <c r="AL2809" t="str">
        <f>"$"</f>
        <v>$</v>
      </c>
    </row>
    <row r="2810" spans="1:38" x14ac:dyDescent="0.3">
      <c r="A2810" t="str">
        <f>"SO23000413"</f>
        <v>SO23000413</v>
      </c>
      <c r="B2810" t="str">
        <f>"E000402442"</f>
        <v>E000402442</v>
      </c>
      <c r="C2810" t="str">
        <f>"מאושרת לבצוע"</f>
        <v>מאושרת לבצוע</v>
      </c>
      <c r="E2810" s="3">
        <v>45161</v>
      </c>
      <c r="F2810" s="3">
        <v>45311</v>
      </c>
      <c r="G2810" t="str">
        <f>"700065"</f>
        <v>700065</v>
      </c>
      <c r="H2810" t="str">
        <f>"אלתא מערכות בע""מ"</f>
        <v>אלתא מערכות בע"מ</v>
      </c>
      <c r="I2810" t="str">
        <f>"רחמים זרוק"</f>
        <v>רחמים זרוק</v>
      </c>
      <c r="J2810" t="str">
        <f>"OP-AR03821"</f>
        <v>OP-AR03821</v>
      </c>
      <c r="K2810" s="1" t="str">
        <f>"2227B845-001    COW001 CABLE ASSY"</f>
        <v>2227B845-001    COW001 CABLE ASSY</v>
      </c>
      <c r="L2810">
        <v>3</v>
      </c>
      <c r="M2810" t="str">
        <f>"PR23000655"</f>
        <v>PR23000655</v>
      </c>
      <c r="N2810" t="str">
        <f>"E000402442"</f>
        <v>E000402442</v>
      </c>
      <c r="O2810">
        <v>289.99</v>
      </c>
      <c r="P2810" t="str">
        <f>"$"</f>
        <v>$</v>
      </c>
      <c r="Q2810" t="str">
        <f>"117"</f>
        <v>117</v>
      </c>
      <c r="R2810" t="str">
        <f>"רתמות"</f>
        <v>רתמות</v>
      </c>
      <c r="S2810" t="str">
        <f>"040"</f>
        <v>040</v>
      </c>
      <c r="T2810" t="str">
        <f>"עמר ליגל"</f>
        <v>עמר ליגל</v>
      </c>
      <c r="U2810">
        <v>0</v>
      </c>
      <c r="V2810">
        <v>0</v>
      </c>
      <c r="W2810">
        <v>289.99</v>
      </c>
      <c r="X2810">
        <v>869.97</v>
      </c>
      <c r="AA2810">
        <v>3</v>
      </c>
      <c r="AC2810">
        <v>0</v>
      </c>
      <c r="AE2810">
        <v>0</v>
      </c>
      <c r="AF2810">
        <v>0</v>
      </c>
      <c r="AG2810" s="2">
        <v>1098.48</v>
      </c>
      <c r="AH2810">
        <v>0</v>
      </c>
      <c r="AI2810" s="2">
        <v>3295.45</v>
      </c>
      <c r="AJ2810">
        <v>869.97</v>
      </c>
      <c r="AK2810">
        <v>869.97</v>
      </c>
      <c r="AL2810" t="str">
        <f>"$"</f>
        <v>$</v>
      </c>
    </row>
    <row r="2811" spans="1:38" x14ac:dyDescent="0.3">
      <c r="A2811" t="str">
        <f>"SO23000414"</f>
        <v>SO23000414</v>
      </c>
      <c r="B2811" t="str">
        <f>"E000400911"</f>
        <v>E000400911</v>
      </c>
      <c r="C2811" t="str">
        <f>"לאישור הסוכן"</f>
        <v>לאישור הסוכן</v>
      </c>
      <c r="E2811" s="3">
        <v>45161</v>
      </c>
      <c r="F2811" s="3">
        <v>45275</v>
      </c>
      <c r="G2811" t="str">
        <f>"700065"</f>
        <v>700065</v>
      </c>
      <c r="H2811" t="str">
        <f>"אלתא מערכות בע""מ"</f>
        <v>אלתא מערכות בע"מ</v>
      </c>
      <c r="I2811" t="str">
        <f>"רחמים זרוק"</f>
        <v>רחמים זרוק</v>
      </c>
      <c r="J2811" t="str">
        <f>"OP-AR03804"</f>
        <v>OP-AR03804</v>
      </c>
      <c r="K2811" s="1" t="str">
        <f>"1023B560-001    REAR RIGHT CONT JACK AND EXTENDER"</f>
        <v>1023B560-001    REAR RIGHT CONT JACK AND EXTENDER</v>
      </c>
      <c r="L2811">
        <v>1</v>
      </c>
      <c r="M2811" t="str">
        <f>"PR23000628"</f>
        <v>PR23000628</v>
      </c>
      <c r="N2811" t="str">
        <f>"E000400911"</f>
        <v>E000400911</v>
      </c>
      <c r="O2811" s="2">
        <v>1105.3</v>
      </c>
      <c r="P2811" t="str">
        <f>"$"</f>
        <v>$</v>
      </c>
      <c r="Q2811" t="str">
        <f>"117"</f>
        <v>117</v>
      </c>
      <c r="R2811" t="str">
        <f>"רתמות"</f>
        <v>רתמות</v>
      </c>
      <c r="S2811" t="str">
        <f>"040"</f>
        <v>040</v>
      </c>
      <c r="T2811" t="str">
        <f>"עמר ליגל"</f>
        <v>עמר ליגל</v>
      </c>
      <c r="U2811">
        <v>0</v>
      </c>
      <c r="V2811">
        <v>0</v>
      </c>
      <c r="W2811" s="2">
        <v>1105.3</v>
      </c>
      <c r="X2811" s="2">
        <v>1105.3</v>
      </c>
      <c r="AA2811">
        <v>1</v>
      </c>
      <c r="AC2811">
        <v>0</v>
      </c>
      <c r="AE2811">
        <v>0</v>
      </c>
      <c r="AF2811">
        <v>0</v>
      </c>
      <c r="AG2811" s="2">
        <v>4186.88</v>
      </c>
      <c r="AH2811">
        <v>0</v>
      </c>
      <c r="AI2811" s="2">
        <v>4186.88</v>
      </c>
      <c r="AJ2811" s="2">
        <v>1105.3</v>
      </c>
      <c r="AK2811" s="2">
        <v>1105.3</v>
      </c>
      <c r="AL2811" t="str">
        <f>"$"</f>
        <v>$</v>
      </c>
    </row>
    <row r="2812" spans="1:38" x14ac:dyDescent="0.3">
      <c r="A2812" t="str">
        <f>"SO23000414"</f>
        <v>SO23000414</v>
      </c>
      <c r="B2812" t="str">
        <f>"E000400911"</f>
        <v>E000400911</v>
      </c>
      <c r="C2812" t="str">
        <f>"לאישור הסוכן"</f>
        <v>לאישור הסוכן</v>
      </c>
      <c r="E2812" s="3">
        <v>45161</v>
      </c>
      <c r="F2812" s="3">
        <v>45275</v>
      </c>
      <c r="G2812" t="str">
        <f>"700065"</f>
        <v>700065</v>
      </c>
      <c r="H2812" t="str">
        <f>"אלתא מערכות בע""מ"</f>
        <v>אלתא מערכות בע"מ</v>
      </c>
      <c r="I2812" t="str">
        <f>"רחמים זרוק"</f>
        <v>רחמים זרוק</v>
      </c>
      <c r="J2812" t="str">
        <f>"OP-AR03807"</f>
        <v>OP-AR03807</v>
      </c>
      <c r="K2812" s="1" t="str">
        <f>"1033H496-001    GROUND CABLE WG496 - CU/RCU GROUND"</f>
        <v>1033H496-001    GROUND CABLE WG496 - CU/RCU GROUND</v>
      </c>
      <c r="L2812">
        <v>1</v>
      </c>
      <c r="M2812" t="str">
        <f>"PR23000628"</f>
        <v>PR23000628</v>
      </c>
      <c r="N2812" t="str">
        <f>"E000400911"</f>
        <v>E000400911</v>
      </c>
      <c r="O2812">
        <v>157.30000000000001</v>
      </c>
      <c r="P2812" t="str">
        <f>"$"</f>
        <v>$</v>
      </c>
      <c r="Q2812" t="str">
        <f>"117"</f>
        <v>117</v>
      </c>
      <c r="R2812" t="str">
        <f>"רתמות"</f>
        <v>רתמות</v>
      </c>
      <c r="S2812" t="str">
        <f>"040"</f>
        <v>040</v>
      </c>
      <c r="T2812" t="str">
        <f>"עמר ליגל"</f>
        <v>עמר ליגל</v>
      </c>
      <c r="U2812">
        <v>0</v>
      </c>
      <c r="V2812">
        <v>0</v>
      </c>
      <c r="W2812">
        <v>157.30000000000001</v>
      </c>
      <c r="X2812">
        <v>157.30000000000001</v>
      </c>
      <c r="AA2812">
        <v>1</v>
      </c>
      <c r="AC2812">
        <v>0</v>
      </c>
      <c r="AE2812">
        <v>0</v>
      </c>
      <c r="AF2812">
        <v>0</v>
      </c>
      <c r="AG2812">
        <v>595.85</v>
      </c>
      <c r="AH2812">
        <v>0</v>
      </c>
      <c r="AI2812">
        <v>595.85</v>
      </c>
      <c r="AJ2812">
        <v>157.30000000000001</v>
      </c>
      <c r="AK2812">
        <v>157.30000000000001</v>
      </c>
      <c r="AL2812" t="str">
        <f>"$"</f>
        <v>$</v>
      </c>
    </row>
    <row r="2813" spans="1:38" x14ac:dyDescent="0.3">
      <c r="A2813" t="str">
        <f>"SO23000414"</f>
        <v>SO23000414</v>
      </c>
      <c r="B2813" t="str">
        <f>"E000400911"</f>
        <v>E000400911</v>
      </c>
      <c r="C2813" t="str">
        <f>"לאישור הסוכן"</f>
        <v>לאישור הסוכן</v>
      </c>
      <c r="E2813" s="3">
        <v>45161</v>
      </c>
      <c r="F2813" s="3">
        <v>45275</v>
      </c>
      <c r="G2813" t="str">
        <f>"700065"</f>
        <v>700065</v>
      </c>
      <c r="H2813" t="str">
        <f>"אלתא מערכות בע""מ"</f>
        <v>אלתא מערכות בע"מ</v>
      </c>
      <c r="I2813" t="str">
        <f>"רחמים זרוק"</f>
        <v>רחמים זרוק</v>
      </c>
      <c r="J2813" t="str">
        <f>"OP-AR03816"</f>
        <v>OP-AR03816</v>
      </c>
      <c r="K2813" s="1" t="str">
        <f>"1042A451-001    GROUND CABLE WG451 - RH PANEL ANT TO TT"</f>
        <v>1042A451-001    GROUND CABLE WG451 - RH PANEL ANT TO TT</v>
      </c>
      <c r="L2813">
        <v>3</v>
      </c>
      <c r="M2813" t="str">
        <f>"PR23000628"</f>
        <v>PR23000628</v>
      </c>
      <c r="N2813" t="str">
        <f>"E000400911"</f>
        <v>E000400911</v>
      </c>
      <c r="O2813">
        <v>164.91</v>
      </c>
      <c r="P2813" t="str">
        <f>"$"</f>
        <v>$</v>
      </c>
      <c r="Q2813" t="str">
        <f>"117"</f>
        <v>117</v>
      </c>
      <c r="R2813" t="str">
        <f>"רתמות"</f>
        <v>רתמות</v>
      </c>
      <c r="S2813" t="str">
        <f>"040"</f>
        <v>040</v>
      </c>
      <c r="T2813" t="str">
        <f>"עמר ליגל"</f>
        <v>עמר ליגל</v>
      </c>
      <c r="U2813">
        <v>0</v>
      </c>
      <c r="V2813">
        <v>0</v>
      </c>
      <c r="W2813">
        <v>164.91</v>
      </c>
      <c r="X2813">
        <v>494.73</v>
      </c>
      <c r="AA2813">
        <v>3</v>
      </c>
      <c r="AC2813">
        <v>0</v>
      </c>
      <c r="AE2813">
        <v>0</v>
      </c>
      <c r="AF2813">
        <v>0</v>
      </c>
      <c r="AG2813">
        <v>624.67999999999995</v>
      </c>
      <c r="AH2813">
        <v>0</v>
      </c>
      <c r="AI2813" s="2">
        <v>1874.04</v>
      </c>
      <c r="AJ2813">
        <v>494.73</v>
      </c>
      <c r="AK2813">
        <v>494.73</v>
      </c>
      <c r="AL2813" t="str">
        <f>"$"</f>
        <v>$</v>
      </c>
    </row>
    <row r="2814" spans="1:38" x14ac:dyDescent="0.3">
      <c r="A2814" t="str">
        <f>"SO23000414"</f>
        <v>SO23000414</v>
      </c>
      <c r="B2814" t="str">
        <f>"E000400911"</f>
        <v>E000400911</v>
      </c>
      <c r="C2814" t="str">
        <f>"לאישור הסוכן"</f>
        <v>לאישור הסוכן</v>
      </c>
      <c r="E2814" s="3">
        <v>45161</v>
      </c>
      <c r="F2814" s="3">
        <v>45275</v>
      </c>
      <c r="G2814" t="str">
        <f>"700065"</f>
        <v>700065</v>
      </c>
      <c r="H2814" t="str">
        <f>"אלתא מערכות בע""מ"</f>
        <v>אלתא מערכות בע"מ</v>
      </c>
      <c r="I2814" t="str">
        <f>"רחמים זרוק"</f>
        <v>רחמים זרוק</v>
      </c>
      <c r="J2814" t="str">
        <f>"OP-AR03816"</f>
        <v>OP-AR03816</v>
      </c>
      <c r="K2814" s="1" t="str">
        <f>"1042A451-001    GROUND CABLE WG451 - RH PANEL ANT TO TT"</f>
        <v>1042A451-001    GROUND CABLE WG451 - RH PANEL ANT TO TT</v>
      </c>
      <c r="L2814">
        <v>2</v>
      </c>
      <c r="M2814" t="str">
        <f>"PR23000628"</f>
        <v>PR23000628</v>
      </c>
      <c r="N2814" t="str">
        <f>"E000400911"</f>
        <v>E000400911</v>
      </c>
      <c r="O2814">
        <v>164.91</v>
      </c>
      <c r="P2814" t="str">
        <f>"$"</f>
        <v>$</v>
      </c>
      <c r="Q2814" t="str">
        <f>"117"</f>
        <v>117</v>
      </c>
      <c r="R2814" t="str">
        <f>"רתמות"</f>
        <v>רתמות</v>
      </c>
      <c r="S2814" t="str">
        <f>"040"</f>
        <v>040</v>
      </c>
      <c r="T2814" t="str">
        <f>"עמר ליגל"</f>
        <v>עמר ליגל</v>
      </c>
      <c r="U2814">
        <v>0</v>
      </c>
      <c r="V2814">
        <v>0</v>
      </c>
      <c r="W2814">
        <v>164.91</v>
      </c>
      <c r="X2814">
        <v>329.82</v>
      </c>
      <c r="AA2814">
        <v>2</v>
      </c>
      <c r="AC2814">
        <v>0</v>
      </c>
      <c r="AE2814">
        <v>0</v>
      </c>
      <c r="AF2814">
        <v>0</v>
      </c>
      <c r="AG2814">
        <v>624.67999999999995</v>
      </c>
      <c r="AH2814">
        <v>0</v>
      </c>
      <c r="AI2814" s="2">
        <v>1249.3599999999999</v>
      </c>
      <c r="AJ2814">
        <v>329.82</v>
      </c>
      <c r="AK2814">
        <v>329.82</v>
      </c>
      <c r="AL2814" t="str">
        <f>"$"</f>
        <v>$</v>
      </c>
    </row>
    <row r="2815" spans="1:38" x14ac:dyDescent="0.3">
      <c r="A2815" t="str">
        <f>"SO23000415"</f>
        <v>SO23000415</v>
      </c>
      <c r="B2815" t="str">
        <f>"פנמית"</f>
        <v>פנמית</v>
      </c>
      <c r="C2815" t="str">
        <f>"בוצעה"</f>
        <v>בוצעה</v>
      </c>
      <c r="E2815" s="3">
        <v>45166</v>
      </c>
      <c r="F2815" s="3">
        <v>45166</v>
      </c>
      <c r="G2815" t="str">
        <f>"700065"</f>
        <v>700065</v>
      </c>
      <c r="H2815" t="str">
        <f>"אלתא מערכות בע""מ"</f>
        <v>אלתא מערכות בע"מ</v>
      </c>
      <c r="I2815" t="str">
        <f>"יהושע חדד"</f>
        <v>יהושע חדד</v>
      </c>
      <c r="J2815" t="str">
        <f>"PD0346066"</f>
        <v>PD0346066</v>
      </c>
      <c r="K2815" s="1" t="str">
        <f>"בקר החלפה אמדר AM530DN"</f>
        <v>בקר החלפה אמדר AM530DN</v>
      </c>
      <c r="L2815">
        <v>1</v>
      </c>
      <c r="O2815">
        <v>0</v>
      </c>
      <c r="P2815" t="str">
        <f>"$"</f>
        <v>$</v>
      </c>
      <c r="Q2815" t="str">
        <f>"070"</f>
        <v>070</v>
      </c>
      <c r="R2815" t="str">
        <f>"הזמנה פנימית"</f>
        <v>הזמנה פנימית</v>
      </c>
      <c r="S2815" t="str">
        <f>"001"</f>
        <v>001</v>
      </c>
      <c r="T2815" t="str">
        <f>"גנם הודיה"</f>
        <v>גנם הודיה</v>
      </c>
      <c r="U2815">
        <v>0</v>
      </c>
      <c r="V2815">
        <v>0</v>
      </c>
      <c r="W2815">
        <v>0</v>
      </c>
      <c r="X2815">
        <v>0</v>
      </c>
      <c r="Z2815" t="str">
        <f>"Y"</f>
        <v>Y</v>
      </c>
      <c r="AA2815">
        <v>0</v>
      </c>
      <c r="AC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 t="str">
        <f>"$"</f>
        <v>$</v>
      </c>
    </row>
    <row r="2816" spans="1:38" x14ac:dyDescent="0.3">
      <c r="A2816" t="str">
        <f>"SO23000421"</f>
        <v>SO23000421</v>
      </c>
      <c r="B2816" t="str">
        <f>"E000404031"</f>
        <v>E000404031</v>
      </c>
      <c r="C2816" t="str">
        <f>"בוצעה"</f>
        <v>בוצעה</v>
      </c>
      <c r="E2816" s="3">
        <v>45168</v>
      </c>
      <c r="F2816" s="3">
        <v>45168</v>
      </c>
      <c r="G2816" t="str">
        <f>"700065"</f>
        <v>700065</v>
      </c>
      <c r="H2816" t="str">
        <f>"אלתא מערכות בע""מ"</f>
        <v>אלתא מערכות בע"מ</v>
      </c>
      <c r="J2816" t="str">
        <f>"PD0300044"</f>
        <v>PD0300044</v>
      </c>
      <c r="K2816" s="1" t="str">
        <f>"רב מודד  SATEC PM135E"</f>
        <v>רב מודד  SATEC PM135E</v>
      </c>
      <c r="L2816">
        <v>1</v>
      </c>
      <c r="M2816" t="str">
        <f>"PR23000644"</f>
        <v>PR23000644</v>
      </c>
      <c r="N2816" t="str">
        <f>"אספקת חלפים לספינות"</f>
        <v>אספקת חלפים לספינות</v>
      </c>
      <c r="O2816">
        <v>240</v>
      </c>
      <c r="P2816" t="str">
        <f>"$"</f>
        <v>$</v>
      </c>
      <c r="Q2816" t="str">
        <f>"118"</f>
        <v>118</v>
      </c>
      <c r="R2816" t="str">
        <f>"מערכות"</f>
        <v>מערכות</v>
      </c>
      <c r="T2816" t="str">
        <f>"חן בזק"</f>
        <v>חן בזק</v>
      </c>
      <c r="U2816">
        <v>0</v>
      </c>
      <c r="V2816">
        <v>0</v>
      </c>
      <c r="W2816">
        <v>240</v>
      </c>
      <c r="X2816">
        <v>240</v>
      </c>
      <c r="Z2816" t="str">
        <f>"Y"</f>
        <v>Y</v>
      </c>
      <c r="AA2816">
        <v>0</v>
      </c>
      <c r="AC2816">
        <v>0</v>
      </c>
      <c r="AE2816">
        <v>0</v>
      </c>
      <c r="AF2816">
        <v>0</v>
      </c>
      <c r="AG2816">
        <v>911.52</v>
      </c>
      <c r="AH2816">
        <v>0</v>
      </c>
      <c r="AI2816">
        <v>911.52</v>
      </c>
      <c r="AJ2816">
        <v>240</v>
      </c>
      <c r="AK2816">
        <v>240</v>
      </c>
      <c r="AL2816" t="str">
        <f>"$"</f>
        <v>$</v>
      </c>
    </row>
    <row r="2817" spans="1:38" x14ac:dyDescent="0.3">
      <c r="A2817" t="str">
        <f>"SO23000421"</f>
        <v>SO23000421</v>
      </c>
      <c r="B2817" t="str">
        <f>"E000404031"</f>
        <v>E000404031</v>
      </c>
      <c r="C2817" t="str">
        <f>"בוצעה"</f>
        <v>בוצעה</v>
      </c>
      <c r="E2817" s="3">
        <v>45168</v>
      </c>
      <c r="F2817" s="3">
        <v>45168</v>
      </c>
      <c r="G2817" t="str">
        <f>"700065"</f>
        <v>700065</v>
      </c>
      <c r="H2817" t="str">
        <f>"אלתא מערכות בע""מ"</f>
        <v>אלתא מערכות בע"מ</v>
      </c>
      <c r="J2817" t="str">
        <f>"PA9965825"</f>
        <v>PA9965825</v>
      </c>
      <c r="K2817" s="1" t="str">
        <f>"גלאי עשן TFO480 + בסיס ממסר פקוד TFB180RL צבע לבן W"</f>
        <v>גלאי עשן TFO480 + בסיס ממסר פקוד TFB180RL צבע לבן W</v>
      </c>
      <c r="L2817">
        <v>2</v>
      </c>
      <c r="M2817" t="str">
        <f>"PR23000644"</f>
        <v>PR23000644</v>
      </c>
      <c r="N2817" t="str">
        <f>"אספקת חלפים לספינות"</f>
        <v>אספקת חלפים לספינות</v>
      </c>
      <c r="O2817">
        <v>100</v>
      </c>
      <c r="P2817" t="str">
        <f>"$"</f>
        <v>$</v>
      </c>
      <c r="Q2817" t="str">
        <f>"118"</f>
        <v>118</v>
      </c>
      <c r="R2817" t="str">
        <f>"מערכות"</f>
        <v>מערכות</v>
      </c>
      <c r="T2817" t="str">
        <f>"חן בזק"</f>
        <v>חן בזק</v>
      </c>
      <c r="U2817">
        <v>0</v>
      </c>
      <c r="V2817">
        <v>0</v>
      </c>
      <c r="W2817">
        <v>100</v>
      </c>
      <c r="X2817">
        <v>200</v>
      </c>
      <c r="Z2817" t="str">
        <f>"Y"</f>
        <v>Y</v>
      </c>
      <c r="AA2817">
        <v>0</v>
      </c>
      <c r="AC2817">
        <v>0</v>
      </c>
      <c r="AE2817">
        <v>0</v>
      </c>
      <c r="AF2817">
        <v>0</v>
      </c>
      <c r="AG2817">
        <v>379.8</v>
      </c>
      <c r="AH2817">
        <v>0</v>
      </c>
      <c r="AI2817">
        <v>759.6</v>
      </c>
      <c r="AJ2817">
        <v>200</v>
      </c>
      <c r="AK2817">
        <v>200</v>
      </c>
      <c r="AL2817" t="str">
        <f>"$"</f>
        <v>$</v>
      </c>
    </row>
    <row r="2818" spans="1:38" x14ac:dyDescent="0.3">
      <c r="A2818" t="str">
        <f>"SO23000427"</f>
        <v>SO23000427</v>
      </c>
      <c r="B2818" t="str">
        <f>"E000403110"</f>
        <v>E000403110</v>
      </c>
      <c r="C2818" t="str">
        <f>"לאישור הסוכן"</f>
        <v>לאישור הסוכן</v>
      </c>
      <c r="E2818" s="3">
        <v>45173</v>
      </c>
      <c r="F2818" s="3">
        <v>45291</v>
      </c>
      <c r="G2818" t="str">
        <f>"700065"</f>
        <v>700065</v>
      </c>
      <c r="H2818" t="str">
        <f>"אלתא מערכות בע""מ"</f>
        <v>אלתא מערכות בע"מ</v>
      </c>
      <c r="I2818" t="str">
        <f>"איציק חדד"</f>
        <v>איציק חדד</v>
      </c>
      <c r="J2818" t="str">
        <f>"000"</f>
        <v>000</v>
      </c>
      <c r="K2818" s="1" t="str">
        <f>"תכנון לוח חלוקה לאיטגרציה ובקרת בידוד מסמך - 1042A820-001"</f>
        <v>תכנון לוח חלוקה לאיטגרציה ובקרת בידוד מסמך - 1042A820-001</v>
      </c>
      <c r="L2818">
        <v>1</v>
      </c>
      <c r="M2818" t="str">
        <f>"PR23000658"</f>
        <v>PR23000658</v>
      </c>
      <c r="N2818" t="str">
        <f>"ייצור לוח חלוקה לאיטגרציה ובקרת"</f>
        <v>ייצור לוח חלוקה לאיטגרציה ובקרת</v>
      </c>
      <c r="O2818" s="2">
        <v>1000</v>
      </c>
      <c r="P2818" t="str">
        <f>"$"</f>
        <v>$</v>
      </c>
      <c r="Q2818" t="str">
        <f>"111"</f>
        <v>111</v>
      </c>
      <c r="R2818" t="str">
        <f>"מכירה"</f>
        <v>מכירה</v>
      </c>
      <c r="S2818" t="str">
        <f>"004"</f>
        <v>004</v>
      </c>
      <c r="T2818" t="str">
        <f>"חיימוב אינסה"</f>
        <v>חיימוב אינסה</v>
      </c>
      <c r="U2818">
        <v>0</v>
      </c>
      <c r="V2818">
        <v>0</v>
      </c>
      <c r="W2818" s="2">
        <v>1000</v>
      </c>
      <c r="X2818" s="2">
        <v>1000</v>
      </c>
      <c r="AA2818">
        <v>1</v>
      </c>
      <c r="AC2818">
        <v>0</v>
      </c>
      <c r="AE2818">
        <v>0</v>
      </c>
      <c r="AF2818">
        <v>0</v>
      </c>
      <c r="AG2818" s="2">
        <v>3808</v>
      </c>
      <c r="AH2818">
        <v>0</v>
      </c>
      <c r="AI2818" s="2">
        <v>3808</v>
      </c>
      <c r="AJ2818" s="2">
        <v>1000</v>
      </c>
      <c r="AK2818" s="2">
        <v>1000</v>
      </c>
      <c r="AL2818" t="str">
        <f>"$"</f>
        <v>$</v>
      </c>
    </row>
    <row r="2819" spans="1:38" x14ac:dyDescent="0.3">
      <c r="A2819" t="str">
        <f>"SO23000427"</f>
        <v>SO23000427</v>
      </c>
      <c r="B2819" t="str">
        <f>"E000403110"</f>
        <v>E000403110</v>
      </c>
      <c r="C2819" t="str">
        <f>"לאישור הסוכן"</f>
        <v>לאישור הסוכן</v>
      </c>
      <c r="E2819" s="3">
        <v>45173</v>
      </c>
      <c r="F2819" s="3">
        <v>45260</v>
      </c>
      <c r="G2819" t="str">
        <f>"700065"</f>
        <v>700065</v>
      </c>
      <c r="H2819" t="str">
        <f>"אלתא מערכות בע""מ"</f>
        <v>אלתא מערכות בע"מ</v>
      </c>
      <c r="I2819" t="str">
        <f>"איציק חדד"</f>
        <v>איציק חדד</v>
      </c>
      <c r="J2819" t="str">
        <f>"OP-PD04138"</f>
        <v>OP-PD04138</v>
      </c>
      <c r="K2819" s="1" t="str">
        <f>"לוח חלוקה לאיטגרציה ובקרת בידוד"</f>
        <v>לוח חלוקה לאיטגרציה ובקרת בידוד</v>
      </c>
      <c r="L2819">
        <v>2</v>
      </c>
      <c r="M2819" t="str">
        <f>"PR23000658"</f>
        <v>PR23000658</v>
      </c>
      <c r="N2819" t="str">
        <f>"ייצור לוח חלוקה לאיטגרציה ובקרת"</f>
        <v>ייצור לוח חלוקה לאיטגרציה ובקרת</v>
      </c>
      <c r="O2819" s="2">
        <v>17000</v>
      </c>
      <c r="P2819" t="str">
        <f>"$"</f>
        <v>$</v>
      </c>
      <c r="Q2819" t="str">
        <f>"111"</f>
        <v>111</v>
      </c>
      <c r="R2819" t="str">
        <f>"מכירה"</f>
        <v>מכירה</v>
      </c>
      <c r="S2819" t="str">
        <f>"004"</f>
        <v>004</v>
      </c>
      <c r="T2819" t="str">
        <f>"חיימוב אינסה"</f>
        <v>חיימוב אינסה</v>
      </c>
      <c r="U2819">
        <v>0</v>
      </c>
      <c r="V2819">
        <v>0</v>
      </c>
      <c r="W2819" s="2">
        <v>17000</v>
      </c>
      <c r="X2819" s="2">
        <v>34000</v>
      </c>
      <c r="AA2819">
        <v>2</v>
      </c>
      <c r="AC2819">
        <v>0</v>
      </c>
      <c r="AE2819">
        <v>0</v>
      </c>
      <c r="AF2819">
        <v>0</v>
      </c>
      <c r="AG2819" s="2">
        <v>64736</v>
      </c>
      <c r="AH2819">
        <v>0</v>
      </c>
      <c r="AI2819" s="2">
        <v>129472</v>
      </c>
      <c r="AJ2819" s="2">
        <v>34000</v>
      </c>
      <c r="AK2819" s="2">
        <v>34000</v>
      </c>
      <c r="AL2819" t="str">
        <f>"$"</f>
        <v>$</v>
      </c>
    </row>
    <row r="2820" spans="1:38" x14ac:dyDescent="0.3">
      <c r="A2820" t="str">
        <f>"SO23000427"</f>
        <v>SO23000427</v>
      </c>
      <c r="B2820" t="str">
        <f>"E000403110"</f>
        <v>E000403110</v>
      </c>
      <c r="C2820" t="str">
        <f>"לאישור הסוכן"</f>
        <v>לאישור הסוכן</v>
      </c>
      <c r="E2820" s="3">
        <v>45173</v>
      </c>
      <c r="F2820" s="3">
        <v>45291</v>
      </c>
      <c r="G2820" t="str">
        <f>"700065"</f>
        <v>700065</v>
      </c>
      <c r="H2820" t="str">
        <f>"אלתא מערכות בע""מ"</f>
        <v>אלתא מערכות בע"מ</v>
      </c>
      <c r="I2820" t="str">
        <f>"איציק חדד"</f>
        <v>איציק חדד</v>
      </c>
      <c r="J2820" t="str">
        <f>"OP-PD04138"</f>
        <v>OP-PD04138</v>
      </c>
      <c r="K2820" s="1" t="str">
        <f>"לוח חלוקה לאיטגרציה ובקרת בידוד"</f>
        <v>לוח חלוקה לאיטגרציה ובקרת בידוד</v>
      </c>
      <c r="L2820">
        <v>2</v>
      </c>
      <c r="M2820" t="str">
        <f>"PR23000658"</f>
        <v>PR23000658</v>
      </c>
      <c r="N2820" t="str">
        <f>"ייצור לוח חלוקה לאיטגרציה ובקרת"</f>
        <v>ייצור לוח חלוקה לאיטגרציה ובקרת</v>
      </c>
      <c r="O2820" s="2">
        <v>17000</v>
      </c>
      <c r="P2820" t="str">
        <f>"$"</f>
        <v>$</v>
      </c>
      <c r="Q2820" t="str">
        <f>"111"</f>
        <v>111</v>
      </c>
      <c r="R2820" t="str">
        <f>"מכירה"</f>
        <v>מכירה</v>
      </c>
      <c r="S2820" t="str">
        <f>"004"</f>
        <v>004</v>
      </c>
      <c r="T2820" t="str">
        <f>"חיימוב אינסה"</f>
        <v>חיימוב אינסה</v>
      </c>
      <c r="U2820">
        <v>0</v>
      </c>
      <c r="V2820">
        <v>0</v>
      </c>
      <c r="W2820" s="2">
        <v>17000</v>
      </c>
      <c r="X2820" s="2">
        <v>34000</v>
      </c>
      <c r="AA2820">
        <v>2</v>
      </c>
      <c r="AC2820">
        <v>0</v>
      </c>
      <c r="AE2820">
        <v>0</v>
      </c>
      <c r="AF2820">
        <v>0</v>
      </c>
      <c r="AG2820" s="2">
        <v>64736</v>
      </c>
      <c r="AH2820">
        <v>0</v>
      </c>
      <c r="AI2820" s="2">
        <v>129472</v>
      </c>
      <c r="AJ2820" s="2">
        <v>34000</v>
      </c>
      <c r="AK2820" s="2">
        <v>34000</v>
      </c>
      <c r="AL2820" t="str">
        <f>"$"</f>
        <v>$</v>
      </c>
    </row>
    <row r="2821" spans="1:38" x14ac:dyDescent="0.3">
      <c r="A2821" t="str">
        <f>"SO23000428"</f>
        <v>SO23000428</v>
      </c>
      <c r="B2821" t="str">
        <f>"E000403906"</f>
        <v>E000403906</v>
      </c>
      <c r="C2821" t="str">
        <f>"לאישור הסוכן"</f>
        <v>לאישור הסוכן</v>
      </c>
      <c r="E2821" s="3">
        <v>45174</v>
      </c>
      <c r="F2821" s="3">
        <v>45379</v>
      </c>
      <c r="G2821" t="str">
        <f>"700065"</f>
        <v>700065</v>
      </c>
      <c r="H2821" t="str">
        <f>"אלתא מערכות בע""מ"</f>
        <v>אלתא מערכות בע"מ</v>
      </c>
      <c r="I2821" t="str">
        <f>"רוני דידי"</f>
        <v>רוני דידי</v>
      </c>
      <c r="J2821" t="str">
        <f>"OP-AR01301"</f>
        <v>OP-AR01301</v>
      </c>
      <c r="K2821" s="1" t="str">
        <f>"חטיבת  1038L452-001 CU"</f>
        <v>חטיבת  1038L452-001 CU</v>
      </c>
      <c r="L2821">
        <v>1</v>
      </c>
      <c r="O2821" s="2">
        <v>222300</v>
      </c>
      <c r="P2821" t="str">
        <f>"$"</f>
        <v>$</v>
      </c>
      <c r="Q2821" t="str">
        <f>"118"</f>
        <v>118</v>
      </c>
      <c r="R2821" t="str">
        <f>"מערכות"</f>
        <v>מערכות</v>
      </c>
      <c r="S2821" t="str">
        <f>"007"</f>
        <v>007</v>
      </c>
      <c r="T2821" t="str">
        <f>"עמר ליגל"</f>
        <v>עמר ליגל</v>
      </c>
      <c r="U2821">
        <v>0</v>
      </c>
      <c r="V2821">
        <v>0</v>
      </c>
      <c r="W2821" s="2">
        <v>222300</v>
      </c>
      <c r="X2821" s="2">
        <v>222300</v>
      </c>
      <c r="AA2821">
        <v>1</v>
      </c>
      <c r="AC2821">
        <v>0</v>
      </c>
      <c r="AE2821">
        <v>0</v>
      </c>
      <c r="AF2821">
        <v>0</v>
      </c>
      <c r="AG2821" s="2">
        <v>842961.6</v>
      </c>
      <c r="AH2821">
        <v>0</v>
      </c>
      <c r="AI2821" s="2">
        <v>842961.6</v>
      </c>
      <c r="AJ2821" s="2">
        <v>222300</v>
      </c>
      <c r="AK2821" s="2">
        <v>222300</v>
      </c>
      <c r="AL2821" t="str">
        <f>"$"</f>
        <v>$</v>
      </c>
    </row>
    <row r="2822" spans="1:38" x14ac:dyDescent="0.3">
      <c r="A2822" t="str">
        <f>"SO23000428"</f>
        <v>SO23000428</v>
      </c>
      <c r="B2822" t="str">
        <f>"E000403906"</f>
        <v>E000403906</v>
      </c>
      <c r="C2822" t="str">
        <f>"לאישור הסוכן"</f>
        <v>לאישור הסוכן</v>
      </c>
      <c r="E2822" s="3">
        <v>45174</v>
      </c>
      <c r="F2822" s="3">
        <v>45379</v>
      </c>
      <c r="G2822" t="str">
        <f>"700065"</f>
        <v>700065</v>
      </c>
      <c r="H2822" t="str">
        <f>"אלתא מערכות בע""מ"</f>
        <v>אלתא מערכות בע"מ</v>
      </c>
      <c r="I2822" t="str">
        <f>"רוני דידי"</f>
        <v>רוני דידי</v>
      </c>
      <c r="J2822" t="str">
        <f>"OP-AR01302"</f>
        <v>OP-AR01302</v>
      </c>
      <c r="K2822" s="1" t="str">
        <f>"PDU חטיבת  1038U960-001 CU"</f>
        <v>PDU חטיבת  1038U960-001 CU</v>
      </c>
      <c r="L2822">
        <v>1</v>
      </c>
      <c r="O2822" s="2">
        <v>8000</v>
      </c>
      <c r="P2822" t="str">
        <f>"$"</f>
        <v>$</v>
      </c>
      <c r="Q2822" t="str">
        <f>"118"</f>
        <v>118</v>
      </c>
      <c r="R2822" t="str">
        <f>"מערכות"</f>
        <v>מערכות</v>
      </c>
      <c r="S2822" t="str">
        <f>"007"</f>
        <v>007</v>
      </c>
      <c r="T2822" t="str">
        <f>"עמר ליגל"</f>
        <v>עמר ליגל</v>
      </c>
      <c r="U2822">
        <v>0</v>
      </c>
      <c r="V2822">
        <v>0</v>
      </c>
      <c r="W2822" s="2">
        <v>8000</v>
      </c>
      <c r="X2822" s="2">
        <v>8000</v>
      </c>
      <c r="AA2822">
        <v>1</v>
      </c>
      <c r="AC2822">
        <v>0</v>
      </c>
      <c r="AE2822">
        <v>0</v>
      </c>
      <c r="AF2822">
        <v>0</v>
      </c>
      <c r="AG2822" s="2">
        <v>30336</v>
      </c>
      <c r="AH2822">
        <v>0</v>
      </c>
      <c r="AI2822" s="2">
        <v>30336</v>
      </c>
      <c r="AJ2822" s="2">
        <v>8000</v>
      </c>
      <c r="AK2822" s="2">
        <v>8000</v>
      </c>
      <c r="AL2822" t="str">
        <f>"$"</f>
        <v>$</v>
      </c>
    </row>
    <row r="2823" spans="1:38" x14ac:dyDescent="0.3">
      <c r="A2823" t="str">
        <f>"SO23000431"</f>
        <v>SO23000431</v>
      </c>
      <c r="B2823" t="str">
        <f>"E000404789"</f>
        <v>E000404789</v>
      </c>
      <c r="C2823" t="str">
        <f>"בוצעה"</f>
        <v>בוצעה</v>
      </c>
      <c r="E2823" s="3">
        <v>45176</v>
      </c>
      <c r="F2823" s="3">
        <v>45260</v>
      </c>
      <c r="G2823" t="str">
        <f>"700065"</f>
        <v>700065</v>
      </c>
      <c r="H2823" t="str">
        <f>"אלתא מערכות בע""מ"</f>
        <v>אלתא מערכות בע"מ</v>
      </c>
      <c r="I2823" t="str">
        <f>"רוני דידי"</f>
        <v>רוני דידי</v>
      </c>
      <c r="J2823" t="str">
        <f>"000"</f>
        <v>000</v>
      </c>
      <c r="K2823" s="1" t="str">
        <f>"טכנאי לעבודה בצ'כיה"</f>
        <v>טכנאי לעבודה בצ'כיה</v>
      </c>
      <c r="L2823">
        <v>1</v>
      </c>
      <c r="O2823" s="2">
        <v>4800</v>
      </c>
      <c r="P2823" t="str">
        <f>"$"</f>
        <v>$</v>
      </c>
      <c r="Q2823" t="str">
        <f>"112"</f>
        <v>112</v>
      </c>
      <c r="R2823" t="str">
        <f>"תיקון תקלות"</f>
        <v>תיקון תקלות</v>
      </c>
      <c r="S2823" t="str">
        <f>"007"</f>
        <v>007</v>
      </c>
      <c r="T2823" t="str">
        <f>"עמר ליגל"</f>
        <v>עמר ליגל</v>
      </c>
      <c r="U2823">
        <v>0</v>
      </c>
      <c r="V2823">
        <v>0</v>
      </c>
      <c r="W2823" s="2">
        <v>4800</v>
      </c>
      <c r="X2823" s="2">
        <v>4800</v>
      </c>
      <c r="Z2823" t="str">
        <f>"Y"</f>
        <v>Y</v>
      </c>
      <c r="AA2823">
        <v>1</v>
      </c>
      <c r="AC2823">
        <v>0</v>
      </c>
      <c r="AE2823">
        <v>0</v>
      </c>
      <c r="AF2823">
        <v>0</v>
      </c>
      <c r="AG2823" s="2">
        <v>18470.400000000001</v>
      </c>
      <c r="AH2823">
        <v>0</v>
      </c>
      <c r="AI2823" s="2">
        <v>18470.400000000001</v>
      </c>
      <c r="AJ2823" s="2">
        <v>4800</v>
      </c>
      <c r="AK2823" s="2">
        <v>4800</v>
      </c>
      <c r="AL2823" t="str">
        <f>"$"</f>
        <v>$</v>
      </c>
    </row>
    <row r="2824" spans="1:38" x14ac:dyDescent="0.3">
      <c r="A2824" t="str">
        <f>"SO23000432"</f>
        <v>SO23000432</v>
      </c>
      <c r="B2824" t="str">
        <f>"E000404346"</f>
        <v>E000404346</v>
      </c>
      <c r="C2824" t="str">
        <f>"בוצעה"</f>
        <v>בוצעה</v>
      </c>
      <c r="E2824" s="3">
        <v>45176</v>
      </c>
      <c r="F2824" s="3">
        <v>45238</v>
      </c>
      <c r="G2824" t="str">
        <f>"700065"</f>
        <v>700065</v>
      </c>
      <c r="H2824" t="str">
        <f>"אלתא מערכות בע""מ"</f>
        <v>אלתא מערכות בע"מ</v>
      </c>
      <c r="I2824" t="str">
        <f>"רוני דידי"</f>
        <v>רוני דידי</v>
      </c>
      <c r="J2824" t="str">
        <f>"cust00891"</f>
        <v>cust00891</v>
      </c>
      <c r="K2824" s="1" t="str">
        <f>"1038H185-001 אלתא"</f>
        <v>1038H185-001 אלתא</v>
      </c>
      <c r="L2824">
        <v>1</v>
      </c>
      <c r="M2824" t="str">
        <f>"PR23000660"</f>
        <v>PR23000660</v>
      </c>
      <c r="N2824" t="str">
        <f>"SN103  1038H185-001"</f>
        <v>SN103  1038H185-001</v>
      </c>
      <c r="O2824">
        <v>0</v>
      </c>
      <c r="P2824" t="str">
        <f>"$"</f>
        <v>$</v>
      </c>
      <c r="Q2824" t="str">
        <f>"112"</f>
        <v>112</v>
      </c>
      <c r="R2824" t="str">
        <f>"תיקון תקלות"</f>
        <v>תיקון תקלות</v>
      </c>
      <c r="S2824" t="str">
        <f>"007"</f>
        <v>007</v>
      </c>
      <c r="T2824" t="str">
        <f>"עמר ליגל"</f>
        <v>עמר ליגל</v>
      </c>
      <c r="U2824">
        <v>0</v>
      </c>
      <c r="V2824">
        <v>0</v>
      </c>
      <c r="W2824">
        <v>0</v>
      </c>
      <c r="X2824">
        <v>0</v>
      </c>
      <c r="Z2824" t="str">
        <f>"Y"</f>
        <v>Y</v>
      </c>
      <c r="AA2824">
        <v>0</v>
      </c>
      <c r="AC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 t="str">
        <f>"$"</f>
        <v>$</v>
      </c>
    </row>
    <row r="2825" spans="1:38" x14ac:dyDescent="0.3">
      <c r="A2825" t="str">
        <f>"SO23000433"</f>
        <v>SO23000433</v>
      </c>
      <c r="B2825" t="str">
        <f>"E000403829"</f>
        <v>E000403829</v>
      </c>
      <c r="C2825" t="str">
        <f>"מאושרת לבצוע"</f>
        <v>מאושרת לבצוע</v>
      </c>
      <c r="E2825" s="3">
        <v>45176</v>
      </c>
      <c r="F2825" s="3">
        <v>45291</v>
      </c>
      <c r="G2825" t="str">
        <f>"700065"</f>
        <v>700065</v>
      </c>
      <c r="H2825" t="str">
        <f>"אלתא מערכות בע""מ"</f>
        <v>אלתא מערכות בע"מ</v>
      </c>
      <c r="I2825" t="str">
        <f>"רוני דידי"</f>
        <v>רוני דידי</v>
      </c>
      <c r="J2825" t="str">
        <f>"PD0346066"</f>
        <v>PD0346066</v>
      </c>
      <c r="K2825" s="1" t="str">
        <f>"בקר החלפה אמדר AM530DN"</f>
        <v>בקר החלפה אמדר AM530DN</v>
      </c>
      <c r="L2825">
        <v>1</v>
      </c>
      <c r="O2825" s="2">
        <v>4350</v>
      </c>
      <c r="P2825" t="str">
        <f>"$"</f>
        <v>$</v>
      </c>
      <c r="Q2825" t="str">
        <f>"112"</f>
        <v>112</v>
      </c>
      <c r="R2825" t="str">
        <f>"תיקון תקלות"</f>
        <v>תיקון תקלות</v>
      </c>
      <c r="S2825" t="str">
        <f>"007"</f>
        <v>007</v>
      </c>
      <c r="T2825" t="str">
        <f>"עמר ליגל"</f>
        <v>עמר ליגל</v>
      </c>
      <c r="U2825">
        <v>0</v>
      </c>
      <c r="V2825">
        <v>0</v>
      </c>
      <c r="W2825" s="2">
        <v>4350</v>
      </c>
      <c r="X2825" s="2">
        <v>4350</v>
      </c>
      <c r="AA2825">
        <v>1</v>
      </c>
      <c r="AC2825">
        <v>0</v>
      </c>
      <c r="AE2825">
        <v>0</v>
      </c>
      <c r="AF2825">
        <v>0</v>
      </c>
      <c r="AG2825" s="2">
        <v>16738.8</v>
      </c>
      <c r="AH2825">
        <v>0</v>
      </c>
      <c r="AI2825" s="2">
        <v>16738.8</v>
      </c>
      <c r="AJ2825" s="2">
        <v>4350</v>
      </c>
      <c r="AK2825" s="2">
        <v>4350</v>
      </c>
      <c r="AL2825" t="str">
        <f>"$"</f>
        <v>$</v>
      </c>
    </row>
    <row r="2826" spans="1:38" x14ac:dyDescent="0.3">
      <c r="A2826" t="str">
        <f>"SO23000434"</f>
        <v>SO23000434</v>
      </c>
      <c r="B2826" t="str">
        <f>"E000403481"</f>
        <v>E000403481</v>
      </c>
      <c r="C2826" t="str">
        <f>"לאישור הסוכן"</f>
        <v>לאישור הסוכן</v>
      </c>
      <c r="E2826" s="3">
        <v>45176</v>
      </c>
      <c r="F2826" s="3">
        <v>45278</v>
      </c>
      <c r="G2826" t="str">
        <f>"700065"</f>
        <v>700065</v>
      </c>
      <c r="H2826" t="str">
        <f>"אלתא מערכות בע""מ"</f>
        <v>אלתא מערכות בע"מ</v>
      </c>
      <c r="I2826" t="str">
        <f>"רחמים זרוק"</f>
        <v>רחמים זרוק</v>
      </c>
      <c r="J2826" t="str">
        <f>"OP-AR03833"</f>
        <v>OP-AR03833</v>
      </c>
      <c r="K2826" s="1" t="str">
        <f>"2228B390-001    SDU ATE DIGITAL CABLE"</f>
        <v>2228B390-001    SDU ATE DIGITAL CABLE</v>
      </c>
      <c r="L2826">
        <v>1</v>
      </c>
      <c r="M2826" t="str">
        <f>"PR23000638"</f>
        <v>PR23000638</v>
      </c>
      <c r="N2826" t="str">
        <f>"E000403481"</f>
        <v>E000403481</v>
      </c>
      <c r="O2826" s="2">
        <v>3152.36</v>
      </c>
      <c r="P2826" t="str">
        <f>"$"</f>
        <v>$</v>
      </c>
      <c r="Q2826" t="str">
        <f>"117"</f>
        <v>117</v>
      </c>
      <c r="R2826" t="str">
        <f>"רתמות"</f>
        <v>רתמות</v>
      </c>
      <c r="S2826" t="str">
        <f>"040"</f>
        <v>040</v>
      </c>
      <c r="T2826" t="str">
        <f>"עמר ליגל"</f>
        <v>עמר ליגל</v>
      </c>
      <c r="U2826">
        <v>0</v>
      </c>
      <c r="V2826">
        <v>0</v>
      </c>
      <c r="W2826" s="2">
        <v>3152.36</v>
      </c>
      <c r="X2826" s="2">
        <v>3152.36</v>
      </c>
      <c r="AA2826">
        <v>1</v>
      </c>
      <c r="AC2826">
        <v>0</v>
      </c>
      <c r="AE2826">
        <v>0</v>
      </c>
      <c r="AF2826">
        <v>0</v>
      </c>
      <c r="AG2826" s="2">
        <v>12130.28</v>
      </c>
      <c r="AH2826">
        <v>0</v>
      </c>
      <c r="AI2826" s="2">
        <v>12130.28</v>
      </c>
      <c r="AJ2826" s="2">
        <v>3152.36</v>
      </c>
      <c r="AK2826" s="2">
        <v>3152.36</v>
      </c>
      <c r="AL2826" t="str">
        <f>"$"</f>
        <v>$</v>
      </c>
    </row>
    <row r="2827" spans="1:38" x14ac:dyDescent="0.3">
      <c r="A2827" t="str">
        <f>"SO23000435"</f>
        <v>SO23000435</v>
      </c>
      <c r="B2827" t="str">
        <f>"E000403041"</f>
        <v>E000403041</v>
      </c>
      <c r="C2827" t="str">
        <f>"לאישור הסוכן"</f>
        <v>לאישור הסוכן</v>
      </c>
      <c r="E2827" s="3">
        <v>45176</v>
      </c>
      <c r="F2827" s="3">
        <v>45270</v>
      </c>
      <c r="G2827" t="str">
        <f>"700065"</f>
        <v>700065</v>
      </c>
      <c r="H2827" t="str">
        <f>"אלתא מערכות בע""מ"</f>
        <v>אלתא מערכות בע"מ</v>
      </c>
      <c r="I2827" t="str">
        <f>"רחמים זרוק"</f>
        <v>רחמים זרוק</v>
      </c>
      <c r="J2827" t="str">
        <f>"OP-AR03835"</f>
        <v>OP-AR03835</v>
      </c>
      <c r="K2827" s="1" t="str">
        <f>"4080H441-001    HARNESS WS441 - ATRU J2-J3 JUMPER"</f>
        <v>4080H441-001    HARNESS WS441 - ATRU J2-J3 JUMPER</v>
      </c>
      <c r="L2827">
        <v>1</v>
      </c>
      <c r="O2827">
        <v>265.44</v>
      </c>
      <c r="P2827" t="str">
        <f>"$"</f>
        <v>$</v>
      </c>
      <c r="Q2827" t="str">
        <f>"117"</f>
        <v>117</v>
      </c>
      <c r="R2827" t="str">
        <f>"רתמות"</f>
        <v>רתמות</v>
      </c>
      <c r="S2827" t="str">
        <f>"040"</f>
        <v>040</v>
      </c>
      <c r="T2827" t="str">
        <f>"עמר ליגל"</f>
        <v>עמר ליגל</v>
      </c>
      <c r="U2827">
        <v>0</v>
      </c>
      <c r="V2827">
        <v>0</v>
      </c>
      <c r="W2827">
        <v>265.44</v>
      </c>
      <c r="X2827">
        <v>265.44</v>
      </c>
      <c r="AA2827">
        <v>1</v>
      </c>
      <c r="AC2827">
        <v>0</v>
      </c>
      <c r="AE2827">
        <v>0</v>
      </c>
      <c r="AF2827">
        <v>0</v>
      </c>
      <c r="AG2827" s="2">
        <v>1021.41</v>
      </c>
      <c r="AH2827">
        <v>0</v>
      </c>
      <c r="AI2827" s="2">
        <v>1021.41</v>
      </c>
      <c r="AJ2827">
        <v>265.44</v>
      </c>
      <c r="AK2827">
        <v>265.44</v>
      </c>
      <c r="AL2827" t="str">
        <f>"$"</f>
        <v>$</v>
      </c>
    </row>
    <row r="2828" spans="1:38" x14ac:dyDescent="0.3">
      <c r="A2828" t="str">
        <f>"SO23000435"</f>
        <v>SO23000435</v>
      </c>
      <c r="B2828" t="str">
        <f>"E000403041"</f>
        <v>E000403041</v>
      </c>
      <c r="C2828" t="str">
        <f>"לאישור הסוכן"</f>
        <v>לאישור הסוכן</v>
      </c>
      <c r="E2828" s="3">
        <v>45176</v>
      </c>
      <c r="F2828" s="3">
        <v>45270</v>
      </c>
      <c r="G2828" t="str">
        <f>"700065"</f>
        <v>700065</v>
      </c>
      <c r="H2828" t="str">
        <f>"אלתא מערכות בע""מ"</f>
        <v>אלתא מערכות בע"מ</v>
      </c>
      <c r="I2828" t="str">
        <f>"רחמים זרוק"</f>
        <v>רחמים זרוק</v>
      </c>
      <c r="J2828" t="str">
        <f>"OP-AR03835"</f>
        <v>OP-AR03835</v>
      </c>
      <c r="K2828" s="1" t="str">
        <f>"4080H441-001    HARNESS WS441 - ATRU J2-J3 JUMPER"</f>
        <v>4080H441-001    HARNESS WS441 - ATRU J2-J3 JUMPER</v>
      </c>
      <c r="L2828">
        <v>1</v>
      </c>
      <c r="O2828">
        <v>265.44</v>
      </c>
      <c r="P2828" t="str">
        <f>"$"</f>
        <v>$</v>
      </c>
      <c r="Q2828" t="str">
        <f>"117"</f>
        <v>117</v>
      </c>
      <c r="R2828" t="str">
        <f>"רתמות"</f>
        <v>רתמות</v>
      </c>
      <c r="S2828" t="str">
        <f>"040"</f>
        <v>040</v>
      </c>
      <c r="T2828" t="str">
        <f>"עמר ליגל"</f>
        <v>עמר ליגל</v>
      </c>
      <c r="U2828">
        <v>0</v>
      </c>
      <c r="V2828">
        <v>0</v>
      </c>
      <c r="W2828">
        <v>265.44</v>
      </c>
      <c r="X2828">
        <v>265.44</v>
      </c>
      <c r="AA2828">
        <v>1</v>
      </c>
      <c r="AC2828">
        <v>0</v>
      </c>
      <c r="AE2828">
        <v>0</v>
      </c>
      <c r="AF2828">
        <v>0</v>
      </c>
      <c r="AG2828" s="2">
        <v>1021.41</v>
      </c>
      <c r="AH2828">
        <v>0</v>
      </c>
      <c r="AI2828" s="2">
        <v>1021.41</v>
      </c>
      <c r="AJ2828">
        <v>265.44</v>
      </c>
      <c r="AK2828">
        <v>265.44</v>
      </c>
      <c r="AL2828" t="str">
        <f>"$"</f>
        <v>$</v>
      </c>
    </row>
    <row r="2829" spans="1:38" x14ac:dyDescent="0.3">
      <c r="A2829" t="str">
        <f>"SO23000435"</f>
        <v>SO23000435</v>
      </c>
      <c r="B2829" t="str">
        <f>"E000403041"</f>
        <v>E000403041</v>
      </c>
      <c r="C2829" t="str">
        <f>"לאישור הסוכן"</f>
        <v>לאישור הסוכן</v>
      </c>
      <c r="E2829" s="3">
        <v>45176</v>
      </c>
      <c r="F2829" s="3">
        <v>45270</v>
      </c>
      <c r="G2829" t="str">
        <f>"700065"</f>
        <v>700065</v>
      </c>
      <c r="H2829" t="str">
        <f>"אלתא מערכות בע""מ"</f>
        <v>אלתא מערכות בע"מ</v>
      </c>
      <c r="I2829" t="str">
        <f>"רחמים זרוק"</f>
        <v>רחמים זרוק</v>
      </c>
      <c r="J2829" t="str">
        <f>"OP-AR03835"</f>
        <v>OP-AR03835</v>
      </c>
      <c r="K2829" s="1" t="str">
        <f>"4080H441-001    HARNESS WS441 - ATRU J2-J3 JUMPER"</f>
        <v>4080H441-001    HARNESS WS441 - ATRU J2-J3 JUMPER</v>
      </c>
      <c r="L2829">
        <v>1</v>
      </c>
      <c r="O2829">
        <v>265.44</v>
      </c>
      <c r="P2829" t="str">
        <f>"$"</f>
        <v>$</v>
      </c>
      <c r="Q2829" t="str">
        <f>"117"</f>
        <v>117</v>
      </c>
      <c r="R2829" t="str">
        <f>"רתמות"</f>
        <v>רתמות</v>
      </c>
      <c r="S2829" t="str">
        <f>"040"</f>
        <v>040</v>
      </c>
      <c r="T2829" t="str">
        <f>"עמר ליגל"</f>
        <v>עמר ליגל</v>
      </c>
      <c r="U2829">
        <v>0</v>
      </c>
      <c r="V2829">
        <v>0</v>
      </c>
      <c r="W2829">
        <v>265.44</v>
      </c>
      <c r="X2829">
        <v>265.44</v>
      </c>
      <c r="AA2829">
        <v>1</v>
      </c>
      <c r="AC2829">
        <v>0</v>
      </c>
      <c r="AE2829">
        <v>0</v>
      </c>
      <c r="AF2829">
        <v>0</v>
      </c>
      <c r="AG2829" s="2">
        <v>1021.41</v>
      </c>
      <c r="AH2829">
        <v>0</v>
      </c>
      <c r="AI2829" s="2">
        <v>1021.41</v>
      </c>
      <c r="AJ2829">
        <v>265.44</v>
      </c>
      <c r="AK2829">
        <v>265.44</v>
      </c>
      <c r="AL2829" t="str">
        <f>"$"</f>
        <v>$</v>
      </c>
    </row>
    <row r="2830" spans="1:38" x14ac:dyDescent="0.3">
      <c r="A2830" t="str">
        <f>"SO23000435"</f>
        <v>SO23000435</v>
      </c>
      <c r="B2830" t="str">
        <f>"E000403041"</f>
        <v>E000403041</v>
      </c>
      <c r="C2830" t="str">
        <f>"לאישור הסוכן"</f>
        <v>לאישור הסוכן</v>
      </c>
      <c r="E2830" s="3">
        <v>45176</v>
      </c>
      <c r="F2830" s="3">
        <v>45270</v>
      </c>
      <c r="G2830" t="str">
        <f>"700065"</f>
        <v>700065</v>
      </c>
      <c r="H2830" t="str">
        <f>"אלתא מערכות בע""מ"</f>
        <v>אלתא מערכות בע"מ</v>
      </c>
      <c r="I2830" t="str">
        <f>"רחמים זרוק"</f>
        <v>רחמים זרוק</v>
      </c>
      <c r="J2830" t="str">
        <f>"OP-AR03836"</f>
        <v>OP-AR03836</v>
      </c>
      <c r="K2830" s="1" t="str">
        <f>"4080H447-001    GROUND CABLE WS447 - LSW TO GROUND"</f>
        <v>4080H447-001    GROUND CABLE WS447 - LSW TO GROUND</v>
      </c>
      <c r="L2830">
        <v>2</v>
      </c>
      <c r="O2830">
        <v>82.45</v>
      </c>
      <c r="P2830" t="str">
        <f>"$"</f>
        <v>$</v>
      </c>
      <c r="Q2830" t="str">
        <f>"117"</f>
        <v>117</v>
      </c>
      <c r="R2830" t="str">
        <f>"רתמות"</f>
        <v>רתמות</v>
      </c>
      <c r="S2830" t="str">
        <f>"040"</f>
        <v>040</v>
      </c>
      <c r="T2830" t="str">
        <f>"עמר ליגל"</f>
        <v>עמר ליגל</v>
      </c>
      <c r="U2830">
        <v>0</v>
      </c>
      <c r="V2830">
        <v>0</v>
      </c>
      <c r="W2830">
        <v>82.45</v>
      </c>
      <c r="X2830">
        <v>164.9</v>
      </c>
      <c r="AA2830">
        <v>2</v>
      </c>
      <c r="AC2830">
        <v>0</v>
      </c>
      <c r="AE2830">
        <v>0</v>
      </c>
      <c r="AF2830">
        <v>0</v>
      </c>
      <c r="AG2830">
        <v>317.27</v>
      </c>
      <c r="AH2830">
        <v>0</v>
      </c>
      <c r="AI2830">
        <v>634.54</v>
      </c>
      <c r="AJ2830">
        <v>164.9</v>
      </c>
      <c r="AK2830">
        <v>164.9</v>
      </c>
      <c r="AL2830" t="str">
        <f>"$"</f>
        <v>$</v>
      </c>
    </row>
    <row r="2831" spans="1:38" x14ac:dyDescent="0.3">
      <c r="A2831" t="str">
        <f>"SO23000435"</f>
        <v>SO23000435</v>
      </c>
      <c r="B2831" t="str">
        <f>"E000403041"</f>
        <v>E000403041</v>
      </c>
      <c r="C2831" t="str">
        <f>"לאישור הסוכן"</f>
        <v>לאישור הסוכן</v>
      </c>
      <c r="E2831" s="3">
        <v>45176</v>
      </c>
      <c r="F2831" s="3">
        <v>45270</v>
      </c>
      <c r="G2831" t="str">
        <f>"700065"</f>
        <v>700065</v>
      </c>
      <c r="H2831" t="str">
        <f>"אלתא מערכות בע""מ"</f>
        <v>אלתא מערכות בע"מ</v>
      </c>
      <c r="I2831" t="str">
        <f>"רחמים זרוק"</f>
        <v>רחמים זרוק</v>
      </c>
      <c r="J2831" t="str">
        <f>"OP-AR03836"</f>
        <v>OP-AR03836</v>
      </c>
      <c r="K2831" s="1" t="str">
        <f>"4080H447-001    GROUND CABLE WS447 - LSW TO GROUND"</f>
        <v>4080H447-001    GROUND CABLE WS447 - LSW TO GROUND</v>
      </c>
      <c r="L2831">
        <v>2</v>
      </c>
      <c r="O2831">
        <v>82.45</v>
      </c>
      <c r="P2831" t="str">
        <f>"$"</f>
        <v>$</v>
      </c>
      <c r="Q2831" t="str">
        <f>"117"</f>
        <v>117</v>
      </c>
      <c r="R2831" t="str">
        <f>"רתמות"</f>
        <v>רתמות</v>
      </c>
      <c r="S2831" t="str">
        <f>"040"</f>
        <v>040</v>
      </c>
      <c r="T2831" t="str">
        <f>"עמר ליגל"</f>
        <v>עמר ליגל</v>
      </c>
      <c r="U2831">
        <v>0</v>
      </c>
      <c r="V2831">
        <v>0</v>
      </c>
      <c r="W2831">
        <v>82.45</v>
      </c>
      <c r="X2831">
        <v>164.9</v>
      </c>
      <c r="AA2831">
        <v>2</v>
      </c>
      <c r="AC2831">
        <v>0</v>
      </c>
      <c r="AE2831">
        <v>0</v>
      </c>
      <c r="AF2831">
        <v>0</v>
      </c>
      <c r="AG2831">
        <v>317.27</v>
      </c>
      <c r="AH2831">
        <v>0</v>
      </c>
      <c r="AI2831">
        <v>634.54</v>
      </c>
      <c r="AJ2831">
        <v>164.9</v>
      </c>
      <c r="AK2831">
        <v>164.9</v>
      </c>
      <c r="AL2831" t="str">
        <f>"$"</f>
        <v>$</v>
      </c>
    </row>
    <row r="2832" spans="1:38" x14ac:dyDescent="0.3">
      <c r="A2832" t="str">
        <f>"SO23000435"</f>
        <v>SO23000435</v>
      </c>
      <c r="B2832" t="str">
        <f>"E000403041"</f>
        <v>E000403041</v>
      </c>
      <c r="C2832" t="str">
        <f>"לאישור הסוכן"</f>
        <v>לאישור הסוכן</v>
      </c>
      <c r="E2832" s="3">
        <v>45176</v>
      </c>
      <c r="F2832" s="3">
        <v>45270</v>
      </c>
      <c r="G2832" t="str">
        <f>"700065"</f>
        <v>700065</v>
      </c>
      <c r="H2832" t="str">
        <f>"אלתא מערכות בע""מ"</f>
        <v>אלתא מערכות בע"מ</v>
      </c>
      <c r="I2832" t="str">
        <f>"רחמים זרוק"</f>
        <v>רחמים זרוק</v>
      </c>
      <c r="J2832" t="str">
        <f>"OP-AR03836"</f>
        <v>OP-AR03836</v>
      </c>
      <c r="K2832" s="1" t="str">
        <f>"4080H447-001    GROUND CABLE WS447 - LSW TO GROUND"</f>
        <v>4080H447-001    GROUND CABLE WS447 - LSW TO GROUND</v>
      </c>
      <c r="L2832">
        <v>6</v>
      </c>
      <c r="O2832">
        <v>82.45</v>
      </c>
      <c r="P2832" t="str">
        <f>"$"</f>
        <v>$</v>
      </c>
      <c r="Q2832" t="str">
        <f>"117"</f>
        <v>117</v>
      </c>
      <c r="R2832" t="str">
        <f>"רתמות"</f>
        <v>רתמות</v>
      </c>
      <c r="S2832" t="str">
        <f>"040"</f>
        <v>040</v>
      </c>
      <c r="T2832" t="str">
        <f>"עמר ליגל"</f>
        <v>עמר ליגל</v>
      </c>
      <c r="U2832">
        <v>0</v>
      </c>
      <c r="V2832">
        <v>0</v>
      </c>
      <c r="W2832">
        <v>82.45</v>
      </c>
      <c r="X2832">
        <v>494.7</v>
      </c>
      <c r="AA2832">
        <v>6</v>
      </c>
      <c r="AC2832">
        <v>0</v>
      </c>
      <c r="AE2832">
        <v>0</v>
      </c>
      <c r="AF2832">
        <v>0</v>
      </c>
      <c r="AG2832">
        <v>317.27</v>
      </c>
      <c r="AH2832">
        <v>0</v>
      </c>
      <c r="AI2832" s="2">
        <v>1903.61</v>
      </c>
      <c r="AJ2832">
        <v>494.7</v>
      </c>
      <c r="AK2832">
        <v>494.7</v>
      </c>
      <c r="AL2832" t="str">
        <f>"$"</f>
        <v>$</v>
      </c>
    </row>
    <row r="2833" spans="1:38" x14ac:dyDescent="0.3">
      <c r="A2833" t="str">
        <f>"SO23000435"</f>
        <v>SO23000435</v>
      </c>
      <c r="B2833" t="str">
        <f>"E000403041"</f>
        <v>E000403041</v>
      </c>
      <c r="C2833" t="str">
        <f>"לאישור הסוכן"</f>
        <v>לאישור הסוכן</v>
      </c>
      <c r="E2833" s="3">
        <v>45176</v>
      </c>
      <c r="F2833" s="3">
        <v>45270</v>
      </c>
      <c r="G2833" t="str">
        <f>"700065"</f>
        <v>700065</v>
      </c>
      <c r="H2833" t="str">
        <f>"אלתא מערכות בע""מ"</f>
        <v>אלתא מערכות בע"מ</v>
      </c>
      <c r="I2833" t="str">
        <f>"רחמים זרוק"</f>
        <v>רחמים זרוק</v>
      </c>
      <c r="J2833" t="str">
        <f>"OP-AR03837"</f>
        <v>OP-AR03837</v>
      </c>
      <c r="K2833" s="1" t="str">
        <f>"4080H449-001    GROUND CABLE WS449 - ATRU TO GROUND"</f>
        <v>4080H449-001    GROUND CABLE WS449 - ATRU TO GROUND</v>
      </c>
      <c r="L2833">
        <v>1</v>
      </c>
      <c r="O2833">
        <v>82.45</v>
      </c>
      <c r="P2833" t="str">
        <f>"$"</f>
        <v>$</v>
      </c>
      <c r="Q2833" t="str">
        <f>"117"</f>
        <v>117</v>
      </c>
      <c r="R2833" t="str">
        <f>"רתמות"</f>
        <v>רתמות</v>
      </c>
      <c r="S2833" t="str">
        <f>"040"</f>
        <v>040</v>
      </c>
      <c r="T2833" t="str">
        <f>"עמר ליגל"</f>
        <v>עמר ליגל</v>
      </c>
      <c r="U2833">
        <v>0</v>
      </c>
      <c r="V2833">
        <v>0</v>
      </c>
      <c r="W2833">
        <v>82.45</v>
      </c>
      <c r="X2833">
        <v>82.45</v>
      </c>
      <c r="AA2833">
        <v>1</v>
      </c>
      <c r="AC2833">
        <v>0</v>
      </c>
      <c r="AE2833">
        <v>0</v>
      </c>
      <c r="AF2833">
        <v>0</v>
      </c>
      <c r="AG2833">
        <v>317.27</v>
      </c>
      <c r="AH2833">
        <v>0</v>
      </c>
      <c r="AI2833">
        <v>317.27</v>
      </c>
      <c r="AJ2833">
        <v>82.45</v>
      </c>
      <c r="AK2833">
        <v>82.45</v>
      </c>
      <c r="AL2833" t="str">
        <f>"$"</f>
        <v>$</v>
      </c>
    </row>
    <row r="2834" spans="1:38" x14ac:dyDescent="0.3">
      <c r="A2834" t="str">
        <f>"SO23000435"</f>
        <v>SO23000435</v>
      </c>
      <c r="B2834" t="str">
        <f>"E000403041"</f>
        <v>E000403041</v>
      </c>
      <c r="C2834" t="str">
        <f>"לאישור הסוכן"</f>
        <v>לאישור הסוכן</v>
      </c>
      <c r="E2834" s="3">
        <v>45176</v>
      </c>
      <c r="F2834" s="3">
        <v>45270</v>
      </c>
      <c r="G2834" t="str">
        <f>"700065"</f>
        <v>700065</v>
      </c>
      <c r="H2834" t="str">
        <f>"אלתא מערכות בע""מ"</f>
        <v>אלתא מערכות בע"מ</v>
      </c>
      <c r="I2834" t="str">
        <f>"רחמים זרוק"</f>
        <v>רחמים זרוק</v>
      </c>
      <c r="J2834" t="str">
        <f>"OP-AR03837"</f>
        <v>OP-AR03837</v>
      </c>
      <c r="K2834" s="1" t="str">
        <f>"4080H449-001    GROUND CABLE WS449 - ATRU TO GROUND"</f>
        <v>4080H449-001    GROUND CABLE WS449 - ATRU TO GROUND</v>
      </c>
      <c r="L2834">
        <v>1</v>
      </c>
      <c r="O2834">
        <v>82.45</v>
      </c>
      <c r="P2834" t="str">
        <f>"$"</f>
        <v>$</v>
      </c>
      <c r="Q2834" t="str">
        <f>"117"</f>
        <v>117</v>
      </c>
      <c r="R2834" t="str">
        <f>"רתמות"</f>
        <v>רתמות</v>
      </c>
      <c r="S2834" t="str">
        <f>"040"</f>
        <v>040</v>
      </c>
      <c r="T2834" t="str">
        <f>"עמר ליגל"</f>
        <v>עמר ליגל</v>
      </c>
      <c r="U2834">
        <v>0</v>
      </c>
      <c r="V2834">
        <v>0</v>
      </c>
      <c r="W2834">
        <v>82.45</v>
      </c>
      <c r="X2834">
        <v>82.45</v>
      </c>
      <c r="AA2834">
        <v>1</v>
      </c>
      <c r="AC2834">
        <v>0</v>
      </c>
      <c r="AE2834">
        <v>0</v>
      </c>
      <c r="AF2834">
        <v>0</v>
      </c>
      <c r="AG2834">
        <v>317.27</v>
      </c>
      <c r="AH2834">
        <v>0</v>
      </c>
      <c r="AI2834">
        <v>317.27</v>
      </c>
      <c r="AJ2834">
        <v>82.45</v>
      </c>
      <c r="AK2834">
        <v>82.45</v>
      </c>
      <c r="AL2834" t="str">
        <f>"$"</f>
        <v>$</v>
      </c>
    </row>
    <row r="2835" spans="1:38" x14ac:dyDescent="0.3">
      <c r="A2835" t="str">
        <f>"SO23000435"</f>
        <v>SO23000435</v>
      </c>
      <c r="B2835" t="str">
        <f>"E000403041"</f>
        <v>E000403041</v>
      </c>
      <c r="C2835" t="str">
        <f>"לאישור הסוכן"</f>
        <v>לאישור הסוכן</v>
      </c>
      <c r="E2835" s="3">
        <v>45176</v>
      </c>
      <c r="F2835" s="3">
        <v>45270</v>
      </c>
      <c r="G2835" t="str">
        <f>"700065"</f>
        <v>700065</v>
      </c>
      <c r="H2835" t="str">
        <f>"אלתא מערכות בע""מ"</f>
        <v>אלתא מערכות בע"מ</v>
      </c>
      <c r="I2835" t="str">
        <f>"רחמים זרוק"</f>
        <v>רחמים זרוק</v>
      </c>
      <c r="J2835" t="str">
        <f>"OP-AR03837"</f>
        <v>OP-AR03837</v>
      </c>
      <c r="K2835" s="1" t="str">
        <f>"4080H449-001    GROUND CABLE WS449 - ATRU TO GROUND"</f>
        <v>4080H449-001    GROUND CABLE WS449 - ATRU TO GROUND</v>
      </c>
      <c r="L2835">
        <v>3</v>
      </c>
      <c r="O2835">
        <v>82.45</v>
      </c>
      <c r="P2835" t="str">
        <f>"$"</f>
        <v>$</v>
      </c>
      <c r="Q2835" t="str">
        <f>"117"</f>
        <v>117</v>
      </c>
      <c r="R2835" t="str">
        <f>"רתמות"</f>
        <v>רתמות</v>
      </c>
      <c r="S2835" t="str">
        <f>"040"</f>
        <v>040</v>
      </c>
      <c r="T2835" t="str">
        <f>"עמר ליגל"</f>
        <v>עמר ליגל</v>
      </c>
      <c r="U2835">
        <v>0</v>
      </c>
      <c r="V2835">
        <v>0</v>
      </c>
      <c r="W2835">
        <v>82.45</v>
      </c>
      <c r="X2835">
        <v>247.35</v>
      </c>
      <c r="AA2835">
        <v>3</v>
      </c>
      <c r="AC2835">
        <v>0</v>
      </c>
      <c r="AE2835">
        <v>0</v>
      </c>
      <c r="AF2835">
        <v>0</v>
      </c>
      <c r="AG2835">
        <v>317.27</v>
      </c>
      <c r="AH2835">
        <v>0</v>
      </c>
      <c r="AI2835">
        <v>951.8</v>
      </c>
      <c r="AJ2835">
        <v>247.35</v>
      </c>
      <c r="AK2835">
        <v>247.35</v>
      </c>
      <c r="AL2835" t="str">
        <f>"$"</f>
        <v>$</v>
      </c>
    </row>
    <row r="2836" spans="1:38" x14ac:dyDescent="0.3">
      <c r="A2836" t="str">
        <f>"SO23000435"</f>
        <v>SO23000435</v>
      </c>
      <c r="B2836" t="str">
        <f>"E000403041"</f>
        <v>E000403041</v>
      </c>
      <c r="C2836" t="str">
        <f>"לאישור הסוכן"</f>
        <v>לאישור הסוכן</v>
      </c>
      <c r="E2836" s="3">
        <v>45176</v>
      </c>
      <c r="F2836" s="3">
        <v>45270</v>
      </c>
      <c r="G2836" t="str">
        <f>"700065"</f>
        <v>700065</v>
      </c>
      <c r="H2836" t="str">
        <f>"אלתא מערכות בע""מ"</f>
        <v>אלתא מערכות בע"מ</v>
      </c>
      <c r="I2836" t="str">
        <f>"רחמים זרוק"</f>
        <v>רחמים זרוק</v>
      </c>
      <c r="J2836" t="str">
        <f>"OP-AR03838"</f>
        <v>OP-AR03838</v>
      </c>
      <c r="K2836" s="1" t="str">
        <f>"4080H491-001    GROUND CABLE WS491 - MCCS TO GROUND"</f>
        <v>4080H491-001    GROUND CABLE WS491 - MCCS TO GROUND</v>
      </c>
      <c r="L2836">
        <v>1</v>
      </c>
      <c r="O2836">
        <v>82.45</v>
      </c>
      <c r="P2836" t="str">
        <f>"$"</f>
        <v>$</v>
      </c>
      <c r="Q2836" t="str">
        <f>"117"</f>
        <v>117</v>
      </c>
      <c r="R2836" t="str">
        <f>"רתמות"</f>
        <v>רתמות</v>
      </c>
      <c r="S2836" t="str">
        <f>"040"</f>
        <v>040</v>
      </c>
      <c r="T2836" t="str">
        <f>"עמר ליגל"</f>
        <v>עמר ליגל</v>
      </c>
      <c r="U2836">
        <v>0</v>
      </c>
      <c r="V2836">
        <v>0</v>
      </c>
      <c r="W2836">
        <v>82.45</v>
      </c>
      <c r="X2836">
        <v>82.45</v>
      </c>
      <c r="AA2836">
        <v>1</v>
      </c>
      <c r="AC2836">
        <v>0</v>
      </c>
      <c r="AE2836">
        <v>0</v>
      </c>
      <c r="AF2836">
        <v>0</v>
      </c>
      <c r="AG2836">
        <v>317.27</v>
      </c>
      <c r="AH2836">
        <v>0</v>
      </c>
      <c r="AI2836">
        <v>317.27</v>
      </c>
      <c r="AJ2836">
        <v>82.45</v>
      </c>
      <c r="AK2836">
        <v>82.45</v>
      </c>
      <c r="AL2836" t="str">
        <f>"$"</f>
        <v>$</v>
      </c>
    </row>
    <row r="2837" spans="1:38" x14ac:dyDescent="0.3">
      <c r="A2837" t="str">
        <f>"SO23000435"</f>
        <v>SO23000435</v>
      </c>
      <c r="B2837" t="str">
        <f>"E000403041"</f>
        <v>E000403041</v>
      </c>
      <c r="C2837" t="str">
        <f>"לאישור הסוכן"</f>
        <v>לאישור הסוכן</v>
      </c>
      <c r="E2837" s="3">
        <v>45176</v>
      </c>
      <c r="F2837" s="3">
        <v>45270</v>
      </c>
      <c r="G2837" t="str">
        <f>"700065"</f>
        <v>700065</v>
      </c>
      <c r="H2837" t="str">
        <f>"אלתא מערכות בע""מ"</f>
        <v>אלתא מערכות בע"מ</v>
      </c>
      <c r="I2837" t="str">
        <f>"רחמים זרוק"</f>
        <v>רחמים זרוק</v>
      </c>
      <c r="J2837" t="str">
        <f>"OP-AR03838"</f>
        <v>OP-AR03838</v>
      </c>
      <c r="K2837" s="1" t="str">
        <f>"4080H491-001    GROUND CABLE WS491 - MCCS TO GROUND"</f>
        <v>4080H491-001    GROUND CABLE WS491 - MCCS TO GROUND</v>
      </c>
      <c r="L2837">
        <v>1</v>
      </c>
      <c r="O2837">
        <v>82.45</v>
      </c>
      <c r="P2837" t="str">
        <f>"$"</f>
        <v>$</v>
      </c>
      <c r="Q2837" t="str">
        <f>"117"</f>
        <v>117</v>
      </c>
      <c r="R2837" t="str">
        <f>"רתמות"</f>
        <v>רתמות</v>
      </c>
      <c r="S2837" t="str">
        <f>"040"</f>
        <v>040</v>
      </c>
      <c r="T2837" t="str">
        <f>"עמר ליגל"</f>
        <v>עמר ליגל</v>
      </c>
      <c r="U2837">
        <v>0</v>
      </c>
      <c r="V2837">
        <v>0</v>
      </c>
      <c r="W2837">
        <v>82.45</v>
      </c>
      <c r="X2837">
        <v>82.45</v>
      </c>
      <c r="AA2837">
        <v>1</v>
      </c>
      <c r="AC2837">
        <v>0</v>
      </c>
      <c r="AE2837">
        <v>0</v>
      </c>
      <c r="AF2837">
        <v>0</v>
      </c>
      <c r="AG2837">
        <v>317.27</v>
      </c>
      <c r="AH2837">
        <v>0</v>
      </c>
      <c r="AI2837">
        <v>317.27</v>
      </c>
      <c r="AJ2837">
        <v>82.45</v>
      </c>
      <c r="AK2837">
        <v>82.45</v>
      </c>
      <c r="AL2837" t="str">
        <f>"$"</f>
        <v>$</v>
      </c>
    </row>
    <row r="2838" spans="1:38" x14ac:dyDescent="0.3">
      <c r="A2838" t="str">
        <f>"SO23000435"</f>
        <v>SO23000435</v>
      </c>
      <c r="B2838" t="str">
        <f>"E000403041"</f>
        <v>E000403041</v>
      </c>
      <c r="C2838" t="str">
        <f>"לאישור הסוכן"</f>
        <v>לאישור הסוכן</v>
      </c>
      <c r="E2838" s="3">
        <v>45176</v>
      </c>
      <c r="F2838" s="3">
        <v>45270</v>
      </c>
      <c r="G2838" t="str">
        <f>"700065"</f>
        <v>700065</v>
      </c>
      <c r="H2838" t="str">
        <f>"אלתא מערכות בע""מ"</f>
        <v>אלתא מערכות בע"מ</v>
      </c>
      <c r="I2838" t="str">
        <f>"רחמים זרוק"</f>
        <v>רחמים זרוק</v>
      </c>
      <c r="J2838" t="str">
        <f>"OP-AR03838"</f>
        <v>OP-AR03838</v>
      </c>
      <c r="K2838" s="1" t="str">
        <f>"4080H491-001    GROUND CABLE WS491 - MCCS TO GROUND"</f>
        <v>4080H491-001    GROUND CABLE WS491 - MCCS TO GROUND</v>
      </c>
      <c r="L2838">
        <v>3</v>
      </c>
      <c r="O2838">
        <v>82.45</v>
      </c>
      <c r="P2838" t="str">
        <f>"$"</f>
        <v>$</v>
      </c>
      <c r="Q2838" t="str">
        <f>"117"</f>
        <v>117</v>
      </c>
      <c r="R2838" t="str">
        <f>"רתמות"</f>
        <v>רתמות</v>
      </c>
      <c r="S2838" t="str">
        <f>"040"</f>
        <v>040</v>
      </c>
      <c r="T2838" t="str">
        <f>"עמר ליגל"</f>
        <v>עמר ליגל</v>
      </c>
      <c r="U2838">
        <v>0</v>
      </c>
      <c r="V2838">
        <v>0</v>
      </c>
      <c r="W2838">
        <v>82.45</v>
      </c>
      <c r="X2838">
        <v>247.35</v>
      </c>
      <c r="AA2838">
        <v>3</v>
      </c>
      <c r="AC2838">
        <v>0</v>
      </c>
      <c r="AE2838">
        <v>0</v>
      </c>
      <c r="AF2838">
        <v>0</v>
      </c>
      <c r="AG2838">
        <v>317.27</v>
      </c>
      <c r="AH2838">
        <v>0</v>
      </c>
      <c r="AI2838">
        <v>951.8</v>
      </c>
      <c r="AJ2838">
        <v>247.35</v>
      </c>
      <c r="AK2838">
        <v>247.35</v>
      </c>
      <c r="AL2838" t="str">
        <f>"$"</f>
        <v>$</v>
      </c>
    </row>
    <row r="2839" spans="1:38" x14ac:dyDescent="0.3">
      <c r="A2839" t="str">
        <f>"SO23000435"</f>
        <v>SO23000435</v>
      </c>
      <c r="B2839" t="str">
        <f>"E000403041"</f>
        <v>E000403041</v>
      </c>
      <c r="C2839" t="str">
        <f>"לאישור הסוכן"</f>
        <v>לאישור הסוכן</v>
      </c>
      <c r="E2839" s="3">
        <v>45176</v>
      </c>
      <c r="F2839" s="3">
        <v>45270</v>
      </c>
      <c r="G2839" t="str">
        <f>"700065"</f>
        <v>700065</v>
      </c>
      <c r="H2839" t="str">
        <f>"אלתא מערכות בע""מ"</f>
        <v>אלתא מערכות בע"מ</v>
      </c>
      <c r="I2839" t="str">
        <f>"רחמים זרוק"</f>
        <v>רחמים זרוק</v>
      </c>
      <c r="J2839" t="str">
        <f>"OP-AR03839"</f>
        <v>OP-AR03839</v>
      </c>
      <c r="K2839" s="1" t="str">
        <f>"4080H492-001    GROUND CABLE WS492 - RFDU TO GROUND"</f>
        <v>4080H492-001    GROUND CABLE WS492 - RFDU TO GROUND</v>
      </c>
      <c r="L2839">
        <v>1</v>
      </c>
      <c r="O2839">
        <v>82.45</v>
      </c>
      <c r="P2839" t="str">
        <f>"$"</f>
        <v>$</v>
      </c>
      <c r="Q2839" t="str">
        <f>"117"</f>
        <v>117</v>
      </c>
      <c r="R2839" t="str">
        <f>"רתמות"</f>
        <v>רתמות</v>
      </c>
      <c r="S2839" t="str">
        <f>"040"</f>
        <v>040</v>
      </c>
      <c r="T2839" t="str">
        <f>"עמר ליגל"</f>
        <v>עמר ליגל</v>
      </c>
      <c r="U2839">
        <v>0</v>
      </c>
      <c r="V2839">
        <v>0</v>
      </c>
      <c r="W2839">
        <v>82.45</v>
      </c>
      <c r="X2839">
        <v>82.45</v>
      </c>
      <c r="AA2839">
        <v>1</v>
      </c>
      <c r="AC2839">
        <v>0</v>
      </c>
      <c r="AE2839">
        <v>0</v>
      </c>
      <c r="AF2839">
        <v>0</v>
      </c>
      <c r="AG2839">
        <v>317.27</v>
      </c>
      <c r="AH2839">
        <v>0</v>
      </c>
      <c r="AI2839">
        <v>317.27</v>
      </c>
      <c r="AJ2839">
        <v>82.45</v>
      </c>
      <c r="AK2839">
        <v>82.45</v>
      </c>
      <c r="AL2839" t="str">
        <f>"$"</f>
        <v>$</v>
      </c>
    </row>
    <row r="2840" spans="1:38" x14ac:dyDescent="0.3">
      <c r="A2840" t="str">
        <f>"SO23000435"</f>
        <v>SO23000435</v>
      </c>
      <c r="B2840" t="str">
        <f>"E000403041"</f>
        <v>E000403041</v>
      </c>
      <c r="C2840" t="str">
        <f>"לאישור הסוכן"</f>
        <v>לאישור הסוכן</v>
      </c>
      <c r="E2840" s="3">
        <v>45176</v>
      </c>
      <c r="F2840" s="3">
        <v>45270</v>
      </c>
      <c r="G2840" t="str">
        <f>"700065"</f>
        <v>700065</v>
      </c>
      <c r="H2840" t="str">
        <f>"אלתא מערכות בע""מ"</f>
        <v>אלתא מערכות בע"מ</v>
      </c>
      <c r="I2840" t="str">
        <f>"רחמים זרוק"</f>
        <v>רחמים זרוק</v>
      </c>
      <c r="J2840" t="str">
        <f>"OP-AR03839"</f>
        <v>OP-AR03839</v>
      </c>
      <c r="K2840" s="1" t="str">
        <f>"4080H492-001    GROUND CABLE WS492 - RFDU TO GROUND"</f>
        <v>4080H492-001    GROUND CABLE WS492 - RFDU TO GROUND</v>
      </c>
      <c r="L2840">
        <v>1</v>
      </c>
      <c r="O2840">
        <v>82.45</v>
      </c>
      <c r="P2840" t="str">
        <f>"$"</f>
        <v>$</v>
      </c>
      <c r="Q2840" t="str">
        <f>"117"</f>
        <v>117</v>
      </c>
      <c r="R2840" t="str">
        <f>"רתמות"</f>
        <v>רתמות</v>
      </c>
      <c r="S2840" t="str">
        <f>"040"</f>
        <v>040</v>
      </c>
      <c r="T2840" t="str">
        <f>"עמר ליגל"</f>
        <v>עמר ליגל</v>
      </c>
      <c r="U2840">
        <v>0</v>
      </c>
      <c r="V2840">
        <v>0</v>
      </c>
      <c r="W2840">
        <v>82.45</v>
      </c>
      <c r="X2840">
        <v>82.45</v>
      </c>
      <c r="AA2840">
        <v>1</v>
      </c>
      <c r="AC2840">
        <v>0</v>
      </c>
      <c r="AE2840">
        <v>0</v>
      </c>
      <c r="AF2840">
        <v>0</v>
      </c>
      <c r="AG2840">
        <v>317.27</v>
      </c>
      <c r="AH2840">
        <v>0</v>
      </c>
      <c r="AI2840">
        <v>317.27</v>
      </c>
      <c r="AJ2840">
        <v>82.45</v>
      </c>
      <c r="AK2840">
        <v>82.45</v>
      </c>
      <c r="AL2840" t="str">
        <f>"$"</f>
        <v>$</v>
      </c>
    </row>
    <row r="2841" spans="1:38" x14ac:dyDescent="0.3">
      <c r="A2841" t="str">
        <f>"SO23000435"</f>
        <v>SO23000435</v>
      </c>
      <c r="B2841" t="str">
        <f>"E000403041"</f>
        <v>E000403041</v>
      </c>
      <c r="C2841" t="str">
        <f>"לאישור הסוכן"</f>
        <v>לאישור הסוכן</v>
      </c>
      <c r="E2841" s="3">
        <v>45176</v>
      </c>
      <c r="F2841" s="3">
        <v>45270</v>
      </c>
      <c r="G2841" t="str">
        <f>"700065"</f>
        <v>700065</v>
      </c>
      <c r="H2841" t="str">
        <f>"אלתא מערכות בע""מ"</f>
        <v>אלתא מערכות בע"מ</v>
      </c>
      <c r="I2841" t="str">
        <f>"רחמים זרוק"</f>
        <v>רחמים זרוק</v>
      </c>
      <c r="J2841" t="str">
        <f>"OP-AR03839"</f>
        <v>OP-AR03839</v>
      </c>
      <c r="K2841" s="1" t="str">
        <f>"4080H492-001    GROUND CABLE WS492 - RFDU TO GROUND"</f>
        <v>4080H492-001    GROUND CABLE WS492 - RFDU TO GROUND</v>
      </c>
      <c r="L2841">
        <v>3</v>
      </c>
      <c r="O2841">
        <v>82.45</v>
      </c>
      <c r="P2841" t="str">
        <f>"$"</f>
        <v>$</v>
      </c>
      <c r="Q2841" t="str">
        <f>"117"</f>
        <v>117</v>
      </c>
      <c r="R2841" t="str">
        <f>"רתמות"</f>
        <v>רתמות</v>
      </c>
      <c r="S2841" t="str">
        <f>"040"</f>
        <v>040</v>
      </c>
      <c r="T2841" t="str">
        <f>"עמר ליגל"</f>
        <v>עמר ליגל</v>
      </c>
      <c r="U2841">
        <v>0</v>
      </c>
      <c r="V2841">
        <v>0</v>
      </c>
      <c r="W2841">
        <v>82.45</v>
      </c>
      <c r="X2841">
        <v>247.35</v>
      </c>
      <c r="AA2841">
        <v>3</v>
      </c>
      <c r="AC2841">
        <v>0</v>
      </c>
      <c r="AE2841">
        <v>0</v>
      </c>
      <c r="AF2841">
        <v>0</v>
      </c>
      <c r="AG2841">
        <v>317.27</v>
      </c>
      <c r="AH2841">
        <v>0</v>
      </c>
      <c r="AI2841">
        <v>951.8</v>
      </c>
      <c r="AJ2841">
        <v>247.35</v>
      </c>
      <c r="AK2841">
        <v>247.35</v>
      </c>
      <c r="AL2841" t="str">
        <f>"$"</f>
        <v>$</v>
      </c>
    </row>
    <row r="2842" spans="1:38" x14ac:dyDescent="0.3">
      <c r="A2842" t="str">
        <f>"SO23000435"</f>
        <v>SO23000435</v>
      </c>
      <c r="B2842" t="str">
        <f>"E000403041"</f>
        <v>E000403041</v>
      </c>
      <c r="C2842" t="str">
        <f>"לאישור הסוכן"</f>
        <v>לאישור הסוכן</v>
      </c>
      <c r="E2842" s="3">
        <v>45176</v>
      </c>
      <c r="F2842" s="3">
        <v>45270</v>
      </c>
      <c r="G2842" t="str">
        <f>"700065"</f>
        <v>700065</v>
      </c>
      <c r="H2842" t="str">
        <f>"אלתא מערכות בע""מ"</f>
        <v>אלתא מערכות בע"מ</v>
      </c>
      <c r="I2842" t="str">
        <f>"רחמים זרוק"</f>
        <v>רחמים זרוק</v>
      </c>
      <c r="J2842" t="str">
        <f>"OP-AR03840"</f>
        <v>OP-AR03840</v>
      </c>
      <c r="K2842" s="1" t="str">
        <f>"4080H493-001    GROUND CABLE WS493 - PDU TO GROUND"</f>
        <v>4080H493-001    GROUND CABLE WS493 - PDU TO GROUND</v>
      </c>
      <c r="L2842">
        <v>1</v>
      </c>
      <c r="O2842">
        <v>106.57</v>
      </c>
      <c r="P2842" t="str">
        <f>"$"</f>
        <v>$</v>
      </c>
      <c r="Q2842" t="str">
        <f>"117"</f>
        <v>117</v>
      </c>
      <c r="R2842" t="str">
        <f>"רתמות"</f>
        <v>רתמות</v>
      </c>
      <c r="S2842" t="str">
        <f>"040"</f>
        <v>040</v>
      </c>
      <c r="T2842" t="str">
        <f>"עמר ליגל"</f>
        <v>עמר ליגל</v>
      </c>
      <c r="U2842">
        <v>0</v>
      </c>
      <c r="V2842">
        <v>0</v>
      </c>
      <c r="W2842">
        <v>106.57</v>
      </c>
      <c r="X2842">
        <v>106.57</v>
      </c>
      <c r="AA2842">
        <v>1</v>
      </c>
      <c r="AC2842">
        <v>0</v>
      </c>
      <c r="AE2842">
        <v>0</v>
      </c>
      <c r="AF2842">
        <v>0</v>
      </c>
      <c r="AG2842">
        <v>410.08</v>
      </c>
      <c r="AH2842">
        <v>0</v>
      </c>
      <c r="AI2842">
        <v>410.08</v>
      </c>
      <c r="AJ2842">
        <v>106.57</v>
      </c>
      <c r="AK2842">
        <v>106.57</v>
      </c>
      <c r="AL2842" t="str">
        <f>"$"</f>
        <v>$</v>
      </c>
    </row>
    <row r="2843" spans="1:38" x14ac:dyDescent="0.3">
      <c r="A2843" t="str">
        <f>"SO23000435"</f>
        <v>SO23000435</v>
      </c>
      <c r="B2843" t="str">
        <f>"E000403041"</f>
        <v>E000403041</v>
      </c>
      <c r="C2843" t="str">
        <f>"לאישור הסוכן"</f>
        <v>לאישור הסוכן</v>
      </c>
      <c r="E2843" s="3">
        <v>45176</v>
      </c>
      <c r="F2843" s="3">
        <v>45270</v>
      </c>
      <c r="G2843" t="str">
        <f>"700065"</f>
        <v>700065</v>
      </c>
      <c r="H2843" t="str">
        <f>"אלתא מערכות בע""מ"</f>
        <v>אלתא מערכות בע"מ</v>
      </c>
      <c r="I2843" t="str">
        <f>"רחמים זרוק"</f>
        <v>רחמים זרוק</v>
      </c>
      <c r="J2843" t="str">
        <f>"OP-AR03840"</f>
        <v>OP-AR03840</v>
      </c>
      <c r="K2843" s="1" t="str">
        <f>"4080H493-001    GROUND CABLE WS493 - PDU TO GROUND"</f>
        <v>4080H493-001    GROUND CABLE WS493 - PDU TO GROUND</v>
      </c>
      <c r="L2843">
        <v>1</v>
      </c>
      <c r="O2843">
        <v>106.57</v>
      </c>
      <c r="P2843" t="str">
        <f>"$"</f>
        <v>$</v>
      </c>
      <c r="Q2843" t="str">
        <f>"117"</f>
        <v>117</v>
      </c>
      <c r="R2843" t="str">
        <f>"רתמות"</f>
        <v>רתמות</v>
      </c>
      <c r="S2843" t="str">
        <f>"040"</f>
        <v>040</v>
      </c>
      <c r="T2843" t="str">
        <f>"עמר ליגל"</f>
        <v>עמר ליגל</v>
      </c>
      <c r="U2843">
        <v>0</v>
      </c>
      <c r="V2843">
        <v>0</v>
      </c>
      <c r="W2843">
        <v>106.57</v>
      </c>
      <c r="X2843">
        <v>106.57</v>
      </c>
      <c r="AA2843">
        <v>1</v>
      </c>
      <c r="AC2843">
        <v>0</v>
      </c>
      <c r="AE2843">
        <v>0</v>
      </c>
      <c r="AF2843">
        <v>0</v>
      </c>
      <c r="AG2843">
        <v>410.08</v>
      </c>
      <c r="AH2843">
        <v>0</v>
      </c>
      <c r="AI2843">
        <v>410.08</v>
      </c>
      <c r="AJ2843">
        <v>106.57</v>
      </c>
      <c r="AK2843">
        <v>106.57</v>
      </c>
      <c r="AL2843" t="str">
        <f>"$"</f>
        <v>$</v>
      </c>
    </row>
    <row r="2844" spans="1:38" x14ac:dyDescent="0.3">
      <c r="A2844" t="str">
        <f>"SO23000435"</f>
        <v>SO23000435</v>
      </c>
      <c r="B2844" t="str">
        <f>"E000403041"</f>
        <v>E000403041</v>
      </c>
      <c r="C2844" t="str">
        <f>"לאישור הסוכן"</f>
        <v>לאישור הסוכן</v>
      </c>
      <c r="E2844" s="3">
        <v>45176</v>
      </c>
      <c r="F2844" s="3">
        <v>45270</v>
      </c>
      <c r="G2844" t="str">
        <f>"700065"</f>
        <v>700065</v>
      </c>
      <c r="H2844" t="str">
        <f>"אלתא מערכות בע""מ"</f>
        <v>אלתא מערכות בע"מ</v>
      </c>
      <c r="I2844" t="str">
        <f>"רחמים זרוק"</f>
        <v>רחמים זרוק</v>
      </c>
      <c r="J2844" t="str">
        <f>"OP-AR03840"</f>
        <v>OP-AR03840</v>
      </c>
      <c r="K2844" s="1" t="str">
        <f>"4080H493-001    GROUND CABLE WS493 - PDU TO GROUND"</f>
        <v>4080H493-001    GROUND CABLE WS493 - PDU TO GROUND</v>
      </c>
      <c r="L2844">
        <v>3</v>
      </c>
      <c r="O2844">
        <v>106.57</v>
      </c>
      <c r="P2844" t="str">
        <f>"$"</f>
        <v>$</v>
      </c>
      <c r="Q2844" t="str">
        <f>"117"</f>
        <v>117</v>
      </c>
      <c r="R2844" t="str">
        <f>"רתמות"</f>
        <v>רתמות</v>
      </c>
      <c r="S2844" t="str">
        <f>"040"</f>
        <v>040</v>
      </c>
      <c r="T2844" t="str">
        <f>"עמר ליגל"</f>
        <v>עמר ליגל</v>
      </c>
      <c r="U2844">
        <v>0</v>
      </c>
      <c r="V2844">
        <v>0</v>
      </c>
      <c r="W2844">
        <v>106.57</v>
      </c>
      <c r="X2844">
        <v>319.70999999999998</v>
      </c>
      <c r="AA2844">
        <v>3</v>
      </c>
      <c r="AC2844">
        <v>0</v>
      </c>
      <c r="AE2844">
        <v>0</v>
      </c>
      <c r="AF2844">
        <v>0</v>
      </c>
      <c r="AG2844">
        <v>410.08</v>
      </c>
      <c r="AH2844">
        <v>0</v>
      </c>
      <c r="AI2844" s="2">
        <v>1230.24</v>
      </c>
      <c r="AJ2844">
        <v>319.70999999999998</v>
      </c>
      <c r="AK2844">
        <v>319.70999999999998</v>
      </c>
      <c r="AL2844" t="str">
        <f>"$"</f>
        <v>$</v>
      </c>
    </row>
    <row r="2845" spans="1:38" x14ac:dyDescent="0.3">
      <c r="A2845" t="str">
        <f>"SO23000435"</f>
        <v>SO23000435</v>
      </c>
      <c r="B2845" t="str">
        <f>"E000403041"</f>
        <v>E000403041</v>
      </c>
      <c r="C2845" t="str">
        <f>"לאישור הסוכן"</f>
        <v>לאישור הסוכן</v>
      </c>
      <c r="E2845" s="3">
        <v>45176</v>
      </c>
      <c r="F2845" s="3">
        <v>45270</v>
      </c>
      <c r="G2845" t="str">
        <f>"700065"</f>
        <v>700065</v>
      </c>
      <c r="H2845" t="str">
        <f>"אלתא מערכות בע""מ"</f>
        <v>אלתא מערכות בע"מ</v>
      </c>
      <c r="I2845" t="str">
        <f>"רחמים זרוק"</f>
        <v>רחמים זרוק</v>
      </c>
      <c r="J2845" t="str">
        <f>"OP-AR03841"</f>
        <v>OP-AR03841</v>
      </c>
      <c r="K2845" s="1" t="str">
        <f>"4080H494-001    GROUND CABLE WS494 - TU TO GROUND"</f>
        <v>4080H494-001    GROUND CABLE WS494 - TU TO GROUND</v>
      </c>
      <c r="L2845">
        <v>1</v>
      </c>
      <c r="O2845">
        <v>82.45</v>
      </c>
      <c r="P2845" t="str">
        <f>"$"</f>
        <v>$</v>
      </c>
      <c r="Q2845" t="str">
        <f>"117"</f>
        <v>117</v>
      </c>
      <c r="R2845" t="str">
        <f>"רתמות"</f>
        <v>רתמות</v>
      </c>
      <c r="S2845" t="str">
        <f>"040"</f>
        <v>040</v>
      </c>
      <c r="T2845" t="str">
        <f>"עמר ליגל"</f>
        <v>עמר ליגל</v>
      </c>
      <c r="U2845">
        <v>0</v>
      </c>
      <c r="V2845">
        <v>0</v>
      </c>
      <c r="W2845">
        <v>82.45</v>
      </c>
      <c r="X2845">
        <v>82.45</v>
      </c>
      <c r="AA2845">
        <v>1</v>
      </c>
      <c r="AC2845">
        <v>0</v>
      </c>
      <c r="AE2845">
        <v>0</v>
      </c>
      <c r="AF2845">
        <v>0</v>
      </c>
      <c r="AG2845">
        <v>317.27</v>
      </c>
      <c r="AH2845">
        <v>0</v>
      </c>
      <c r="AI2845">
        <v>317.27</v>
      </c>
      <c r="AJ2845">
        <v>82.45</v>
      </c>
      <c r="AK2845">
        <v>82.45</v>
      </c>
      <c r="AL2845" t="str">
        <f>"$"</f>
        <v>$</v>
      </c>
    </row>
    <row r="2846" spans="1:38" x14ac:dyDescent="0.3">
      <c r="A2846" t="str">
        <f>"SO23000435"</f>
        <v>SO23000435</v>
      </c>
      <c r="B2846" t="str">
        <f>"E000403041"</f>
        <v>E000403041</v>
      </c>
      <c r="C2846" t="str">
        <f>"לאישור הסוכן"</f>
        <v>לאישור הסוכן</v>
      </c>
      <c r="E2846" s="3">
        <v>45176</v>
      </c>
      <c r="F2846" s="3">
        <v>45270</v>
      </c>
      <c r="G2846" t="str">
        <f>"700065"</f>
        <v>700065</v>
      </c>
      <c r="H2846" t="str">
        <f>"אלתא מערכות בע""מ"</f>
        <v>אלתא מערכות בע"מ</v>
      </c>
      <c r="I2846" t="str">
        <f>"רחמים זרוק"</f>
        <v>רחמים זרוק</v>
      </c>
      <c r="J2846" t="str">
        <f>"OP-AR03841"</f>
        <v>OP-AR03841</v>
      </c>
      <c r="K2846" s="1" t="str">
        <f>"4080H494-001    GROUND CABLE WS494 - TU TO GROUND"</f>
        <v>4080H494-001    GROUND CABLE WS494 - TU TO GROUND</v>
      </c>
      <c r="L2846">
        <v>1</v>
      </c>
      <c r="O2846">
        <v>82.45</v>
      </c>
      <c r="P2846" t="str">
        <f>"$"</f>
        <v>$</v>
      </c>
      <c r="Q2846" t="str">
        <f>"117"</f>
        <v>117</v>
      </c>
      <c r="R2846" t="str">
        <f>"רתמות"</f>
        <v>רתמות</v>
      </c>
      <c r="S2846" t="str">
        <f>"040"</f>
        <v>040</v>
      </c>
      <c r="T2846" t="str">
        <f>"עמר ליגל"</f>
        <v>עמר ליגל</v>
      </c>
      <c r="U2846">
        <v>0</v>
      </c>
      <c r="V2846">
        <v>0</v>
      </c>
      <c r="W2846">
        <v>82.45</v>
      </c>
      <c r="X2846">
        <v>82.45</v>
      </c>
      <c r="AA2846">
        <v>1</v>
      </c>
      <c r="AC2846">
        <v>0</v>
      </c>
      <c r="AE2846">
        <v>0</v>
      </c>
      <c r="AF2846">
        <v>0</v>
      </c>
      <c r="AG2846">
        <v>317.27</v>
      </c>
      <c r="AH2846">
        <v>0</v>
      </c>
      <c r="AI2846">
        <v>317.27</v>
      </c>
      <c r="AJ2846">
        <v>82.45</v>
      </c>
      <c r="AK2846">
        <v>82.45</v>
      </c>
      <c r="AL2846" t="str">
        <f>"$"</f>
        <v>$</v>
      </c>
    </row>
    <row r="2847" spans="1:38" x14ac:dyDescent="0.3">
      <c r="A2847" t="str">
        <f>"SO23000435"</f>
        <v>SO23000435</v>
      </c>
      <c r="B2847" t="str">
        <f>"E000403041"</f>
        <v>E000403041</v>
      </c>
      <c r="C2847" t="str">
        <f>"לאישור הסוכן"</f>
        <v>לאישור הסוכן</v>
      </c>
      <c r="E2847" s="3">
        <v>45176</v>
      </c>
      <c r="F2847" s="3">
        <v>45270</v>
      </c>
      <c r="G2847" t="str">
        <f>"700065"</f>
        <v>700065</v>
      </c>
      <c r="H2847" t="str">
        <f>"אלתא מערכות בע""מ"</f>
        <v>אלתא מערכות בע"מ</v>
      </c>
      <c r="I2847" t="str">
        <f>"רחמים זרוק"</f>
        <v>רחמים זרוק</v>
      </c>
      <c r="J2847" t="str">
        <f>"OP-AR03841"</f>
        <v>OP-AR03841</v>
      </c>
      <c r="K2847" s="1" t="str">
        <f>"4080H494-001    GROUND CABLE WS494 - TU TO GROUND"</f>
        <v>4080H494-001    GROUND CABLE WS494 - TU TO GROUND</v>
      </c>
      <c r="L2847">
        <v>3</v>
      </c>
      <c r="O2847">
        <v>82.45</v>
      </c>
      <c r="P2847" t="str">
        <f>"$"</f>
        <v>$</v>
      </c>
      <c r="Q2847" t="str">
        <f>"117"</f>
        <v>117</v>
      </c>
      <c r="R2847" t="str">
        <f>"רתמות"</f>
        <v>רתמות</v>
      </c>
      <c r="S2847" t="str">
        <f>"040"</f>
        <v>040</v>
      </c>
      <c r="T2847" t="str">
        <f>"עמר ליגל"</f>
        <v>עמר ליגל</v>
      </c>
      <c r="U2847">
        <v>0</v>
      </c>
      <c r="V2847">
        <v>0</v>
      </c>
      <c r="W2847">
        <v>82.45</v>
      </c>
      <c r="X2847">
        <v>247.35</v>
      </c>
      <c r="AA2847">
        <v>3</v>
      </c>
      <c r="AC2847">
        <v>0</v>
      </c>
      <c r="AE2847">
        <v>0</v>
      </c>
      <c r="AF2847">
        <v>0</v>
      </c>
      <c r="AG2847">
        <v>317.27</v>
      </c>
      <c r="AH2847">
        <v>0</v>
      </c>
      <c r="AI2847">
        <v>951.8</v>
      </c>
      <c r="AJ2847">
        <v>247.35</v>
      </c>
      <c r="AK2847">
        <v>247.35</v>
      </c>
      <c r="AL2847" t="str">
        <f>"$"</f>
        <v>$</v>
      </c>
    </row>
    <row r="2848" spans="1:38" x14ac:dyDescent="0.3">
      <c r="A2848" t="str">
        <f>"SO23000435"</f>
        <v>SO23000435</v>
      </c>
      <c r="B2848" t="str">
        <f>"E000403041"</f>
        <v>E000403041</v>
      </c>
      <c r="C2848" t="str">
        <f>"לאישור הסוכן"</f>
        <v>לאישור הסוכן</v>
      </c>
      <c r="E2848" s="3">
        <v>45176</v>
      </c>
      <c r="F2848" s="3">
        <v>45270</v>
      </c>
      <c r="G2848" t="str">
        <f>"700065"</f>
        <v>700065</v>
      </c>
      <c r="H2848" t="str">
        <f>"אלתא מערכות בע""מ"</f>
        <v>אלתא מערכות בע"מ</v>
      </c>
      <c r="I2848" t="str">
        <f>"רחמים זרוק"</f>
        <v>רחמים זרוק</v>
      </c>
      <c r="J2848" t="str">
        <f>"OP-AR03842"</f>
        <v>OP-AR03842</v>
      </c>
      <c r="K2848" s="1" t="str">
        <f>"4080H495-001    GROUND CABLE WS495 - IPZ TO GROUND"</f>
        <v>4080H495-001    GROUND CABLE WS495 - IPZ TO GROUND</v>
      </c>
      <c r="L2848">
        <v>1</v>
      </c>
      <c r="O2848">
        <v>82.45</v>
      </c>
      <c r="P2848" t="str">
        <f>"$"</f>
        <v>$</v>
      </c>
      <c r="Q2848" t="str">
        <f>"117"</f>
        <v>117</v>
      </c>
      <c r="R2848" t="str">
        <f>"רתמות"</f>
        <v>רתמות</v>
      </c>
      <c r="S2848" t="str">
        <f>"040"</f>
        <v>040</v>
      </c>
      <c r="T2848" t="str">
        <f>"עמר ליגל"</f>
        <v>עמר ליגל</v>
      </c>
      <c r="U2848">
        <v>0</v>
      </c>
      <c r="V2848">
        <v>0</v>
      </c>
      <c r="W2848">
        <v>82.45</v>
      </c>
      <c r="X2848">
        <v>82.45</v>
      </c>
      <c r="AA2848">
        <v>1</v>
      </c>
      <c r="AC2848">
        <v>0</v>
      </c>
      <c r="AE2848">
        <v>0</v>
      </c>
      <c r="AF2848">
        <v>0</v>
      </c>
      <c r="AG2848">
        <v>317.27</v>
      </c>
      <c r="AH2848">
        <v>0</v>
      </c>
      <c r="AI2848">
        <v>317.27</v>
      </c>
      <c r="AJ2848">
        <v>82.45</v>
      </c>
      <c r="AK2848">
        <v>82.45</v>
      </c>
      <c r="AL2848" t="str">
        <f>"$"</f>
        <v>$</v>
      </c>
    </row>
    <row r="2849" spans="1:38" x14ac:dyDescent="0.3">
      <c r="A2849" t="str">
        <f>"SO23000435"</f>
        <v>SO23000435</v>
      </c>
      <c r="B2849" t="str">
        <f>"E000403041"</f>
        <v>E000403041</v>
      </c>
      <c r="C2849" t="str">
        <f>"לאישור הסוכן"</f>
        <v>לאישור הסוכן</v>
      </c>
      <c r="E2849" s="3">
        <v>45176</v>
      </c>
      <c r="F2849" s="3">
        <v>45270</v>
      </c>
      <c r="G2849" t="str">
        <f>"700065"</f>
        <v>700065</v>
      </c>
      <c r="H2849" t="str">
        <f>"אלתא מערכות בע""מ"</f>
        <v>אלתא מערכות בע"מ</v>
      </c>
      <c r="I2849" t="str">
        <f>"רחמים זרוק"</f>
        <v>רחמים זרוק</v>
      </c>
      <c r="J2849" t="str">
        <f>"OP-AR03842"</f>
        <v>OP-AR03842</v>
      </c>
      <c r="K2849" s="1" t="str">
        <f>"4080H495-001    GROUND CABLE WS495 - IPZ TO GROUND"</f>
        <v>4080H495-001    GROUND CABLE WS495 - IPZ TO GROUND</v>
      </c>
      <c r="L2849">
        <v>1</v>
      </c>
      <c r="O2849">
        <v>82.45</v>
      </c>
      <c r="P2849" t="str">
        <f>"$"</f>
        <v>$</v>
      </c>
      <c r="Q2849" t="str">
        <f>"117"</f>
        <v>117</v>
      </c>
      <c r="R2849" t="str">
        <f>"רתמות"</f>
        <v>רתמות</v>
      </c>
      <c r="S2849" t="str">
        <f>"040"</f>
        <v>040</v>
      </c>
      <c r="T2849" t="str">
        <f>"עמר ליגל"</f>
        <v>עמר ליגל</v>
      </c>
      <c r="U2849">
        <v>0</v>
      </c>
      <c r="V2849">
        <v>0</v>
      </c>
      <c r="W2849">
        <v>82.45</v>
      </c>
      <c r="X2849">
        <v>82.45</v>
      </c>
      <c r="AA2849">
        <v>1</v>
      </c>
      <c r="AC2849">
        <v>0</v>
      </c>
      <c r="AE2849">
        <v>0</v>
      </c>
      <c r="AF2849">
        <v>0</v>
      </c>
      <c r="AG2849">
        <v>317.27</v>
      </c>
      <c r="AH2849">
        <v>0</v>
      </c>
      <c r="AI2849">
        <v>317.27</v>
      </c>
      <c r="AJ2849">
        <v>82.45</v>
      </c>
      <c r="AK2849">
        <v>82.45</v>
      </c>
      <c r="AL2849" t="str">
        <f>"$"</f>
        <v>$</v>
      </c>
    </row>
    <row r="2850" spans="1:38" x14ac:dyDescent="0.3">
      <c r="A2850" t="str">
        <f>"SO23000435"</f>
        <v>SO23000435</v>
      </c>
      <c r="B2850" t="str">
        <f>"E000403041"</f>
        <v>E000403041</v>
      </c>
      <c r="C2850" t="str">
        <f>"לאישור הסוכן"</f>
        <v>לאישור הסוכן</v>
      </c>
      <c r="E2850" s="3">
        <v>45176</v>
      </c>
      <c r="F2850" s="3">
        <v>45270</v>
      </c>
      <c r="G2850" t="str">
        <f>"700065"</f>
        <v>700065</v>
      </c>
      <c r="H2850" t="str">
        <f>"אלתא מערכות בע""מ"</f>
        <v>אלתא מערכות בע"מ</v>
      </c>
      <c r="I2850" t="str">
        <f>"רחמים זרוק"</f>
        <v>רחמים זרוק</v>
      </c>
      <c r="J2850" t="str">
        <f>"OP-AR03842"</f>
        <v>OP-AR03842</v>
      </c>
      <c r="K2850" s="1" t="str">
        <f>"4080H495-001    GROUND CABLE WS495 - IPZ TO GROUND"</f>
        <v>4080H495-001    GROUND CABLE WS495 - IPZ TO GROUND</v>
      </c>
      <c r="L2850">
        <v>3</v>
      </c>
      <c r="O2850">
        <v>82.45</v>
      </c>
      <c r="P2850" t="str">
        <f>"$"</f>
        <v>$</v>
      </c>
      <c r="Q2850" t="str">
        <f>"117"</f>
        <v>117</v>
      </c>
      <c r="R2850" t="str">
        <f>"רתמות"</f>
        <v>רתמות</v>
      </c>
      <c r="S2850" t="str">
        <f>"040"</f>
        <v>040</v>
      </c>
      <c r="T2850" t="str">
        <f>"עמר ליגל"</f>
        <v>עמר ליגל</v>
      </c>
      <c r="U2850">
        <v>0</v>
      </c>
      <c r="V2850">
        <v>0</v>
      </c>
      <c r="W2850">
        <v>82.45</v>
      </c>
      <c r="X2850">
        <v>247.35</v>
      </c>
      <c r="AA2850">
        <v>3</v>
      </c>
      <c r="AC2850">
        <v>0</v>
      </c>
      <c r="AE2850">
        <v>0</v>
      </c>
      <c r="AF2850">
        <v>0</v>
      </c>
      <c r="AG2850">
        <v>317.27</v>
      </c>
      <c r="AH2850">
        <v>0</v>
      </c>
      <c r="AI2850">
        <v>951.8</v>
      </c>
      <c r="AJ2850">
        <v>247.35</v>
      </c>
      <c r="AK2850">
        <v>247.35</v>
      </c>
      <c r="AL2850" t="str">
        <f>"$"</f>
        <v>$</v>
      </c>
    </row>
    <row r="2851" spans="1:38" x14ac:dyDescent="0.3">
      <c r="A2851" t="str">
        <f>"SO23000435"</f>
        <v>SO23000435</v>
      </c>
      <c r="B2851" t="str">
        <f>"E000403041"</f>
        <v>E000403041</v>
      </c>
      <c r="C2851" t="str">
        <f>"לאישור הסוכן"</f>
        <v>לאישור הסוכן</v>
      </c>
      <c r="E2851" s="3">
        <v>45176</v>
      </c>
      <c r="F2851" s="3">
        <v>45270</v>
      </c>
      <c r="G2851" t="str">
        <f>"700065"</f>
        <v>700065</v>
      </c>
      <c r="H2851" t="str">
        <f>"אלתא מערכות בע""מ"</f>
        <v>אלתא מערכות בע"מ</v>
      </c>
      <c r="I2851" t="str">
        <f>"רחמים זרוק"</f>
        <v>רחמים זרוק</v>
      </c>
      <c r="J2851" t="str">
        <f>"OP-AR03843"</f>
        <v>OP-AR03843</v>
      </c>
      <c r="K2851" s="1" t="str">
        <f>"4080H496-001    GROUND CABLE WS496 - EPU TO GROUND"</f>
        <v>4080H496-001    GROUND CABLE WS496 - EPU TO GROUND</v>
      </c>
      <c r="L2851">
        <v>4</v>
      </c>
      <c r="O2851">
        <v>82.45</v>
      </c>
      <c r="P2851" t="str">
        <f>"$"</f>
        <v>$</v>
      </c>
      <c r="Q2851" t="str">
        <f>"117"</f>
        <v>117</v>
      </c>
      <c r="R2851" t="str">
        <f>"רתמות"</f>
        <v>רתמות</v>
      </c>
      <c r="S2851" t="str">
        <f>"040"</f>
        <v>040</v>
      </c>
      <c r="T2851" t="str">
        <f>"עמר ליגל"</f>
        <v>עמר ליגל</v>
      </c>
      <c r="U2851">
        <v>0</v>
      </c>
      <c r="V2851">
        <v>0</v>
      </c>
      <c r="W2851">
        <v>82.45</v>
      </c>
      <c r="X2851">
        <v>329.8</v>
      </c>
      <c r="AA2851">
        <v>4</v>
      </c>
      <c r="AC2851">
        <v>0</v>
      </c>
      <c r="AE2851">
        <v>0</v>
      </c>
      <c r="AF2851">
        <v>0</v>
      </c>
      <c r="AG2851">
        <v>317.27</v>
      </c>
      <c r="AH2851">
        <v>0</v>
      </c>
      <c r="AI2851" s="2">
        <v>1269.07</v>
      </c>
      <c r="AJ2851">
        <v>329.8</v>
      </c>
      <c r="AK2851">
        <v>329.8</v>
      </c>
      <c r="AL2851" t="str">
        <f>"$"</f>
        <v>$</v>
      </c>
    </row>
    <row r="2852" spans="1:38" x14ac:dyDescent="0.3">
      <c r="A2852" t="str">
        <f>"SO23000435"</f>
        <v>SO23000435</v>
      </c>
      <c r="B2852" t="str">
        <f>"E000403041"</f>
        <v>E000403041</v>
      </c>
      <c r="C2852" t="str">
        <f>"לאישור הסוכן"</f>
        <v>לאישור הסוכן</v>
      </c>
      <c r="E2852" s="3">
        <v>45176</v>
      </c>
      <c r="F2852" s="3">
        <v>45270</v>
      </c>
      <c r="G2852" t="str">
        <f>"700065"</f>
        <v>700065</v>
      </c>
      <c r="H2852" t="str">
        <f>"אלתא מערכות בע""מ"</f>
        <v>אלתא מערכות בע"מ</v>
      </c>
      <c r="I2852" t="str">
        <f>"רחמים זרוק"</f>
        <v>רחמים זרוק</v>
      </c>
      <c r="J2852" t="str">
        <f>"OP-AR03843"</f>
        <v>OP-AR03843</v>
      </c>
      <c r="K2852" s="1" t="str">
        <f>"4080H496-001    GROUND CABLE WS496 - EPU TO GROUND"</f>
        <v>4080H496-001    GROUND CABLE WS496 - EPU TO GROUND</v>
      </c>
      <c r="L2852">
        <v>4</v>
      </c>
      <c r="O2852">
        <v>82.45</v>
      </c>
      <c r="P2852" t="str">
        <f>"$"</f>
        <v>$</v>
      </c>
      <c r="Q2852" t="str">
        <f>"117"</f>
        <v>117</v>
      </c>
      <c r="R2852" t="str">
        <f>"רתמות"</f>
        <v>רתמות</v>
      </c>
      <c r="S2852" t="str">
        <f>"040"</f>
        <v>040</v>
      </c>
      <c r="T2852" t="str">
        <f>"עמר ליגל"</f>
        <v>עמר ליגל</v>
      </c>
      <c r="U2852">
        <v>0</v>
      </c>
      <c r="V2852">
        <v>0</v>
      </c>
      <c r="W2852">
        <v>82.45</v>
      </c>
      <c r="X2852">
        <v>329.8</v>
      </c>
      <c r="AA2852">
        <v>4</v>
      </c>
      <c r="AC2852">
        <v>0</v>
      </c>
      <c r="AE2852">
        <v>0</v>
      </c>
      <c r="AF2852">
        <v>0</v>
      </c>
      <c r="AG2852">
        <v>317.27</v>
      </c>
      <c r="AH2852">
        <v>0</v>
      </c>
      <c r="AI2852" s="2">
        <v>1269.07</v>
      </c>
      <c r="AJ2852">
        <v>329.8</v>
      </c>
      <c r="AK2852">
        <v>329.8</v>
      </c>
      <c r="AL2852" t="str">
        <f>"$"</f>
        <v>$</v>
      </c>
    </row>
    <row r="2853" spans="1:38" x14ac:dyDescent="0.3">
      <c r="A2853" t="str">
        <f>"SO23000435"</f>
        <v>SO23000435</v>
      </c>
      <c r="B2853" t="str">
        <f>"E000403041"</f>
        <v>E000403041</v>
      </c>
      <c r="C2853" t="str">
        <f>"לאישור הסוכן"</f>
        <v>לאישור הסוכן</v>
      </c>
      <c r="E2853" s="3">
        <v>45176</v>
      </c>
      <c r="F2853" s="3">
        <v>45270</v>
      </c>
      <c r="G2853" t="str">
        <f>"700065"</f>
        <v>700065</v>
      </c>
      <c r="H2853" t="str">
        <f>"אלתא מערכות בע""מ"</f>
        <v>אלתא מערכות בע"מ</v>
      </c>
      <c r="I2853" t="str">
        <f>"רחמים זרוק"</f>
        <v>רחמים זרוק</v>
      </c>
      <c r="J2853" t="str">
        <f>"OP-AR03843"</f>
        <v>OP-AR03843</v>
      </c>
      <c r="K2853" s="1" t="str">
        <f>"4080H496-001    GROUND CABLE WS496 - EPU TO GROUND"</f>
        <v>4080H496-001    GROUND CABLE WS496 - EPU TO GROUND</v>
      </c>
      <c r="L2853">
        <v>12</v>
      </c>
      <c r="O2853">
        <v>82.45</v>
      </c>
      <c r="P2853" t="str">
        <f>"$"</f>
        <v>$</v>
      </c>
      <c r="Q2853" t="str">
        <f>"117"</f>
        <v>117</v>
      </c>
      <c r="R2853" t="str">
        <f>"רתמות"</f>
        <v>רתמות</v>
      </c>
      <c r="S2853" t="str">
        <f>"040"</f>
        <v>040</v>
      </c>
      <c r="T2853" t="str">
        <f>"עמר ליגל"</f>
        <v>עמר ליגל</v>
      </c>
      <c r="U2853">
        <v>0</v>
      </c>
      <c r="V2853">
        <v>0</v>
      </c>
      <c r="W2853">
        <v>82.45</v>
      </c>
      <c r="X2853">
        <v>989.4</v>
      </c>
      <c r="AA2853">
        <v>12</v>
      </c>
      <c r="AC2853">
        <v>0</v>
      </c>
      <c r="AE2853">
        <v>0</v>
      </c>
      <c r="AF2853">
        <v>0</v>
      </c>
      <c r="AG2853">
        <v>317.27</v>
      </c>
      <c r="AH2853">
        <v>0</v>
      </c>
      <c r="AI2853" s="2">
        <v>3807.21</v>
      </c>
      <c r="AJ2853">
        <v>989.4</v>
      </c>
      <c r="AK2853">
        <v>989.4</v>
      </c>
      <c r="AL2853" t="str">
        <f>"$"</f>
        <v>$</v>
      </c>
    </row>
    <row r="2854" spans="1:38" x14ac:dyDescent="0.3">
      <c r="A2854" t="str">
        <f>"SO23000438"</f>
        <v>SO23000438</v>
      </c>
      <c r="B2854" t="str">
        <f>"E000404102"</f>
        <v>E000404102</v>
      </c>
      <c r="C2854" t="str">
        <f>"טיוטא"</f>
        <v>טיוטא</v>
      </c>
      <c r="E2854" s="3">
        <v>45180</v>
      </c>
      <c r="F2854" s="3">
        <v>45445</v>
      </c>
      <c r="G2854" t="str">
        <f>"700065"</f>
        <v>700065</v>
      </c>
      <c r="H2854" t="str">
        <f>"אלתא מערכות בע""מ"</f>
        <v>אלתא מערכות בע"מ</v>
      </c>
      <c r="I2854" t="str">
        <f>"רוני דידי"</f>
        <v>רוני דידי</v>
      </c>
      <c r="J2854" t="str">
        <f>"OP-ML00261"</f>
        <v>OP-ML00261</v>
      </c>
      <c r="K2854" s="1" t="str">
        <f>"HVDC POWER SYSTEM 320VDC/360KW"</f>
        <v>HVDC POWER SYSTEM 320VDC/360KW</v>
      </c>
      <c r="L2854">
        <v>1</v>
      </c>
      <c r="M2854" t="str">
        <f>"PR23000700"</f>
        <v>PR23000700</v>
      </c>
      <c r="N2854" t="str">
        <f>"HVDC POWER SYSTEM"</f>
        <v>HVDC POWER SYSTEM</v>
      </c>
      <c r="O2854" s="2">
        <v>90000</v>
      </c>
      <c r="P2854" t="str">
        <f>"$"</f>
        <v>$</v>
      </c>
      <c r="Q2854" t="str">
        <f>"118"</f>
        <v>118</v>
      </c>
      <c r="R2854" t="str">
        <f>"מערכות"</f>
        <v>מערכות</v>
      </c>
      <c r="S2854" t="str">
        <f>"007"</f>
        <v>007</v>
      </c>
      <c r="T2854" t="str">
        <f>"עמר ליגל"</f>
        <v>עמר ליגל</v>
      </c>
      <c r="U2854">
        <v>0</v>
      </c>
      <c r="V2854">
        <v>0</v>
      </c>
      <c r="W2854" s="2">
        <v>90000</v>
      </c>
      <c r="X2854" s="2">
        <v>90000</v>
      </c>
      <c r="AA2854">
        <v>1</v>
      </c>
      <c r="AC2854">
        <v>0</v>
      </c>
      <c r="AE2854">
        <v>0</v>
      </c>
      <c r="AF2854">
        <v>0</v>
      </c>
      <c r="AG2854" s="2">
        <v>346050</v>
      </c>
      <c r="AH2854">
        <v>0</v>
      </c>
      <c r="AI2854" s="2">
        <v>346050</v>
      </c>
      <c r="AJ2854" s="2">
        <v>90000</v>
      </c>
      <c r="AK2854" s="2">
        <v>90000</v>
      </c>
      <c r="AL2854" t="str">
        <f>"$"</f>
        <v>$</v>
      </c>
    </row>
    <row r="2855" spans="1:38" x14ac:dyDescent="0.3">
      <c r="A2855" t="str">
        <f>"SO23000438"</f>
        <v>SO23000438</v>
      </c>
      <c r="B2855" t="str">
        <f>"E000404102"</f>
        <v>E000404102</v>
      </c>
      <c r="C2855" t="str">
        <f>"טיוטא"</f>
        <v>טיוטא</v>
      </c>
      <c r="E2855" s="3">
        <v>45180</v>
      </c>
      <c r="F2855" s="3">
        <v>45221</v>
      </c>
      <c r="G2855" t="str">
        <f>"700065"</f>
        <v>700065</v>
      </c>
      <c r="H2855" t="str">
        <f>"אלתא מערכות בע""מ"</f>
        <v>אלתא מערכות בע"מ</v>
      </c>
      <c r="I2855" t="str">
        <f>"רוני דידי"</f>
        <v>רוני דידי</v>
      </c>
      <c r="J2855" t="str">
        <f>"OP-ML00261"</f>
        <v>OP-ML00261</v>
      </c>
      <c r="K2855" s="1" t="str">
        <f>"HVDC POWER SYSTEM 320VDC/360KW"</f>
        <v>HVDC POWER SYSTEM 320VDC/360KW</v>
      </c>
      <c r="L2855">
        <v>1</v>
      </c>
      <c r="O2855" s="2">
        <v>90000</v>
      </c>
      <c r="P2855" t="str">
        <f>"$"</f>
        <v>$</v>
      </c>
      <c r="Q2855" t="str">
        <f>"118"</f>
        <v>118</v>
      </c>
      <c r="R2855" t="str">
        <f>"מערכות"</f>
        <v>מערכות</v>
      </c>
      <c r="S2855" t="str">
        <f>"007"</f>
        <v>007</v>
      </c>
      <c r="T2855" t="str">
        <f>"עמר ליגל"</f>
        <v>עמר ליגל</v>
      </c>
      <c r="U2855">
        <v>0</v>
      </c>
      <c r="V2855">
        <v>0</v>
      </c>
      <c r="W2855" s="2">
        <v>90000</v>
      </c>
      <c r="X2855" s="2">
        <v>90000</v>
      </c>
      <c r="AA2855">
        <v>1</v>
      </c>
      <c r="AC2855">
        <v>0</v>
      </c>
      <c r="AE2855">
        <v>0</v>
      </c>
      <c r="AF2855">
        <v>0</v>
      </c>
      <c r="AG2855" s="2">
        <v>346050</v>
      </c>
      <c r="AH2855">
        <v>0</v>
      </c>
      <c r="AI2855" s="2">
        <v>346050</v>
      </c>
      <c r="AJ2855" s="2">
        <v>90000</v>
      </c>
      <c r="AK2855" s="2">
        <v>90000</v>
      </c>
      <c r="AL2855" t="str">
        <f>"$"</f>
        <v>$</v>
      </c>
    </row>
    <row r="2856" spans="1:38" x14ac:dyDescent="0.3">
      <c r="A2856" t="str">
        <f>"SO23000439"</f>
        <v>SO23000439</v>
      </c>
      <c r="B2856" t="str">
        <f>"E000404403"</f>
        <v>E000404403</v>
      </c>
      <c r="C2856" t="str">
        <f>"לאישור הסוכן"</f>
        <v>לאישור הסוכן</v>
      </c>
      <c r="E2856" s="3">
        <v>45180</v>
      </c>
      <c r="F2856" s="3">
        <v>45290</v>
      </c>
      <c r="G2856" t="str">
        <f>"700065"</f>
        <v>700065</v>
      </c>
      <c r="H2856" t="str">
        <f>"אלתא מערכות בע""מ"</f>
        <v>אלתא מערכות בע"מ</v>
      </c>
      <c r="I2856" t="str">
        <f>"רחמים זרוק"</f>
        <v>רחמים זרוק</v>
      </c>
      <c r="J2856" t="str">
        <f>"OP-AR03337"</f>
        <v>OP-AR03337</v>
      </c>
      <c r="K2856" s="1" t="str">
        <f>"1041G804-001    POWER CABLE WP112 - INTERCOM AND SPEAKER"</f>
        <v>1041G804-001    POWER CABLE WP112 - INTERCOM AND SPEAKER</v>
      </c>
      <c r="L2856">
        <v>2</v>
      </c>
      <c r="M2856" t="str">
        <f>"PR23000694"</f>
        <v>PR23000694</v>
      </c>
      <c r="N2856" t="str">
        <f>"E000404403"</f>
        <v>E000404403</v>
      </c>
      <c r="O2856">
        <v>652.98</v>
      </c>
      <c r="P2856" t="str">
        <f>"$"</f>
        <v>$</v>
      </c>
      <c r="Q2856" t="str">
        <f>"117"</f>
        <v>117</v>
      </c>
      <c r="R2856" t="str">
        <f>"רתמות"</f>
        <v>רתמות</v>
      </c>
      <c r="S2856" t="str">
        <f>"040"</f>
        <v>040</v>
      </c>
      <c r="T2856" t="str">
        <f>"עמר ליגל"</f>
        <v>עמר ליגל</v>
      </c>
      <c r="U2856">
        <v>0</v>
      </c>
      <c r="V2856">
        <v>0</v>
      </c>
      <c r="W2856">
        <v>652.98</v>
      </c>
      <c r="X2856" s="2">
        <v>1305.96</v>
      </c>
      <c r="AA2856">
        <v>2</v>
      </c>
      <c r="AC2856">
        <v>0</v>
      </c>
      <c r="AE2856">
        <v>0</v>
      </c>
      <c r="AF2856">
        <v>0</v>
      </c>
      <c r="AG2856" s="2">
        <v>2510.71</v>
      </c>
      <c r="AH2856">
        <v>0</v>
      </c>
      <c r="AI2856" s="2">
        <v>5021.42</v>
      </c>
      <c r="AJ2856" s="2">
        <v>1305.96</v>
      </c>
      <c r="AK2856" s="2">
        <v>1305.96</v>
      </c>
      <c r="AL2856" t="str">
        <f>"$"</f>
        <v>$</v>
      </c>
    </row>
    <row r="2857" spans="1:38" x14ac:dyDescent="0.3">
      <c r="A2857" t="str">
        <f>"SO23000440"</f>
        <v>SO23000440</v>
      </c>
      <c r="B2857" t="str">
        <f>"E000403193"</f>
        <v>E000403193</v>
      </c>
      <c r="C2857" t="str">
        <f>"מאושרת לבצוע"</f>
        <v>מאושרת לבצוע</v>
      </c>
      <c r="E2857" s="3">
        <v>45180</v>
      </c>
      <c r="F2857" s="3">
        <v>45184</v>
      </c>
      <c r="G2857" t="str">
        <f>"700065"</f>
        <v>700065</v>
      </c>
      <c r="H2857" t="str">
        <f>"אלתא מערכות בע""מ"</f>
        <v>אלתא מערכות בע"מ</v>
      </c>
      <c r="I2857" t="str">
        <f>"רחמים זרוק"</f>
        <v>רחמים זרוק</v>
      </c>
      <c r="J2857" t="str">
        <f>"cust001763"</f>
        <v>cust001763</v>
      </c>
      <c r="K2857" s="1" t="str">
        <f>"1035C108-001 ELTA"</f>
        <v>1035C108-001 ELTA</v>
      </c>
      <c r="L2857">
        <v>1</v>
      </c>
      <c r="O2857">
        <v>0.01</v>
      </c>
      <c r="P2857" t="str">
        <f>"$"</f>
        <v>$</v>
      </c>
      <c r="Q2857" t="str">
        <f>"117"</f>
        <v>117</v>
      </c>
      <c r="R2857" t="str">
        <f>"רתמות"</f>
        <v>רתמות</v>
      </c>
      <c r="S2857" t="str">
        <f>"040"</f>
        <v>040</v>
      </c>
      <c r="T2857" t="str">
        <f>"עמר ליגל"</f>
        <v>עמר ליגל</v>
      </c>
      <c r="U2857">
        <v>0</v>
      </c>
      <c r="V2857">
        <v>0</v>
      </c>
      <c r="W2857">
        <v>0.01</v>
      </c>
      <c r="X2857">
        <v>0.01</v>
      </c>
      <c r="AA2857">
        <v>1</v>
      </c>
      <c r="AC2857">
        <v>0</v>
      </c>
      <c r="AE2857">
        <v>0</v>
      </c>
      <c r="AF2857">
        <v>0</v>
      </c>
      <c r="AG2857">
        <v>0.04</v>
      </c>
      <c r="AH2857">
        <v>0</v>
      </c>
      <c r="AI2857">
        <v>0.04</v>
      </c>
      <c r="AJ2857">
        <v>0.01</v>
      </c>
      <c r="AK2857">
        <v>0.01</v>
      </c>
      <c r="AL2857" t="str">
        <f>"$"</f>
        <v>$</v>
      </c>
    </row>
    <row r="2858" spans="1:38" x14ac:dyDescent="0.3">
      <c r="A2858" t="str">
        <f>"SO23000440"</f>
        <v>SO23000440</v>
      </c>
      <c r="B2858" t="str">
        <f>"E000403193"</f>
        <v>E000403193</v>
      </c>
      <c r="C2858" t="str">
        <f>"מאושרת לבצוע"</f>
        <v>מאושרת לבצוע</v>
      </c>
      <c r="E2858" s="3">
        <v>45180</v>
      </c>
      <c r="F2858" s="3">
        <v>45184</v>
      </c>
      <c r="G2858" t="str">
        <f>"700065"</f>
        <v>700065</v>
      </c>
      <c r="H2858" t="str">
        <f>"אלתא מערכות בע""מ"</f>
        <v>אלתא מערכות בע"מ</v>
      </c>
      <c r="I2858" t="str">
        <f>"רחמים זרוק"</f>
        <v>רחמים זרוק</v>
      </c>
      <c r="J2858" t="str">
        <f>"cust001764"</f>
        <v>cust001764</v>
      </c>
      <c r="K2858" s="1" t="str">
        <f>"1035C107-001 ELTA"</f>
        <v>1035C107-001 ELTA</v>
      </c>
      <c r="L2858">
        <v>1</v>
      </c>
      <c r="O2858">
        <v>0.01</v>
      </c>
      <c r="P2858" t="str">
        <f>"$"</f>
        <v>$</v>
      </c>
      <c r="Q2858" t="str">
        <f>"117"</f>
        <v>117</v>
      </c>
      <c r="R2858" t="str">
        <f>"רתמות"</f>
        <v>רתמות</v>
      </c>
      <c r="S2858" t="str">
        <f>"040"</f>
        <v>040</v>
      </c>
      <c r="T2858" t="str">
        <f>"עמר ליגל"</f>
        <v>עמר ליגל</v>
      </c>
      <c r="U2858">
        <v>0</v>
      </c>
      <c r="V2858">
        <v>0</v>
      </c>
      <c r="W2858">
        <v>0.01</v>
      </c>
      <c r="X2858">
        <v>0.01</v>
      </c>
      <c r="AA2858">
        <v>1</v>
      </c>
      <c r="AC2858">
        <v>0</v>
      </c>
      <c r="AE2858">
        <v>0</v>
      </c>
      <c r="AF2858">
        <v>0</v>
      </c>
      <c r="AG2858">
        <v>0.04</v>
      </c>
      <c r="AH2858">
        <v>0</v>
      </c>
      <c r="AI2858">
        <v>0.04</v>
      </c>
      <c r="AJ2858">
        <v>0.01</v>
      </c>
      <c r="AK2858">
        <v>0.01</v>
      </c>
      <c r="AL2858" t="str">
        <f>"$"</f>
        <v>$</v>
      </c>
    </row>
    <row r="2859" spans="1:38" x14ac:dyDescent="0.3">
      <c r="A2859" t="str">
        <f>"SO23000440"</f>
        <v>SO23000440</v>
      </c>
      <c r="B2859" t="str">
        <f>"E000403193"</f>
        <v>E000403193</v>
      </c>
      <c r="C2859" t="str">
        <f>"מאושרת לבצוע"</f>
        <v>מאושרת לבצוע</v>
      </c>
      <c r="E2859" s="3">
        <v>45180</v>
      </c>
      <c r="F2859" s="3">
        <v>45184</v>
      </c>
      <c r="G2859" t="str">
        <f>"700065"</f>
        <v>700065</v>
      </c>
      <c r="H2859" t="str">
        <f>"אלתא מערכות בע""מ"</f>
        <v>אלתא מערכות בע"מ</v>
      </c>
      <c r="I2859" t="str">
        <f>"רחמים זרוק"</f>
        <v>רחמים זרוק</v>
      </c>
      <c r="J2859" t="str">
        <f>"cust001765"</f>
        <v>cust001765</v>
      </c>
      <c r="K2859" s="1" t="str">
        <f>"1035C113-001 ELTA"</f>
        <v>1035C113-001 ELTA</v>
      </c>
      <c r="L2859">
        <v>1</v>
      </c>
      <c r="O2859">
        <v>0.01</v>
      </c>
      <c r="P2859" t="str">
        <f>"$"</f>
        <v>$</v>
      </c>
      <c r="Q2859" t="str">
        <f>"117"</f>
        <v>117</v>
      </c>
      <c r="R2859" t="str">
        <f>"רתמות"</f>
        <v>רתמות</v>
      </c>
      <c r="S2859" t="str">
        <f>"040"</f>
        <v>040</v>
      </c>
      <c r="T2859" t="str">
        <f>"עמר ליגל"</f>
        <v>עמר ליגל</v>
      </c>
      <c r="U2859">
        <v>0</v>
      </c>
      <c r="V2859">
        <v>0</v>
      </c>
      <c r="W2859">
        <v>0.01</v>
      </c>
      <c r="X2859">
        <v>0.01</v>
      </c>
      <c r="Z2859" t="str">
        <f>"Y"</f>
        <v>Y</v>
      </c>
      <c r="AA2859">
        <v>0</v>
      </c>
      <c r="AC2859">
        <v>0</v>
      </c>
      <c r="AE2859">
        <v>0</v>
      </c>
      <c r="AF2859">
        <v>0</v>
      </c>
      <c r="AG2859">
        <v>0.04</v>
      </c>
      <c r="AH2859">
        <v>0</v>
      </c>
      <c r="AI2859">
        <v>0.04</v>
      </c>
      <c r="AJ2859">
        <v>0.01</v>
      </c>
      <c r="AK2859">
        <v>0.01</v>
      </c>
      <c r="AL2859" t="str">
        <f>"$"</f>
        <v>$</v>
      </c>
    </row>
    <row r="2860" spans="1:38" x14ac:dyDescent="0.3">
      <c r="A2860" t="str">
        <f>"SO23000440"</f>
        <v>SO23000440</v>
      </c>
      <c r="B2860" t="str">
        <f>"E000403193"</f>
        <v>E000403193</v>
      </c>
      <c r="C2860" t="str">
        <f>"מאושרת לבצוע"</f>
        <v>מאושרת לבצוע</v>
      </c>
      <c r="E2860" s="3">
        <v>45180</v>
      </c>
      <c r="F2860" s="3">
        <v>45184</v>
      </c>
      <c r="G2860" t="str">
        <f>"700065"</f>
        <v>700065</v>
      </c>
      <c r="H2860" t="str">
        <f>"אלתא מערכות בע""מ"</f>
        <v>אלתא מערכות בע"מ</v>
      </c>
      <c r="I2860" t="str">
        <f>"רחמים זרוק"</f>
        <v>רחמים זרוק</v>
      </c>
      <c r="J2860" t="str">
        <f>"cust001766"</f>
        <v>cust001766</v>
      </c>
      <c r="K2860" s="1" t="str">
        <f>"1035C112-001 ELTA"</f>
        <v>1035C112-001 ELTA</v>
      </c>
      <c r="L2860">
        <v>1</v>
      </c>
      <c r="O2860">
        <v>0.01</v>
      </c>
      <c r="P2860" t="str">
        <f>"$"</f>
        <v>$</v>
      </c>
      <c r="Q2860" t="str">
        <f>"117"</f>
        <v>117</v>
      </c>
      <c r="R2860" t="str">
        <f>"רתמות"</f>
        <v>רתמות</v>
      </c>
      <c r="S2860" t="str">
        <f>"040"</f>
        <v>040</v>
      </c>
      <c r="T2860" t="str">
        <f>"עמר ליגל"</f>
        <v>עמר ליגל</v>
      </c>
      <c r="U2860">
        <v>0</v>
      </c>
      <c r="V2860">
        <v>0</v>
      </c>
      <c r="W2860">
        <v>0.01</v>
      </c>
      <c r="X2860">
        <v>0.01</v>
      </c>
      <c r="Z2860" t="str">
        <f>"Y"</f>
        <v>Y</v>
      </c>
      <c r="AA2860">
        <v>0</v>
      </c>
      <c r="AC2860">
        <v>0</v>
      </c>
      <c r="AE2860">
        <v>0</v>
      </c>
      <c r="AF2860">
        <v>0</v>
      </c>
      <c r="AG2860">
        <v>0.04</v>
      </c>
      <c r="AH2860">
        <v>0</v>
      </c>
      <c r="AI2860">
        <v>0.04</v>
      </c>
      <c r="AJ2860">
        <v>0.01</v>
      </c>
      <c r="AK2860">
        <v>0.01</v>
      </c>
      <c r="AL2860" t="str">
        <f>"$"</f>
        <v>$</v>
      </c>
    </row>
    <row r="2861" spans="1:38" x14ac:dyDescent="0.3">
      <c r="A2861" t="str">
        <f>"SO23000440"</f>
        <v>SO23000440</v>
      </c>
      <c r="B2861" t="str">
        <f>"E000403193"</f>
        <v>E000403193</v>
      </c>
      <c r="C2861" t="str">
        <f>"מאושרת לבצוע"</f>
        <v>מאושרת לבצוע</v>
      </c>
      <c r="E2861" s="3">
        <v>45180</v>
      </c>
      <c r="F2861" s="3">
        <v>45184</v>
      </c>
      <c r="G2861" t="str">
        <f>"700065"</f>
        <v>700065</v>
      </c>
      <c r="H2861" t="str">
        <f>"אלתא מערכות בע""מ"</f>
        <v>אלתא מערכות בע"מ</v>
      </c>
      <c r="I2861" t="str">
        <f>"רחמים זרוק"</f>
        <v>רחמים זרוק</v>
      </c>
      <c r="J2861" t="str">
        <f>"cust001766"</f>
        <v>cust001766</v>
      </c>
      <c r="K2861" s="1" t="str">
        <f>"1035C112-001 ELTA"</f>
        <v>1035C112-001 ELTA</v>
      </c>
      <c r="L2861">
        <v>1</v>
      </c>
      <c r="O2861">
        <v>0.01</v>
      </c>
      <c r="P2861" t="str">
        <f>"$"</f>
        <v>$</v>
      </c>
      <c r="Q2861" t="str">
        <f>"117"</f>
        <v>117</v>
      </c>
      <c r="R2861" t="str">
        <f>"רתמות"</f>
        <v>רתמות</v>
      </c>
      <c r="S2861" t="str">
        <f>"040"</f>
        <v>040</v>
      </c>
      <c r="T2861" t="str">
        <f>"עמר ליגל"</f>
        <v>עמר ליגל</v>
      </c>
      <c r="U2861">
        <v>0</v>
      </c>
      <c r="V2861">
        <v>0</v>
      </c>
      <c r="W2861">
        <v>0.01</v>
      </c>
      <c r="X2861">
        <v>0.01</v>
      </c>
      <c r="Z2861" t="str">
        <f>"Y"</f>
        <v>Y</v>
      </c>
      <c r="AA2861">
        <v>0</v>
      </c>
      <c r="AC2861">
        <v>0</v>
      </c>
      <c r="AE2861">
        <v>0</v>
      </c>
      <c r="AF2861">
        <v>0</v>
      </c>
      <c r="AG2861">
        <v>0.04</v>
      </c>
      <c r="AH2861">
        <v>0</v>
      </c>
      <c r="AI2861">
        <v>0.04</v>
      </c>
      <c r="AJ2861">
        <v>0.01</v>
      </c>
      <c r="AK2861">
        <v>0.01</v>
      </c>
      <c r="AL2861" t="str">
        <f>"$"</f>
        <v>$</v>
      </c>
    </row>
    <row r="2862" spans="1:38" x14ac:dyDescent="0.3">
      <c r="A2862" t="str">
        <f>"SO23000440"</f>
        <v>SO23000440</v>
      </c>
      <c r="B2862" t="str">
        <f>"E000403193"</f>
        <v>E000403193</v>
      </c>
      <c r="C2862" t="str">
        <f>"מאושרת לבצוע"</f>
        <v>מאושרת לבצוע</v>
      </c>
      <c r="E2862" s="3">
        <v>45180</v>
      </c>
      <c r="F2862" s="3">
        <v>45184</v>
      </c>
      <c r="G2862" t="str">
        <f>"700065"</f>
        <v>700065</v>
      </c>
      <c r="H2862" t="str">
        <f>"אלתא מערכות בע""מ"</f>
        <v>אלתא מערכות בע"מ</v>
      </c>
      <c r="I2862" t="str">
        <f>"רחמים זרוק"</f>
        <v>רחמים זרוק</v>
      </c>
      <c r="J2862" t="str">
        <f>"cust001767"</f>
        <v>cust001767</v>
      </c>
      <c r="K2862" s="1" t="str">
        <f>"1035C110-001 ELTA"</f>
        <v>1035C110-001 ELTA</v>
      </c>
      <c r="L2862">
        <v>1</v>
      </c>
      <c r="O2862">
        <v>0.01</v>
      </c>
      <c r="P2862" t="str">
        <f>"$"</f>
        <v>$</v>
      </c>
      <c r="Q2862" t="str">
        <f>"117"</f>
        <v>117</v>
      </c>
      <c r="R2862" t="str">
        <f>"רתמות"</f>
        <v>רתמות</v>
      </c>
      <c r="S2862" t="str">
        <f>"040"</f>
        <v>040</v>
      </c>
      <c r="T2862" t="str">
        <f>"עמר ליגל"</f>
        <v>עמר ליגל</v>
      </c>
      <c r="U2862">
        <v>0</v>
      </c>
      <c r="V2862">
        <v>0</v>
      </c>
      <c r="W2862">
        <v>0.01</v>
      </c>
      <c r="X2862">
        <v>0.01</v>
      </c>
      <c r="Z2862" t="str">
        <f>"Y"</f>
        <v>Y</v>
      </c>
      <c r="AA2862">
        <v>0</v>
      </c>
      <c r="AC2862">
        <v>0</v>
      </c>
      <c r="AE2862">
        <v>0</v>
      </c>
      <c r="AF2862">
        <v>0</v>
      </c>
      <c r="AG2862">
        <v>0.04</v>
      </c>
      <c r="AH2862">
        <v>0</v>
      </c>
      <c r="AI2862">
        <v>0.04</v>
      </c>
      <c r="AJ2862">
        <v>0.01</v>
      </c>
      <c r="AK2862">
        <v>0.01</v>
      </c>
      <c r="AL2862" t="str">
        <f>"$"</f>
        <v>$</v>
      </c>
    </row>
    <row r="2863" spans="1:38" x14ac:dyDescent="0.3">
      <c r="A2863" t="str">
        <f>"SO23000440"</f>
        <v>SO23000440</v>
      </c>
      <c r="B2863" t="str">
        <f>"E000403193"</f>
        <v>E000403193</v>
      </c>
      <c r="C2863" t="str">
        <f>"מאושרת לבצוע"</f>
        <v>מאושרת לבצוע</v>
      </c>
      <c r="E2863" s="3">
        <v>45180</v>
      </c>
      <c r="F2863" s="3">
        <v>45184</v>
      </c>
      <c r="G2863" t="str">
        <f>"700065"</f>
        <v>700065</v>
      </c>
      <c r="H2863" t="str">
        <f>"אלתא מערכות בע""מ"</f>
        <v>אלתא מערכות בע"מ</v>
      </c>
      <c r="I2863" t="str">
        <f>"רחמים זרוק"</f>
        <v>רחמים זרוק</v>
      </c>
      <c r="J2863" t="str">
        <f>"cust001768"</f>
        <v>cust001768</v>
      </c>
      <c r="K2863" s="1" t="str">
        <f>"1035C114-001 ELTA"</f>
        <v>1035C114-001 ELTA</v>
      </c>
      <c r="L2863">
        <v>1</v>
      </c>
      <c r="O2863">
        <v>0.01</v>
      </c>
      <c r="P2863" t="str">
        <f>"$"</f>
        <v>$</v>
      </c>
      <c r="Q2863" t="str">
        <f>"117"</f>
        <v>117</v>
      </c>
      <c r="R2863" t="str">
        <f>"רתמות"</f>
        <v>רתמות</v>
      </c>
      <c r="S2863" t="str">
        <f>"040"</f>
        <v>040</v>
      </c>
      <c r="T2863" t="str">
        <f>"עמר ליגל"</f>
        <v>עמר ליגל</v>
      </c>
      <c r="U2863">
        <v>0</v>
      </c>
      <c r="V2863">
        <v>0</v>
      </c>
      <c r="W2863">
        <v>0.01</v>
      </c>
      <c r="X2863">
        <v>0.01</v>
      </c>
      <c r="Z2863" t="str">
        <f>"Y"</f>
        <v>Y</v>
      </c>
      <c r="AA2863">
        <v>0</v>
      </c>
      <c r="AC2863">
        <v>0</v>
      </c>
      <c r="AE2863">
        <v>0</v>
      </c>
      <c r="AF2863">
        <v>0</v>
      </c>
      <c r="AG2863">
        <v>0.04</v>
      </c>
      <c r="AH2863">
        <v>0</v>
      </c>
      <c r="AI2863">
        <v>0.04</v>
      </c>
      <c r="AJ2863">
        <v>0.01</v>
      </c>
      <c r="AK2863">
        <v>0.01</v>
      </c>
      <c r="AL2863" t="str">
        <f>"$"</f>
        <v>$</v>
      </c>
    </row>
    <row r="2864" spans="1:38" x14ac:dyDescent="0.3">
      <c r="A2864" t="str">
        <f>"SO23000441"</f>
        <v>SO23000441</v>
      </c>
      <c r="B2864" t="str">
        <f>"E000403309"</f>
        <v>E000403309</v>
      </c>
      <c r="C2864" t="str">
        <f>"טיוטא"</f>
        <v>טיוטא</v>
      </c>
      <c r="E2864" s="3">
        <v>45180</v>
      </c>
      <c r="F2864" s="3">
        <v>45332</v>
      </c>
      <c r="G2864" t="str">
        <f>"700065"</f>
        <v>700065</v>
      </c>
      <c r="H2864" t="str">
        <f>"אלתא מערכות בע""מ"</f>
        <v>אלתא מערכות בע"מ</v>
      </c>
      <c r="I2864" t="str">
        <f>"רחמים זרוק"</f>
        <v>רחמים זרוק</v>
      </c>
      <c r="J2864" t="str">
        <f>"OP-AR03868"</f>
        <v>OP-AR03868</v>
      </c>
      <c r="K2864" s="1" t="str">
        <f>"1029P344-001     WP044 - POWER 230VAC PDB TO CHARGER"</f>
        <v>1029P344-001     WP044 - POWER 230VAC PDB TO CHARGER</v>
      </c>
      <c r="L2864">
        <v>2</v>
      </c>
      <c r="M2864" t="str">
        <f>"PR23000725"</f>
        <v>PR23000725</v>
      </c>
      <c r="N2864" t="str">
        <f>"E000403309"</f>
        <v>E000403309</v>
      </c>
      <c r="O2864">
        <v>412.29</v>
      </c>
      <c r="P2864" t="str">
        <f>"$"</f>
        <v>$</v>
      </c>
      <c r="Q2864" t="str">
        <f>"117"</f>
        <v>117</v>
      </c>
      <c r="R2864" t="str">
        <f>"רתמות"</f>
        <v>רתמות</v>
      </c>
      <c r="S2864" t="str">
        <f>"040"</f>
        <v>040</v>
      </c>
      <c r="T2864" t="str">
        <f>"עמר ליגל"</f>
        <v>עמר ליגל</v>
      </c>
      <c r="U2864">
        <v>0</v>
      </c>
      <c r="V2864">
        <v>0</v>
      </c>
      <c r="W2864">
        <v>412.29</v>
      </c>
      <c r="X2864">
        <v>824.58</v>
      </c>
      <c r="AA2864">
        <v>2</v>
      </c>
      <c r="AC2864">
        <v>0</v>
      </c>
      <c r="AE2864">
        <v>0</v>
      </c>
      <c r="AF2864">
        <v>0</v>
      </c>
      <c r="AG2864" s="2">
        <v>1585.26</v>
      </c>
      <c r="AH2864">
        <v>0</v>
      </c>
      <c r="AI2864" s="2">
        <v>3170.51</v>
      </c>
      <c r="AJ2864">
        <v>824.58</v>
      </c>
      <c r="AK2864">
        <v>824.58</v>
      </c>
      <c r="AL2864" t="str">
        <f>"$"</f>
        <v>$</v>
      </c>
    </row>
    <row r="2865" spans="1:38" x14ac:dyDescent="0.3">
      <c r="A2865" t="str">
        <f>"SO23000441"</f>
        <v>SO23000441</v>
      </c>
      <c r="B2865" t="str">
        <f>"E000403309"</f>
        <v>E000403309</v>
      </c>
      <c r="C2865" t="str">
        <f>"טיוטא"</f>
        <v>טיוטא</v>
      </c>
      <c r="E2865" s="3">
        <v>45180</v>
      </c>
      <c r="F2865" s="3">
        <v>45332</v>
      </c>
      <c r="G2865" t="str">
        <f>"700065"</f>
        <v>700065</v>
      </c>
      <c r="H2865" t="str">
        <f>"אלתא מערכות בע""מ"</f>
        <v>אלתא מערכות בע"מ</v>
      </c>
      <c r="I2865" t="str">
        <f>"רחמים זרוק"</f>
        <v>רחמים זרוק</v>
      </c>
      <c r="J2865" t="str">
        <f>"OP-AR03869"</f>
        <v>OP-AR03869</v>
      </c>
      <c r="K2865" s="1" t="str">
        <f>"1029P347-001     WP047 - POWER 48VDC CHARGER TO PDB"</f>
        <v>1029P347-001     WP047 - POWER 48VDC CHARGER TO PDB</v>
      </c>
      <c r="L2865">
        <v>2</v>
      </c>
      <c r="M2865" t="str">
        <f>"PR23000725"</f>
        <v>PR23000725</v>
      </c>
      <c r="N2865" t="str">
        <f>"E000403309"</f>
        <v>E000403309</v>
      </c>
      <c r="O2865">
        <v>529.19000000000005</v>
      </c>
      <c r="P2865" t="str">
        <f>"$"</f>
        <v>$</v>
      </c>
      <c r="Q2865" t="str">
        <f>"117"</f>
        <v>117</v>
      </c>
      <c r="R2865" t="str">
        <f>"רתמות"</f>
        <v>רתמות</v>
      </c>
      <c r="S2865" t="str">
        <f>"040"</f>
        <v>040</v>
      </c>
      <c r="T2865" t="str">
        <f>"עמר ליגל"</f>
        <v>עמר ליגל</v>
      </c>
      <c r="U2865">
        <v>0</v>
      </c>
      <c r="V2865">
        <v>0</v>
      </c>
      <c r="W2865">
        <v>529.19000000000005</v>
      </c>
      <c r="X2865" s="2">
        <v>1058.3800000000001</v>
      </c>
      <c r="AA2865">
        <v>2</v>
      </c>
      <c r="AC2865">
        <v>0</v>
      </c>
      <c r="AE2865">
        <v>0</v>
      </c>
      <c r="AF2865">
        <v>0</v>
      </c>
      <c r="AG2865" s="2">
        <v>2034.74</v>
      </c>
      <c r="AH2865">
        <v>0</v>
      </c>
      <c r="AI2865" s="2">
        <v>4069.47</v>
      </c>
      <c r="AJ2865" s="2">
        <v>1058.3800000000001</v>
      </c>
      <c r="AK2865" s="2">
        <v>1058.3800000000001</v>
      </c>
      <c r="AL2865" t="str">
        <f>"$"</f>
        <v>$</v>
      </c>
    </row>
    <row r="2866" spans="1:38" x14ac:dyDescent="0.3">
      <c r="A2866" t="str">
        <f>"SO23000441"</f>
        <v>SO23000441</v>
      </c>
      <c r="B2866" t="str">
        <f>"E000403309"</f>
        <v>E000403309</v>
      </c>
      <c r="C2866" t="str">
        <f>"טיוטא"</f>
        <v>טיוטא</v>
      </c>
      <c r="E2866" s="3">
        <v>45180</v>
      </c>
      <c r="F2866" s="3">
        <v>45332</v>
      </c>
      <c r="G2866" t="str">
        <f>"700065"</f>
        <v>700065</v>
      </c>
      <c r="H2866" t="str">
        <f>"אלתא מערכות בע""מ"</f>
        <v>אלתא מערכות בע"מ</v>
      </c>
      <c r="I2866" t="str">
        <f>"רחמים זרוק"</f>
        <v>רחמים זרוק</v>
      </c>
      <c r="J2866" t="str">
        <f>"OP-AR03870"</f>
        <v>OP-AR03870</v>
      </c>
      <c r="K2866" s="1" t="str">
        <f>"1029P349-001     WP049 - CONTROL 48VDC BATTERY TO CHARGER"</f>
        <v>1029P349-001     WP049 - CONTROL 48VDC BATTERY TO CHARGER</v>
      </c>
      <c r="L2866">
        <v>2</v>
      </c>
      <c r="M2866" t="str">
        <f>"PR23000725"</f>
        <v>PR23000725</v>
      </c>
      <c r="N2866" t="str">
        <f>"E000403309"</f>
        <v>E000403309</v>
      </c>
      <c r="O2866">
        <v>492.66</v>
      </c>
      <c r="P2866" t="str">
        <f>"$"</f>
        <v>$</v>
      </c>
      <c r="Q2866" t="str">
        <f>"117"</f>
        <v>117</v>
      </c>
      <c r="R2866" t="str">
        <f>"רתמות"</f>
        <v>רתמות</v>
      </c>
      <c r="S2866" t="str">
        <f>"040"</f>
        <v>040</v>
      </c>
      <c r="T2866" t="str">
        <f>"עמר ליגל"</f>
        <v>עמר ליגל</v>
      </c>
      <c r="U2866">
        <v>0</v>
      </c>
      <c r="V2866">
        <v>0</v>
      </c>
      <c r="W2866">
        <v>492.66</v>
      </c>
      <c r="X2866">
        <v>985.32</v>
      </c>
      <c r="AA2866">
        <v>2</v>
      </c>
      <c r="AC2866">
        <v>0</v>
      </c>
      <c r="AE2866">
        <v>0</v>
      </c>
      <c r="AF2866">
        <v>0</v>
      </c>
      <c r="AG2866" s="2">
        <v>1894.28</v>
      </c>
      <c r="AH2866">
        <v>0</v>
      </c>
      <c r="AI2866" s="2">
        <v>3788.56</v>
      </c>
      <c r="AJ2866">
        <v>985.32</v>
      </c>
      <c r="AK2866">
        <v>985.32</v>
      </c>
      <c r="AL2866" t="str">
        <f>"$"</f>
        <v>$</v>
      </c>
    </row>
    <row r="2867" spans="1:38" x14ac:dyDescent="0.3">
      <c r="A2867" t="str">
        <f>"SO23000441"</f>
        <v>SO23000441</v>
      </c>
      <c r="B2867" t="str">
        <f>"E000403309"</f>
        <v>E000403309</v>
      </c>
      <c r="C2867" t="str">
        <f>"טיוטא"</f>
        <v>טיוטא</v>
      </c>
      <c r="E2867" s="3">
        <v>45180</v>
      </c>
      <c r="F2867" s="3">
        <v>45332</v>
      </c>
      <c r="G2867" t="str">
        <f>"700065"</f>
        <v>700065</v>
      </c>
      <c r="H2867" t="str">
        <f>"אלתא מערכות בע""מ"</f>
        <v>אלתא מערכות בע"מ</v>
      </c>
      <c r="I2867" t="str">
        <f>"רחמים זרוק"</f>
        <v>רחמים זרוק</v>
      </c>
      <c r="J2867" t="str">
        <f>"OP-AR03870"</f>
        <v>OP-AR03870</v>
      </c>
      <c r="K2867" s="1" t="str">
        <f>"1029P349-001     WP049 - CONTROL 48VDC BATTERY TO CHARGER"</f>
        <v>1029P349-001     WP049 - CONTROL 48VDC BATTERY TO CHARGER</v>
      </c>
      <c r="L2867">
        <v>1</v>
      </c>
      <c r="M2867" t="str">
        <f>"PR23000725"</f>
        <v>PR23000725</v>
      </c>
      <c r="N2867" t="str">
        <f>"E000403309"</f>
        <v>E000403309</v>
      </c>
      <c r="O2867">
        <v>492.66</v>
      </c>
      <c r="P2867" t="str">
        <f>"$"</f>
        <v>$</v>
      </c>
      <c r="Q2867" t="str">
        <f>"117"</f>
        <v>117</v>
      </c>
      <c r="R2867" t="str">
        <f>"רתמות"</f>
        <v>רתמות</v>
      </c>
      <c r="S2867" t="str">
        <f>"040"</f>
        <v>040</v>
      </c>
      <c r="T2867" t="str">
        <f>"עמר ליגל"</f>
        <v>עמר ליגל</v>
      </c>
      <c r="U2867">
        <v>0</v>
      </c>
      <c r="V2867">
        <v>0</v>
      </c>
      <c r="W2867">
        <v>492.66</v>
      </c>
      <c r="X2867">
        <v>492.66</v>
      </c>
      <c r="AA2867">
        <v>1</v>
      </c>
      <c r="AC2867">
        <v>0</v>
      </c>
      <c r="AE2867">
        <v>0</v>
      </c>
      <c r="AF2867">
        <v>0</v>
      </c>
      <c r="AG2867" s="2">
        <v>1894.28</v>
      </c>
      <c r="AH2867">
        <v>0</v>
      </c>
      <c r="AI2867" s="2">
        <v>1894.28</v>
      </c>
      <c r="AJ2867">
        <v>492.66</v>
      </c>
      <c r="AK2867">
        <v>492.66</v>
      </c>
      <c r="AL2867" t="str">
        <f>"$"</f>
        <v>$</v>
      </c>
    </row>
    <row r="2868" spans="1:38" x14ac:dyDescent="0.3">
      <c r="A2868" t="str">
        <f>"SO23000441"</f>
        <v>SO23000441</v>
      </c>
      <c r="B2868" t="str">
        <f>"E000403309"</f>
        <v>E000403309</v>
      </c>
      <c r="C2868" t="str">
        <f>"טיוטא"</f>
        <v>טיוטא</v>
      </c>
      <c r="E2868" s="3">
        <v>45180</v>
      </c>
      <c r="F2868" s="3">
        <v>45332</v>
      </c>
      <c r="G2868" t="str">
        <f>"700065"</f>
        <v>700065</v>
      </c>
      <c r="H2868" t="str">
        <f>"אלתא מערכות בע""מ"</f>
        <v>אלתא מערכות בע"מ</v>
      </c>
      <c r="I2868" t="str">
        <f>"רחמים זרוק"</f>
        <v>רחמים זרוק</v>
      </c>
      <c r="J2868" t="str">
        <f>"OP-AR03872"</f>
        <v>OP-AR03872</v>
      </c>
      <c r="K2868" s="1" t="str">
        <f>"1029P359-002     WP059 - CONTROL PDB TO AFT.COMMAND"</f>
        <v>1029P359-002     WP059 - CONTROL PDB TO AFT.COMMAND</v>
      </c>
      <c r="L2868">
        <v>2</v>
      </c>
      <c r="M2868" t="str">
        <f>"PR23000725"</f>
        <v>PR23000725</v>
      </c>
      <c r="N2868" t="str">
        <f>"E000403309"</f>
        <v>E000403309</v>
      </c>
      <c r="O2868">
        <v>471.78</v>
      </c>
      <c r="P2868" t="str">
        <f>"$"</f>
        <v>$</v>
      </c>
      <c r="Q2868" t="str">
        <f>"117"</f>
        <v>117</v>
      </c>
      <c r="R2868" t="str">
        <f>"רתמות"</f>
        <v>רתמות</v>
      </c>
      <c r="S2868" t="str">
        <f>"040"</f>
        <v>040</v>
      </c>
      <c r="T2868" t="str">
        <f>"עמר ליגל"</f>
        <v>עמר ליגל</v>
      </c>
      <c r="U2868">
        <v>0</v>
      </c>
      <c r="V2868">
        <v>0</v>
      </c>
      <c r="W2868">
        <v>471.78</v>
      </c>
      <c r="X2868">
        <v>943.56</v>
      </c>
      <c r="AA2868">
        <v>2</v>
      </c>
      <c r="AC2868">
        <v>0</v>
      </c>
      <c r="AE2868">
        <v>0</v>
      </c>
      <c r="AF2868">
        <v>0</v>
      </c>
      <c r="AG2868" s="2">
        <v>1813.99</v>
      </c>
      <c r="AH2868">
        <v>0</v>
      </c>
      <c r="AI2868" s="2">
        <v>3627.99</v>
      </c>
      <c r="AJ2868">
        <v>943.56</v>
      </c>
      <c r="AK2868">
        <v>943.56</v>
      </c>
      <c r="AL2868" t="str">
        <f>"$"</f>
        <v>$</v>
      </c>
    </row>
    <row r="2869" spans="1:38" x14ac:dyDescent="0.3">
      <c r="A2869" t="str">
        <f>"SO23000441"</f>
        <v>SO23000441</v>
      </c>
      <c r="B2869" t="str">
        <f>"E000403309"</f>
        <v>E000403309</v>
      </c>
      <c r="C2869" t="str">
        <f>"טיוטא"</f>
        <v>טיוטא</v>
      </c>
      <c r="E2869" s="3">
        <v>45180</v>
      </c>
      <c r="F2869" s="3">
        <v>45332</v>
      </c>
      <c r="G2869" t="str">
        <f>"700065"</f>
        <v>700065</v>
      </c>
      <c r="H2869" t="str">
        <f>"אלתא מערכות בע""מ"</f>
        <v>אלתא מערכות בע"מ</v>
      </c>
      <c r="I2869" t="str">
        <f>"רחמים זרוק"</f>
        <v>רחמים זרוק</v>
      </c>
      <c r="J2869" t="str">
        <f>"OP-AR03873"</f>
        <v>OP-AR03873</v>
      </c>
      <c r="K2869" s="1" t="str">
        <f>"1029P362-002     WP062 - LEFT REAR POWER JACK-EXTENDER"</f>
        <v>1029P362-002     WP062 - LEFT REAR POWER JACK-EXTENDER</v>
      </c>
      <c r="L2869">
        <v>2</v>
      </c>
      <c r="M2869" t="str">
        <f>"PR23000725"</f>
        <v>PR23000725</v>
      </c>
      <c r="N2869" t="str">
        <f>"E000403309"</f>
        <v>E000403309</v>
      </c>
      <c r="O2869">
        <v>452.47</v>
      </c>
      <c r="P2869" t="str">
        <f>"$"</f>
        <v>$</v>
      </c>
      <c r="Q2869" t="str">
        <f>"117"</f>
        <v>117</v>
      </c>
      <c r="R2869" t="str">
        <f>"רתמות"</f>
        <v>רתמות</v>
      </c>
      <c r="S2869" t="str">
        <f>"040"</f>
        <v>040</v>
      </c>
      <c r="T2869" t="str">
        <f>"עמר ליגל"</f>
        <v>עמר ליגל</v>
      </c>
      <c r="U2869">
        <v>0</v>
      </c>
      <c r="V2869">
        <v>0</v>
      </c>
      <c r="W2869">
        <v>452.47</v>
      </c>
      <c r="X2869">
        <v>904.94</v>
      </c>
      <c r="AA2869">
        <v>2</v>
      </c>
      <c r="AC2869">
        <v>0</v>
      </c>
      <c r="AE2869">
        <v>0</v>
      </c>
      <c r="AF2869">
        <v>0</v>
      </c>
      <c r="AG2869" s="2">
        <v>1739.75</v>
      </c>
      <c r="AH2869">
        <v>0</v>
      </c>
      <c r="AI2869" s="2">
        <v>3479.49</v>
      </c>
      <c r="AJ2869">
        <v>904.94</v>
      </c>
      <c r="AK2869">
        <v>904.94</v>
      </c>
      <c r="AL2869" t="str">
        <f>"$"</f>
        <v>$</v>
      </c>
    </row>
    <row r="2870" spans="1:38" x14ac:dyDescent="0.3">
      <c r="A2870" t="str">
        <f>"SO23000441"</f>
        <v>SO23000441</v>
      </c>
      <c r="B2870" t="str">
        <f>"E000403309"</f>
        <v>E000403309</v>
      </c>
      <c r="C2870" t="str">
        <f>"טיוטא"</f>
        <v>טיוטא</v>
      </c>
      <c r="E2870" s="3">
        <v>45180</v>
      </c>
      <c r="F2870" s="3">
        <v>45332</v>
      </c>
      <c r="G2870" t="str">
        <f>"700065"</f>
        <v>700065</v>
      </c>
      <c r="H2870" t="str">
        <f>"אלתא מערכות בע""מ"</f>
        <v>אלתא מערכות בע"מ</v>
      </c>
      <c r="I2870" t="str">
        <f>"רחמים זרוק"</f>
        <v>רחמים זרוק</v>
      </c>
      <c r="J2870" t="str">
        <f>"OP-AR03874"</f>
        <v>OP-AR03874</v>
      </c>
      <c r="K2870" s="1" t="str">
        <f>"1029P365-002     WP065 - RIGHT FRONT POWER JACK-EXTENDER"</f>
        <v>1029P365-002     WP065 - RIGHT FRONT POWER JACK-EXTENDER</v>
      </c>
      <c r="L2870">
        <v>2</v>
      </c>
      <c r="M2870" t="str">
        <f>"PR23000725"</f>
        <v>PR23000725</v>
      </c>
      <c r="N2870" t="str">
        <f>"E000403309"</f>
        <v>E000403309</v>
      </c>
      <c r="O2870">
        <v>623.13</v>
      </c>
      <c r="P2870" t="str">
        <f>"$"</f>
        <v>$</v>
      </c>
      <c r="Q2870" t="str">
        <f>"117"</f>
        <v>117</v>
      </c>
      <c r="R2870" t="str">
        <f>"רתמות"</f>
        <v>רתמות</v>
      </c>
      <c r="S2870" t="str">
        <f>"040"</f>
        <v>040</v>
      </c>
      <c r="T2870" t="str">
        <f>"עמר ליגל"</f>
        <v>עמר ליגל</v>
      </c>
      <c r="U2870">
        <v>0</v>
      </c>
      <c r="V2870">
        <v>0</v>
      </c>
      <c r="W2870">
        <v>623.13</v>
      </c>
      <c r="X2870" s="2">
        <v>1246.26</v>
      </c>
      <c r="AA2870">
        <v>2</v>
      </c>
      <c r="AC2870">
        <v>0</v>
      </c>
      <c r="AE2870">
        <v>0</v>
      </c>
      <c r="AF2870">
        <v>0</v>
      </c>
      <c r="AG2870" s="2">
        <v>2395.9299999999998</v>
      </c>
      <c r="AH2870">
        <v>0</v>
      </c>
      <c r="AI2870" s="2">
        <v>4791.87</v>
      </c>
      <c r="AJ2870" s="2">
        <v>1246.26</v>
      </c>
      <c r="AK2870" s="2">
        <v>1246.26</v>
      </c>
      <c r="AL2870" t="str">
        <f>"$"</f>
        <v>$</v>
      </c>
    </row>
    <row r="2871" spans="1:38" x14ac:dyDescent="0.3">
      <c r="A2871" t="str">
        <f>"SO23000441"</f>
        <v>SO23000441</v>
      </c>
      <c r="B2871" t="str">
        <f>"E000403309"</f>
        <v>E000403309</v>
      </c>
      <c r="C2871" t="str">
        <f>"טיוטא"</f>
        <v>טיוטא</v>
      </c>
      <c r="E2871" s="3">
        <v>45180</v>
      </c>
      <c r="F2871" s="3">
        <v>45332</v>
      </c>
      <c r="G2871" t="str">
        <f>"700065"</f>
        <v>700065</v>
      </c>
      <c r="H2871" t="str">
        <f>"אלתא מערכות בע""מ"</f>
        <v>אלתא מערכות בע"מ</v>
      </c>
      <c r="I2871" t="str">
        <f>"רחמים זרוק"</f>
        <v>רחמים זרוק</v>
      </c>
      <c r="J2871" t="str">
        <f>"OP-AR03874"</f>
        <v>OP-AR03874</v>
      </c>
      <c r="K2871" s="1" t="str">
        <f>"1029P365-002     WP065 - RIGHT FRONT POWER JACK-EXTENDER"</f>
        <v>1029P365-002     WP065 - RIGHT FRONT POWER JACK-EXTENDER</v>
      </c>
      <c r="L2871">
        <v>1</v>
      </c>
      <c r="M2871" t="str">
        <f>"PR23000725"</f>
        <v>PR23000725</v>
      </c>
      <c r="N2871" t="str">
        <f>"E000403309"</f>
        <v>E000403309</v>
      </c>
      <c r="O2871">
        <v>623.13</v>
      </c>
      <c r="P2871" t="str">
        <f>"$"</f>
        <v>$</v>
      </c>
      <c r="Q2871" t="str">
        <f>"117"</f>
        <v>117</v>
      </c>
      <c r="R2871" t="str">
        <f>"רתמות"</f>
        <v>רתמות</v>
      </c>
      <c r="S2871" t="str">
        <f>"040"</f>
        <v>040</v>
      </c>
      <c r="T2871" t="str">
        <f>"עמר ליגל"</f>
        <v>עמר ליגל</v>
      </c>
      <c r="U2871">
        <v>0</v>
      </c>
      <c r="V2871">
        <v>0</v>
      </c>
      <c r="W2871">
        <v>623.13</v>
      </c>
      <c r="X2871">
        <v>623.13</v>
      </c>
      <c r="AA2871">
        <v>1</v>
      </c>
      <c r="AC2871">
        <v>0</v>
      </c>
      <c r="AE2871">
        <v>0</v>
      </c>
      <c r="AF2871">
        <v>0</v>
      </c>
      <c r="AG2871" s="2">
        <v>2395.9299999999998</v>
      </c>
      <c r="AH2871">
        <v>0</v>
      </c>
      <c r="AI2871" s="2">
        <v>2395.9299999999998</v>
      </c>
      <c r="AJ2871">
        <v>623.13</v>
      </c>
      <c r="AK2871">
        <v>623.13</v>
      </c>
      <c r="AL2871" t="str">
        <f>"$"</f>
        <v>$</v>
      </c>
    </row>
    <row r="2872" spans="1:38" x14ac:dyDescent="0.3">
      <c r="A2872" t="str">
        <f>"SO23000441"</f>
        <v>SO23000441</v>
      </c>
      <c r="B2872" t="str">
        <f>"E000403309"</f>
        <v>E000403309</v>
      </c>
      <c r="C2872" t="str">
        <f>"טיוטא"</f>
        <v>טיוטא</v>
      </c>
      <c r="E2872" s="3">
        <v>45180</v>
      </c>
      <c r="F2872" s="3">
        <v>45332</v>
      </c>
      <c r="G2872" t="str">
        <f>"700065"</f>
        <v>700065</v>
      </c>
      <c r="H2872" t="str">
        <f>"אלתא מערכות בע""מ"</f>
        <v>אלתא מערכות בע"מ</v>
      </c>
      <c r="I2872" t="str">
        <f>"רחמים זרוק"</f>
        <v>רחמים זרוק</v>
      </c>
      <c r="J2872" t="str">
        <f>"OP-AR03876"</f>
        <v>OP-AR03876</v>
      </c>
      <c r="K2872" s="1" t="str">
        <f>"1029P366-002     WP066 - LEFT FRONT POWER JACK-EXTENDER"</f>
        <v>1029P366-002     WP066 - LEFT FRONT POWER JACK-EXTENDER</v>
      </c>
      <c r="L2872">
        <v>2</v>
      </c>
      <c r="M2872" t="str">
        <f>"PR23000725"</f>
        <v>PR23000725</v>
      </c>
      <c r="N2872" t="str">
        <f>"E000403309"</f>
        <v>E000403309</v>
      </c>
      <c r="O2872">
        <v>582.94000000000005</v>
      </c>
      <c r="P2872" t="str">
        <f>"$"</f>
        <v>$</v>
      </c>
      <c r="Q2872" t="str">
        <f>"117"</f>
        <v>117</v>
      </c>
      <c r="R2872" t="str">
        <f>"רתמות"</f>
        <v>רתמות</v>
      </c>
      <c r="S2872" t="str">
        <f>"040"</f>
        <v>040</v>
      </c>
      <c r="T2872" t="str">
        <f>"עמר ליגל"</f>
        <v>עמר ליגל</v>
      </c>
      <c r="U2872">
        <v>0</v>
      </c>
      <c r="V2872">
        <v>0</v>
      </c>
      <c r="W2872">
        <v>582.94000000000005</v>
      </c>
      <c r="X2872" s="2">
        <v>1165.8800000000001</v>
      </c>
      <c r="AA2872">
        <v>2</v>
      </c>
      <c r="AC2872">
        <v>0</v>
      </c>
      <c r="AE2872">
        <v>0</v>
      </c>
      <c r="AF2872">
        <v>0</v>
      </c>
      <c r="AG2872" s="2">
        <v>2241.4</v>
      </c>
      <c r="AH2872">
        <v>0</v>
      </c>
      <c r="AI2872" s="2">
        <v>4482.8100000000004</v>
      </c>
      <c r="AJ2872" s="2">
        <v>1165.8800000000001</v>
      </c>
      <c r="AK2872" s="2">
        <v>1165.8800000000001</v>
      </c>
      <c r="AL2872" t="str">
        <f>"$"</f>
        <v>$</v>
      </c>
    </row>
    <row r="2873" spans="1:38" x14ac:dyDescent="0.3">
      <c r="A2873" t="str">
        <f>"SO23000441"</f>
        <v>SO23000441</v>
      </c>
      <c r="B2873" t="str">
        <f>"E000403309"</f>
        <v>E000403309</v>
      </c>
      <c r="C2873" t="str">
        <f>"טיוטא"</f>
        <v>טיוטא</v>
      </c>
      <c r="E2873" s="3">
        <v>45180</v>
      </c>
      <c r="F2873" s="3">
        <v>45332</v>
      </c>
      <c r="G2873" t="str">
        <f>"700065"</f>
        <v>700065</v>
      </c>
      <c r="H2873" t="str">
        <f>"אלתא מערכות בע""מ"</f>
        <v>אלתא מערכות בע"מ</v>
      </c>
      <c r="I2873" t="str">
        <f>"רחמים זרוק"</f>
        <v>רחמים זרוק</v>
      </c>
      <c r="J2873" t="str">
        <f>"OP-AR02138"</f>
        <v>OP-AR02138</v>
      </c>
      <c r="K2873" s="1" t="str">
        <f>"1036U412-001/-   WP412 - POWER AND CONTROL PEDES"</f>
        <v>1036U412-001/-   WP412 - POWER AND CONTROL PEDES</v>
      </c>
      <c r="L2873">
        <v>2</v>
      </c>
      <c r="M2873" t="str">
        <f>"PR23000725"</f>
        <v>PR23000725</v>
      </c>
      <c r="N2873" t="str">
        <f>"E000403309"</f>
        <v>E000403309</v>
      </c>
      <c r="O2873">
        <v>388.05</v>
      </c>
      <c r="P2873" t="str">
        <f>"$"</f>
        <v>$</v>
      </c>
      <c r="Q2873" t="str">
        <f>"117"</f>
        <v>117</v>
      </c>
      <c r="R2873" t="str">
        <f>"רתמות"</f>
        <v>רתמות</v>
      </c>
      <c r="S2873" t="str">
        <f>"040"</f>
        <v>040</v>
      </c>
      <c r="T2873" t="str">
        <f>"עמר ליגל"</f>
        <v>עמר ליגל</v>
      </c>
      <c r="U2873">
        <v>0</v>
      </c>
      <c r="V2873">
        <v>0</v>
      </c>
      <c r="W2873">
        <v>388.05</v>
      </c>
      <c r="X2873">
        <v>776.1</v>
      </c>
      <c r="AA2873">
        <v>2</v>
      </c>
      <c r="AC2873">
        <v>0</v>
      </c>
      <c r="AE2873">
        <v>0</v>
      </c>
      <c r="AF2873">
        <v>0</v>
      </c>
      <c r="AG2873" s="2">
        <v>1492.05</v>
      </c>
      <c r="AH2873">
        <v>0</v>
      </c>
      <c r="AI2873" s="2">
        <v>2984.1</v>
      </c>
      <c r="AJ2873">
        <v>776.1</v>
      </c>
      <c r="AK2873">
        <v>776.1</v>
      </c>
      <c r="AL2873" t="str">
        <f>"$"</f>
        <v>$</v>
      </c>
    </row>
    <row r="2874" spans="1:38" x14ac:dyDescent="0.3">
      <c r="A2874" t="str">
        <f>"SO23000441"</f>
        <v>SO23000441</v>
      </c>
      <c r="B2874" t="str">
        <f>"E000403309"</f>
        <v>E000403309</v>
      </c>
      <c r="C2874" t="str">
        <f>"טיוטא"</f>
        <v>טיוטא</v>
      </c>
      <c r="E2874" s="3">
        <v>45180</v>
      </c>
      <c r="F2874" s="3">
        <v>45332</v>
      </c>
      <c r="G2874" t="str">
        <f>"700065"</f>
        <v>700065</v>
      </c>
      <c r="H2874" t="str">
        <f>"אלתא מערכות בע""מ"</f>
        <v>אלתא מערכות בע"מ</v>
      </c>
      <c r="I2874" t="str">
        <f>"רחמים זרוק"</f>
        <v>רחמים זרוק</v>
      </c>
      <c r="J2874" t="str">
        <f>"OP-AR03352"</f>
        <v>OP-AR03352</v>
      </c>
      <c r="K2874" s="1" t="str">
        <f>"1036U472-001    WP472 - PYLON RIGHT SW2"</f>
        <v>1036U472-001    WP472 - PYLON RIGHT SW2</v>
      </c>
      <c r="L2874">
        <v>2</v>
      </c>
      <c r="M2874" t="str">
        <f>"PR23000725"</f>
        <v>PR23000725</v>
      </c>
      <c r="N2874" t="str">
        <f>"E000403309"</f>
        <v>E000403309</v>
      </c>
      <c r="O2874">
        <v>524.12</v>
      </c>
      <c r="P2874" t="str">
        <f>"$"</f>
        <v>$</v>
      </c>
      <c r="Q2874" t="str">
        <f>"117"</f>
        <v>117</v>
      </c>
      <c r="R2874" t="str">
        <f>"רתמות"</f>
        <v>רתמות</v>
      </c>
      <c r="S2874" t="str">
        <f>"040"</f>
        <v>040</v>
      </c>
      <c r="T2874" t="str">
        <f>"עמר ליגל"</f>
        <v>עמר ליגל</v>
      </c>
      <c r="U2874">
        <v>0</v>
      </c>
      <c r="V2874">
        <v>0</v>
      </c>
      <c r="W2874">
        <v>524.12</v>
      </c>
      <c r="X2874" s="2">
        <v>1048.24</v>
      </c>
      <c r="AA2874">
        <v>2</v>
      </c>
      <c r="AC2874">
        <v>0</v>
      </c>
      <c r="AE2874">
        <v>0</v>
      </c>
      <c r="AF2874">
        <v>0</v>
      </c>
      <c r="AG2874" s="2">
        <v>2015.24</v>
      </c>
      <c r="AH2874">
        <v>0</v>
      </c>
      <c r="AI2874" s="2">
        <v>4030.48</v>
      </c>
      <c r="AJ2874" s="2">
        <v>1048.24</v>
      </c>
      <c r="AK2874" s="2">
        <v>1048.24</v>
      </c>
      <c r="AL2874" t="str">
        <f>"$"</f>
        <v>$</v>
      </c>
    </row>
    <row r="2875" spans="1:38" x14ac:dyDescent="0.3">
      <c r="A2875" t="str">
        <f>"SO23000441"</f>
        <v>SO23000441</v>
      </c>
      <c r="B2875" t="str">
        <f>"E000403309"</f>
        <v>E000403309</v>
      </c>
      <c r="C2875" t="str">
        <f>"טיוטא"</f>
        <v>טיוטא</v>
      </c>
      <c r="E2875" s="3">
        <v>45180</v>
      </c>
      <c r="F2875" s="3">
        <v>45332</v>
      </c>
      <c r="G2875" t="str">
        <f>"700065"</f>
        <v>700065</v>
      </c>
      <c r="H2875" t="str">
        <f>"אלתא מערכות בע""מ"</f>
        <v>אלתא מערכות בע"מ</v>
      </c>
      <c r="I2875" t="str">
        <f>"רחמים זרוק"</f>
        <v>רחמים זרוק</v>
      </c>
      <c r="J2875" t="str">
        <f>"OP-AR01743"</f>
        <v>OP-AR01743</v>
      </c>
      <c r="K2875" s="1" t="str">
        <f>"1039V311-001 WP311- POWER 400VAC PEDESTAL TO PED"</f>
        <v>1039V311-001 WP311- POWER 400VAC PEDESTAL TO PED</v>
      </c>
      <c r="L2875">
        <v>2</v>
      </c>
      <c r="M2875" t="str">
        <f>"PR23000725"</f>
        <v>PR23000725</v>
      </c>
      <c r="N2875" t="str">
        <f>"E000403309"</f>
        <v>E000403309</v>
      </c>
      <c r="O2875">
        <v>653.37</v>
      </c>
      <c r="P2875" t="str">
        <f>"$"</f>
        <v>$</v>
      </c>
      <c r="Q2875" t="str">
        <f>"117"</f>
        <v>117</v>
      </c>
      <c r="R2875" t="str">
        <f>"רתמות"</f>
        <v>רתמות</v>
      </c>
      <c r="S2875" t="str">
        <f>"040"</f>
        <v>040</v>
      </c>
      <c r="T2875" t="str">
        <f>"עמר ליגל"</f>
        <v>עמר ליגל</v>
      </c>
      <c r="U2875">
        <v>0</v>
      </c>
      <c r="V2875">
        <v>0</v>
      </c>
      <c r="W2875">
        <v>653.37</v>
      </c>
      <c r="X2875" s="2">
        <v>1306.74</v>
      </c>
      <c r="AA2875">
        <v>2</v>
      </c>
      <c r="AC2875">
        <v>0</v>
      </c>
      <c r="AE2875">
        <v>0</v>
      </c>
      <c r="AF2875">
        <v>0</v>
      </c>
      <c r="AG2875" s="2">
        <v>2512.21</v>
      </c>
      <c r="AH2875">
        <v>0</v>
      </c>
      <c r="AI2875" s="2">
        <v>5024.42</v>
      </c>
      <c r="AJ2875" s="2">
        <v>1306.74</v>
      </c>
      <c r="AK2875" s="2">
        <v>1306.74</v>
      </c>
      <c r="AL2875" t="str">
        <f>"$"</f>
        <v>$</v>
      </c>
    </row>
    <row r="2876" spans="1:38" x14ac:dyDescent="0.3">
      <c r="A2876" t="str">
        <f>"SO23000441"</f>
        <v>SO23000441</v>
      </c>
      <c r="B2876" t="str">
        <f>"E000403309"</f>
        <v>E000403309</v>
      </c>
      <c r="C2876" t="str">
        <f>"טיוטא"</f>
        <v>טיוטא</v>
      </c>
      <c r="E2876" s="3">
        <v>45180</v>
      </c>
      <c r="F2876" s="3">
        <v>45332</v>
      </c>
      <c r="G2876" t="str">
        <f>"700065"</f>
        <v>700065</v>
      </c>
      <c r="H2876" t="str">
        <f>"אלתא מערכות בע""מ"</f>
        <v>אלתא מערכות בע"מ</v>
      </c>
      <c r="I2876" t="str">
        <f>"רחמים זרוק"</f>
        <v>רחמים זרוק</v>
      </c>
      <c r="J2876" t="str">
        <f>"OP-AR03871"</f>
        <v>OP-AR03871</v>
      </c>
      <c r="K2876" s="1" t="str">
        <f>"1039V316-002 WP316 - POWER PEDESTAL TO PEDPNL (H"</f>
        <v>1039V316-002 WP316 - POWER PEDESTAL TO PEDPNL (H</v>
      </c>
      <c r="L2876">
        <v>2</v>
      </c>
      <c r="M2876" t="str">
        <f>"PR23000725"</f>
        <v>PR23000725</v>
      </c>
      <c r="N2876" t="str">
        <f>"E000403309"</f>
        <v>E000403309</v>
      </c>
      <c r="O2876">
        <v>875.54</v>
      </c>
      <c r="P2876" t="str">
        <f>"$"</f>
        <v>$</v>
      </c>
      <c r="Q2876" t="str">
        <f>"117"</f>
        <v>117</v>
      </c>
      <c r="R2876" t="str">
        <f>"רתמות"</f>
        <v>רתמות</v>
      </c>
      <c r="S2876" t="str">
        <f>"040"</f>
        <v>040</v>
      </c>
      <c r="T2876" t="str">
        <f>"עמר ליגל"</f>
        <v>עמר ליגל</v>
      </c>
      <c r="U2876">
        <v>0</v>
      </c>
      <c r="V2876">
        <v>0</v>
      </c>
      <c r="W2876">
        <v>875.54</v>
      </c>
      <c r="X2876" s="2">
        <v>1751.08</v>
      </c>
      <c r="AA2876">
        <v>2</v>
      </c>
      <c r="AC2876">
        <v>0</v>
      </c>
      <c r="AE2876">
        <v>0</v>
      </c>
      <c r="AF2876">
        <v>0</v>
      </c>
      <c r="AG2876" s="2">
        <v>3366.45</v>
      </c>
      <c r="AH2876">
        <v>0</v>
      </c>
      <c r="AI2876" s="2">
        <v>6732.9</v>
      </c>
      <c r="AJ2876" s="2">
        <v>1751.08</v>
      </c>
      <c r="AK2876" s="2">
        <v>1751.08</v>
      </c>
      <c r="AL2876" t="str">
        <f>"$"</f>
        <v>$</v>
      </c>
    </row>
    <row r="2877" spans="1:38" x14ac:dyDescent="0.3">
      <c r="A2877" t="str">
        <f>"SO23000441"</f>
        <v>SO23000441</v>
      </c>
      <c r="B2877" t="str">
        <f>"E000403309"</f>
        <v>E000403309</v>
      </c>
      <c r="C2877" t="str">
        <f>"טיוטא"</f>
        <v>טיוטא</v>
      </c>
      <c r="E2877" s="3">
        <v>45180</v>
      </c>
      <c r="F2877" s="3">
        <v>45332</v>
      </c>
      <c r="G2877" t="str">
        <f>"700065"</f>
        <v>700065</v>
      </c>
      <c r="H2877" t="str">
        <f>"אלתא מערכות בע""מ"</f>
        <v>אלתא מערכות בע"מ</v>
      </c>
      <c r="I2877" t="str">
        <f>"רחמים זרוק"</f>
        <v>רחמים זרוק</v>
      </c>
      <c r="J2877" t="str">
        <f>"OP-AR01742"</f>
        <v>OP-AR01742</v>
      </c>
      <c r="K2877" s="1" t="str">
        <f>"1039V318-001 WP318 - CONTROL DATA MICRO SWITCH S"</f>
        <v>1039V318-001 WP318 - CONTROL DATA MICRO SWITCH S</v>
      </c>
      <c r="L2877">
        <v>2</v>
      </c>
      <c r="M2877" t="str">
        <f>"PR23000725"</f>
        <v>PR23000725</v>
      </c>
      <c r="N2877" t="str">
        <f>"E000403309"</f>
        <v>E000403309</v>
      </c>
      <c r="O2877">
        <v>570.51</v>
      </c>
      <c r="P2877" t="str">
        <f>"$"</f>
        <v>$</v>
      </c>
      <c r="Q2877" t="str">
        <f>"117"</f>
        <v>117</v>
      </c>
      <c r="R2877" t="str">
        <f>"רתמות"</f>
        <v>רתמות</v>
      </c>
      <c r="S2877" t="str">
        <f>"040"</f>
        <v>040</v>
      </c>
      <c r="T2877" t="str">
        <f>"עמר ליגל"</f>
        <v>עמר ליגל</v>
      </c>
      <c r="U2877">
        <v>0</v>
      </c>
      <c r="V2877">
        <v>0</v>
      </c>
      <c r="W2877">
        <v>570.51</v>
      </c>
      <c r="X2877" s="2">
        <v>1141.02</v>
      </c>
      <c r="AA2877">
        <v>2</v>
      </c>
      <c r="AC2877">
        <v>0</v>
      </c>
      <c r="AE2877">
        <v>0</v>
      </c>
      <c r="AF2877">
        <v>0</v>
      </c>
      <c r="AG2877" s="2">
        <v>2193.61</v>
      </c>
      <c r="AH2877">
        <v>0</v>
      </c>
      <c r="AI2877" s="2">
        <v>4387.22</v>
      </c>
      <c r="AJ2877" s="2">
        <v>1141.02</v>
      </c>
      <c r="AK2877" s="2">
        <v>1141.02</v>
      </c>
      <c r="AL2877" t="str">
        <f>"$"</f>
        <v>$</v>
      </c>
    </row>
    <row r="2878" spans="1:38" x14ac:dyDescent="0.3">
      <c r="A2878" t="str">
        <f>"SO23000441"</f>
        <v>SO23000441</v>
      </c>
      <c r="B2878" t="str">
        <f>"E000403309"</f>
        <v>E000403309</v>
      </c>
      <c r="C2878" t="str">
        <f>"טיוטא"</f>
        <v>טיוטא</v>
      </c>
      <c r="E2878" s="3">
        <v>45180</v>
      </c>
      <c r="F2878" s="3">
        <v>45332</v>
      </c>
      <c r="G2878" t="str">
        <f>"700065"</f>
        <v>700065</v>
      </c>
      <c r="H2878" t="str">
        <f>"אלתא מערכות בע""מ"</f>
        <v>אלתא מערכות בע"מ</v>
      </c>
      <c r="I2878" t="str">
        <f>"רחמים זרוק"</f>
        <v>רחמים זרוק</v>
      </c>
      <c r="J2878" t="str">
        <f>"OP-AR01741"</f>
        <v>OP-AR01741</v>
      </c>
      <c r="K2878" s="1" t="str">
        <f>"1039V321-001 WP321 - POWER 400VAC PDB TO ROTARY"</f>
        <v>1039V321-001 WP321 - POWER 400VAC PDB TO ROTARY</v>
      </c>
      <c r="L2878">
        <v>2</v>
      </c>
      <c r="M2878" t="str">
        <f>"PR23000725"</f>
        <v>PR23000725</v>
      </c>
      <c r="N2878" t="str">
        <f>"E000403309"</f>
        <v>E000403309</v>
      </c>
      <c r="O2878">
        <v>881.98</v>
      </c>
      <c r="P2878" t="str">
        <f>"$"</f>
        <v>$</v>
      </c>
      <c r="Q2878" t="str">
        <f>"117"</f>
        <v>117</v>
      </c>
      <c r="R2878" t="str">
        <f>"רתמות"</f>
        <v>רתמות</v>
      </c>
      <c r="S2878" t="str">
        <f>"040"</f>
        <v>040</v>
      </c>
      <c r="T2878" t="str">
        <f>"עמר ליגל"</f>
        <v>עמר ליגל</v>
      </c>
      <c r="U2878">
        <v>0</v>
      </c>
      <c r="V2878">
        <v>0</v>
      </c>
      <c r="W2878">
        <v>881.98</v>
      </c>
      <c r="X2878" s="2">
        <v>1763.96</v>
      </c>
      <c r="AA2878">
        <v>2</v>
      </c>
      <c r="AC2878">
        <v>0</v>
      </c>
      <c r="AE2878">
        <v>0</v>
      </c>
      <c r="AF2878">
        <v>0</v>
      </c>
      <c r="AG2878" s="2">
        <v>3391.21</v>
      </c>
      <c r="AH2878">
        <v>0</v>
      </c>
      <c r="AI2878" s="2">
        <v>6782.43</v>
      </c>
      <c r="AJ2878" s="2">
        <v>1763.96</v>
      </c>
      <c r="AK2878" s="2">
        <v>1763.96</v>
      </c>
      <c r="AL2878" t="str">
        <f>"$"</f>
        <v>$</v>
      </c>
    </row>
    <row r="2879" spans="1:38" x14ac:dyDescent="0.3">
      <c r="A2879" t="str">
        <f>"SO23000441"</f>
        <v>SO23000441</v>
      </c>
      <c r="B2879" t="str">
        <f>"E000403309"</f>
        <v>E000403309</v>
      </c>
      <c r="C2879" t="str">
        <f>"טיוטא"</f>
        <v>טיוטא</v>
      </c>
      <c r="E2879" s="3">
        <v>45180</v>
      </c>
      <c r="F2879" s="3">
        <v>45332</v>
      </c>
      <c r="G2879" t="str">
        <f>"700065"</f>
        <v>700065</v>
      </c>
      <c r="H2879" t="str">
        <f>"אלתא מערכות בע""מ"</f>
        <v>אלתא מערכות בע"מ</v>
      </c>
      <c r="I2879" t="str">
        <f>"רחמים זרוק"</f>
        <v>רחמים זרוק</v>
      </c>
      <c r="J2879" t="str">
        <f>"OP-AR01740"</f>
        <v>OP-AR01740</v>
      </c>
      <c r="K2879" s="1" t="str">
        <f>"1039V322-001 WP322 - PWR. AND CON. PDB TO PEDES"</f>
        <v>1039V322-001 WP322 - PWR. AND CON. PDB TO PEDES</v>
      </c>
      <c r="L2879">
        <v>2</v>
      </c>
      <c r="M2879" t="str">
        <f>"PR23000725"</f>
        <v>PR23000725</v>
      </c>
      <c r="N2879" t="str">
        <f>"E000403309"</f>
        <v>E000403309</v>
      </c>
      <c r="O2879">
        <v>530.70000000000005</v>
      </c>
      <c r="P2879" t="str">
        <f>"$"</f>
        <v>$</v>
      </c>
      <c r="Q2879" t="str">
        <f>"117"</f>
        <v>117</v>
      </c>
      <c r="R2879" t="str">
        <f>"רתמות"</f>
        <v>רתמות</v>
      </c>
      <c r="S2879" t="str">
        <f>"040"</f>
        <v>040</v>
      </c>
      <c r="T2879" t="str">
        <f>"עמר ליגל"</f>
        <v>עמר ליגל</v>
      </c>
      <c r="U2879">
        <v>0</v>
      </c>
      <c r="V2879">
        <v>0</v>
      </c>
      <c r="W2879">
        <v>530.70000000000005</v>
      </c>
      <c r="X2879" s="2">
        <v>1061.4000000000001</v>
      </c>
      <c r="AA2879">
        <v>2</v>
      </c>
      <c r="AC2879">
        <v>0</v>
      </c>
      <c r="AE2879">
        <v>0</v>
      </c>
      <c r="AF2879">
        <v>0</v>
      </c>
      <c r="AG2879" s="2">
        <v>2040.54</v>
      </c>
      <c r="AH2879">
        <v>0</v>
      </c>
      <c r="AI2879" s="2">
        <v>4081.08</v>
      </c>
      <c r="AJ2879" s="2">
        <v>1061.4000000000001</v>
      </c>
      <c r="AK2879" s="2">
        <v>1061.4000000000001</v>
      </c>
      <c r="AL2879" t="str">
        <f>"$"</f>
        <v>$</v>
      </c>
    </row>
    <row r="2880" spans="1:38" x14ac:dyDescent="0.3">
      <c r="A2880" t="str">
        <f>"SO23000441"</f>
        <v>SO23000441</v>
      </c>
      <c r="B2880" t="str">
        <f>"E000403309"</f>
        <v>E000403309</v>
      </c>
      <c r="C2880" t="str">
        <f>"טיוטא"</f>
        <v>טיוטא</v>
      </c>
      <c r="E2880" s="3">
        <v>45180</v>
      </c>
      <c r="F2880" s="3">
        <v>45332</v>
      </c>
      <c r="G2880" t="str">
        <f>"700065"</f>
        <v>700065</v>
      </c>
      <c r="H2880" t="str">
        <f>"אלתא מערכות בע""מ"</f>
        <v>אלתא מערכות בע"מ</v>
      </c>
      <c r="I2880" t="str">
        <f>"רחמים זרוק"</f>
        <v>רחמים זרוק</v>
      </c>
      <c r="J2880" t="str">
        <f>"OP-AR01735"</f>
        <v>OP-AR01735</v>
      </c>
      <c r="K2880" s="1" t="str">
        <f>"1039V324-001 WP324 - POWER 320VDC PDB TO ROTARY"</f>
        <v>1039V324-001 WP324 - POWER 320VDC PDB TO ROTARY</v>
      </c>
      <c r="L2880">
        <v>2</v>
      </c>
      <c r="M2880" t="str">
        <f>"PR23000725"</f>
        <v>PR23000725</v>
      </c>
      <c r="N2880" t="str">
        <f>"E000403309"</f>
        <v>E000403309</v>
      </c>
      <c r="O2880" s="2">
        <v>1216.78</v>
      </c>
      <c r="P2880" t="str">
        <f>"$"</f>
        <v>$</v>
      </c>
      <c r="Q2880" t="str">
        <f>"117"</f>
        <v>117</v>
      </c>
      <c r="R2880" t="str">
        <f>"רתמות"</f>
        <v>רתמות</v>
      </c>
      <c r="S2880" t="str">
        <f>"040"</f>
        <v>040</v>
      </c>
      <c r="T2880" t="str">
        <f>"עמר ליגל"</f>
        <v>עמר ליגל</v>
      </c>
      <c r="U2880">
        <v>0</v>
      </c>
      <c r="V2880">
        <v>0</v>
      </c>
      <c r="W2880" s="2">
        <v>1216.78</v>
      </c>
      <c r="X2880" s="2">
        <v>2433.56</v>
      </c>
      <c r="AA2880">
        <v>2</v>
      </c>
      <c r="AC2880">
        <v>0</v>
      </c>
      <c r="AE2880">
        <v>0</v>
      </c>
      <c r="AF2880">
        <v>0</v>
      </c>
      <c r="AG2880" s="2">
        <v>4678.5200000000004</v>
      </c>
      <c r="AH2880">
        <v>0</v>
      </c>
      <c r="AI2880" s="2">
        <v>9357.0400000000009</v>
      </c>
      <c r="AJ2880" s="2">
        <v>2433.56</v>
      </c>
      <c r="AK2880" s="2">
        <v>2433.56</v>
      </c>
      <c r="AL2880" t="str">
        <f>"$"</f>
        <v>$</v>
      </c>
    </row>
    <row r="2881" spans="1:38" x14ac:dyDescent="0.3">
      <c r="A2881" t="str">
        <f>"SO23000441"</f>
        <v>SO23000441</v>
      </c>
      <c r="B2881" t="str">
        <f>"E000403309"</f>
        <v>E000403309</v>
      </c>
      <c r="C2881" t="str">
        <f>"טיוטא"</f>
        <v>טיוטא</v>
      </c>
      <c r="E2881" s="3">
        <v>45180</v>
      </c>
      <c r="F2881" s="3">
        <v>45332</v>
      </c>
      <c r="G2881" t="str">
        <f>"700065"</f>
        <v>700065</v>
      </c>
      <c r="H2881" t="str">
        <f>"אלתא מערכות בע""מ"</f>
        <v>אלתא מערכות בע"מ</v>
      </c>
      <c r="I2881" t="str">
        <f>"רחמים זרוק"</f>
        <v>רחמים זרוק</v>
      </c>
      <c r="J2881" t="str">
        <f>"OP-AR01734"</f>
        <v>OP-AR01734</v>
      </c>
      <c r="K2881" s="1" t="str">
        <f>"1039V325-001 WP325 - POWER 320VDC PDB TO ROTARY"</f>
        <v>1039V325-001 WP325 - POWER 320VDC PDB TO ROTARY</v>
      </c>
      <c r="L2881">
        <v>2</v>
      </c>
      <c r="M2881" t="str">
        <f>"PR23000725"</f>
        <v>PR23000725</v>
      </c>
      <c r="N2881" t="str">
        <f>"E000403309"</f>
        <v>E000403309</v>
      </c>
      <c r="O2881" s="2">
        <v>1222.43</v>
      </c>
      <c r="P2881" t="str">
        <f>"$"</f>
        <v>$</v>
      </c>
      <c r="Q2881" t="str">
        <f>"117"</f>
        <v>117</v>
      </c>
      <c r="R2881" t="str">
        <f>"רתמות"</f>
        <v>רתמות</v>
      </c>
      <c r="S2881" t="str">
        <f>"040"</f>
        <v>040</v>
      </c>
      <c r="T2881" t="str">
        <f>"עמר ליגל"</f>
        <v>עמר ליגל</v>
      </c>
      <c r="U2881">
        <v>0</v>
      </c>
      <c r="V2881">
        <v>0</v>
      </c>
      <c r="W2881" s="2">
        <v>1222.43</v>
      </c>
      <c r="X2881" s="2">
        <v>2444.86</v>
      </c>
      <c r="AA2881">
        <v>2</v>
      </c>
      <c r="AC2881">
        <v>0</v>
      </c>
      <c r="AE2881">
        <v>0</v>
      </c>
      <c r="AF2881">
        <v>0</v>
      </c>
      <c r="AG2881" s="2">
        <v>4700.24</v>
      </c>
      <c r="AH2881">
        <v>0</v>
      </c>
      <c r="AI2881" s="2">
        <v>9400.49</v>
      </c>
      <c r="AJ2881" s="2">
        <v>2444.86</v>
      </c>
      <c r="AK2881" s="2">
        <v>2444.86</v>
      </c>
      <c r="AL2881" t="str">
        <f>"$"</f>
        <v>$</v>
      </c>
    </row>
    <row r="2882" spans="1:38" x14ac:dyDescent="0.3">
      <c r="A2882" t="str">
        <f>"SO23000441"</f>
        <v>SO23000441</v>
      </c>
      <c r="B2882" t="str">
        <f>"E000403309"</f>
        <v>E000403309</v>
      </c>
      <c r="C2882" t="str">
        <f>"טיוטא"</f>
        <v>טיוטא</v>
      </c>
      <c r="E2882" s="3">
        <v>45180</v>
      </c>
      <c r="F2882" s="3">
        <v>45332</v>
      </c>
      <c r="G2882" t="str">
        <f>"700065"</f>
        <v>700065</v>
      </c>
      <c r="H2882" t="str">
        <f>"אלתא מערכות בע""מ"</f>
        <v>אלתא מערכות בע"מ</v>
      </c>
      <c r="I2882" t="str">
        <f>"רחמים זרוק"</f>
        <v>רחמים זרוק</v>
      </c>
      <c r="J2882" t="str">
        <f>"OP-AR01737"</f>
        <v>OP-AR01737</v>
      </c>
      <c r="K2882" s="1" t="str">
        <f>"1039V326-001 WP326 - POWER 320VDC PDB TO ROTARY"</f>
        <v>1039V326-001 WP326 - POWER 320VDC PDB TO ROTARY</v>
      </c>
      <c r="L2882">
        <v>2</v>
      </c>
      <c r="M2882" t="str">
        <f>"PR23000725"</f>
        <v>PR23000725</v>
      </c>
      <c r="N2882" t="str">
        <f>"E000403309"</f>
        <v>E000403309</v>
      </c>
      <c r="O2882" s="2">
        <v>1204.2</v>
      </c>
      <c r="P2882" t="str">
        <f>"$"</f>
        <v>$</v>
      </c>
      <c r="Q2882" t="str">
        <f>"117"</f>
        <v>117</v>
      </c>
      <c r="R2882" t="str">
        <f>"רתמות"</f>
        <v>רתמות</v>
      </c>
      <c r="S2882" t="str">
        <f>"040"</f>
        <v>040</v>
      </c>
      <c r="T2882" t="str">
        <f>"עמר ליגל"</f>
        <v>עמר ליגל</v>
      </c>
      <c r="U2882">
        <v>0</v>
      </c>
      <c r="V2882">
        <v>0</v>
      </c>
      <c r="W2882" s="2">
        <v>1204.2</v>
      </c>
      <c r="X2882" s="2">
        <v>2408.4</v>
      </c>
      <c r="AA2882">
        <v>2</v>
      </c>
      <c r="AC2882">
        <v>0</v>
      </c>
      <c r="AE2882">
        <v>0</v>
      </c>
      <c r="AF2882">
        <v>0</v>
      </c>
      <c r="AG2882" s="2">
        <v>4630.1499999999996</v>
      </c>
      <c r="AH2882">
        <v>0</v>
      </c>
      <c r="AI2882" s="2">
        <v>9260.2999999999993</v>
      </c>
      <c r="AJ2882" s="2">
        <v>2408.4</v>
      </c>
      <c r="AK2882" s="2">
        <v>2408.4</v>
      </c>
      <c r="AL2882" t="str">
        <f>"$"</f>
        <v>$</v>
      </c>
    </row>
    <row r="2883" spans="1:38" x14ac:dyDescent="0.3">
      <c r="A2883" t="str">
        <f>"SO23000441"</f>
        <v>SO23000441</v>
      </c>
      <c r="B2883" t="str">
        <f>"E000403309"</f>
        <v>E000403309</v>
      </c>
      <c r="C2883" t="str">
        <f>"טיוטא"</f>
        <v>טיוטא</v>
      </c>
      <c r="E2883" s="3">
        <v>45180</v>
      </c>
      <c r="F2883" s="3">
        <v>45332</v>
      </c>
      <c r="G2883" t="str">
        <f>"700065"</f>
        <v>700065</v>
      </c>
      <c r="H2883" t="str">
        <f>"אלתא מערכות בע""מ"</f>
        <v>אלתא מערכות בע"מ</v>
      </c>
      <c r="I2883" t="str">
        <f>"רחמים זרוק"</f>
        <v>רחמים זרוק</v>
      </c>
      <c r="J2883" t="str">
        <f>"OP-AR01736"</f>
        <v>OP-AR01736</v>
      </c>
      <c r="K2883" s="1" t="str">
        <f>"1039V358-001 WP358 - DATA AFT COMMAND TO LDE AND"</f>
        <v>1039V358-001 WP358 - DATA AFT COMMAND TO LDE AND</v>
      </c>
      <c r="L2883">
        <v>2</v>
      </c>
      <c r="M2883" t="str">
        <f>"PR23000725"</f>
        <v>PR23000725</v>
      </c>
      <c r="N2883" t="str">
        <f>"E000403309"</f>
        <v>E000403309</v>
      </c>
      <c r="O2883">
        <v>499.55</v>
      </c>
      <c r="P2883" t="str">
        <f>"$"</f>
        <v>$</v>
      </c>
      <c r="Q2883" t="str">
        <f>"117"</f>
        <v>117</v>
      </c>
      <c r="R2883" t="str">
        <f>"רתמות"</f>
        <v>רתמות</v>
      </c>
      <c r="S2883" t="str">
        <f>"040"</f>
        <v>040</v>
      </c>
      <c r="T2883" t="str">
        <f>"עמר ליגל"</f>
        <v>עמר ליגל</v>
      </c>
      <c r="U2883">
        <v>0</v>
      </c>
      <c r="V2883">
        <v>0</v>
      </c>
      <c r="W2883">
        <v>499.55</v>
      </c>
      <c r="X2883">
        <v>999.1</v>
      </c>
      <c r="AA2883">
        <v>2</v>
      </c>
      <c r="AC2883">
        <v>0</v>
      </c>
      <c r="AE2883">
        <v>0</v>
      </c>
      <c r="AF2883">
        <v>0</v>
      </c>
      <c r="AG2883" s="2">
        <v>1920.77</v>
      </c>
      <c r="AH2883">
        <v>0</v>
      </c>
      <c r="AI2883" s="2">
        <v>3841.54</v>
      </c>
      <c r="AJ2883">
        <v>999.1</v>
      </c>
      <c r="AK2883">
        <v>999.1</v>
      </c>
      <c r="AL2883" t="str">
        <f>"$"</f>
        <v>$</v>
      </c>
    </row>
    <row r="2884" spans="1:38" x14ac:dyDescent="0.3">
      <c r="A2884" t="str">
        <f>"SO23000441"</f>
        <v>SO23000441</v>
      </c>
      <c r="B2884" t="str">
        <f>"E000403309"</f>
        <v>E000403309</v>
      </c>
      <c r="C2884" t="str">
        <f>"טיוטא"</f>
        <v>טיוטא</v>
      </c>
      <c r="E2884" s="3">
        <v>45180</v>
      </c>
      <c r="F2884" s="3">
        <v>45332</v>
      </c>
      <c r="G2884" t="str">
        <f>"700065"</f>
        <v>700065</v>
      </c>
      <c r="H2884" t="str">
        <f>"אלתא מערכות בע""מ"</f>
        <v>אלתא מערכות בע"מ</v>
      </c>
      <c r="I2884" t="str">
        <f>"רחמים זרוק"</f>
        <v>רחמים זרוק</v>
      </c>
      <c r="J2884" t="str">
        <f>"OP-AR01773"</f>
        <v>OP-AR01773</v>
      </c>
      <c r="K2884" s="1" t="str">
        <f>"1039V363-001 WP363 - CONTROL LDE TO RIGHT REAR J"</f>
        <v>1039V363-001 WP363 - CONTROL LDE TO RIGHT REAR J</v>
      </c>
      <c r="L2884">
        <v>2</v>
      </c>
      <c r="M2884" t="str">
        <f>"PR23000725"</f>
        <v>PR23000725</v>
      </c>
      <c r="N2884" t="str">
        <f>"E000403309"</f>
        <v>E000403309</v>
      </c>
      <c r="O2884">
        <v>642.44000000000005</v>
      </c>
      <c r="P2884" t="str">
        <f>"$"</f>
        <v>$</v>
      </c>
      <c r="Q2884" t="str">
        <f>"117"</f>
        <v>117</v>
      </c>
      <c r="R2884" t="str">
        <f>"רתמות"</f>
        <v>רתמות</v>
      </c>
      <c r="S2884" t="str">
        <f>"040"</f>
        <v>040</v>
      </c>
      <c r="T2884" t="str">
        <f>"עמר ליגל"</f>
        <v>עמר ליגל</v>
      </c>
      <c r="U2884">
        <v>0</v>
      </c>
      <c r="V2884">
        <v>0</v>
      </c>
      <c r="W2884">
        <v>642.44000000000005</v>
      </c>
      <c r="X2884" s="2">
        <v>1284.8800000000001</v>
      </c>
      <c r="AA2884">
        <v>2</v>
      </c>
      <c r="AC2884">
        <v>0</v>
      </c>
      <c r="AE2884">
        <v>0</v>
      </c>
      <c r="AF2884">
        <v>0</v>
      </c>
      <c r="AG2884" s="2">
        <v>2470.1799999999998</v>
      </c>
      <c r="AH2884">
        <v>0</v>
      </c>
      <c r="AI2884" s="2">
        <v>4940.3599999999997</v>
      </c>
      <c r="AJ2884" s="2">
        <v>1284.8800000000001</v>
      </c>
      <c r="AK2884" s="2">
        <v>1284.8800000000001</v>
      </c>
      <c r="AL2884" t="str">
        <f>"$"</f>
        <v>$</v>
      </c>
    </row>
    <row r="2885" spans="1:38" x14ac:dyDescent="0.3">
      <c r="A2885" t="str">
        <f>"SO23000441"</f>
        <v>SO23000441</v>
      </c>
      <c r="B2885" t="str">
        <f>"E000403309"</f>
        <v>E000403309</v>
      </c>
      <c r="C2885" t="str">
        <f>"טיוטא"</f>
        <v>טיוטא</v>
      </c>
      <c r="E2885" s="3">
        <v>45180</v>
      </c>
      <c r="F2885" s="3">
        <v>45332</v>
      </c>
      <c r="G2885" t="str">
        <f>"700065"</f>
        <v>700065</v>
      </c>
      <c r="H2885" t="str">
        <f>"אלתא מערכות בע""מ"</f>
        <v>אלתא מערכות בע"מ</v>
      </c>
      <c r="I2885" t="str">
        <f>"רחמים זרוק"</f>
        <v>רחמים זרוק</v>
      </c>
      <c r="J2885" t="str">
        <f>"OP-AR01759"</f>
        <v>OP-AR01759</v>
      </c>
      <c r="K2885" s="1" t="str">
        <f>"1039V367-001 WP367 - CONTROL LDE TO RIGHT FRONT"</f>
        <v>1039V367-001 WP367 - CONTROL LDE TO RIGHT FRONT</v>
      </c>
      <c r="L2885">
        <v>2</v>
      </c>
      <c r="M2885" t="str">
        <f>"PR23000725"</f>
        <v>PR23000725</v>
      </c>
      <c r="N2885" t="str">
        <f>"E000403309"</f>
        <v>E000403309</v>
      </c>
      <c r="O2885">
        <v>717.07</v>
      </c>
      <c r="P2885" t="str">
        <f>"$"</f>
        <v>$</v>
      </c>
      <c r="Q2885" t="str">
        <f>"117"</f>
        <v>117</v>
      </c>
      <c r="R2885" t="str">
        <f>"רתמות"</f>
        <v>רתמות</v>
      </c>
      <c r="S2885" t="str">
        <f>"040"</f>
        <v>040</v>
      </c>
      <c r="T2885" t="str">
        <f>"עמר ליגל"</f>
        <v>עמר ליגל</v>
      </c>
      <c r="U2885">
        <v>0</v>
      </c>
      <c r="V2885">
        <v>0</v>
      </c>
      <c r="W2885">
        <v>717.07</v>
      </c>
      <c r="X2885" s="2">
        <v>1434.14</v>
      </c>
      <c r="AA2885">
        <v>2</v>
      </c>
      <c r="AC2885">
        <v>0</v>
      </c>
      <c r="AE2885">
        <v>0</v>
      </c>
      <c r="AF2885">
        <v>0</v>
      </c>
      <c r="AG2885" s="2">
        <v>2757.13</v>
      </c>
      <c r="AH2885">
        <v>0</v>
      </c>
      <c r="AI2885" s="2">
        <v>5514.27</v>
      </c>
      <c r="AJ2885" s="2">
        <v>1434.14</v>
      </c>
      <c r="AK2885" s="2">
        <v>1434.14</v>
      </c>
      <c r="AL2885" t="str">
        <f>"$"</f>
        <v>$</v>
      </c>
    </row>
    <row r="2886" spans="1:38" x14ac:dyDescent="0.3">
      <c r="A2886" t="str">
        <f>"SO23000441"</f>
        <v>SO23000441</v>
      </c>
      <c r="B2886" t="str">
        <f>"E000403309"</f>
        <v>E000403309</v>
      </c>
      <c r="C2886" t="str">
        <f>"טיוטא"</f>
        <v>טיוטא</v>
      </c>
      <c r="E2886" s="3">
        <v>45180</v>
      </c>
      <c r="F2886" s="3">
        <v>45332</v>
      </c>
      <c r="G2886" t="str">
        <f>"700065"</f>
        <v>700065</v>
      </c>
      <c r="H2886" t="str">
        <f>"אלתא מערכות בע""מ"</f>
        <v>אלתא מערכות בע"מ</v>
      </c>
      <c r="I2886" t="str">
        <f>"רחמים זרוק"</f>
        <v>רחמים זרוק</v>
      </c>
      <c r="J2886" t="str">
        <f>"OP-AR01758"</f>
        <v>OP-AR01758</v>
      </c>
      <c r="K2886" s="1" t="str">
        <f>"1039V368-001 WP368 - CONTROL LDE TO LEFT FRONT J"</f>
        <v>1039V368-001 WP368 - CONTROL LDE TO LEFT FRONT J</v>
      </c>
      <c r="L2886">
        <v>2</v>
      </c>
      <c r="M2886" t="str">
        <f>"PR23000725"</f>
        <v>PR23000725</v>
      </c>
      <c r="N2886" t="str">
        <f>"E000403309"</f>
        <v>E000403309</v>
      </c>
      <c r="O2886">
        <v>762.99</v>
      </c>
      <c r="P2886" t="str">
        <f>"$"</f>
        <v>$</v>
      </c>
      <c r="Q2886" t="str">
        <f>"117"</f>
        <v>117</v>
      </c>
      <c r="R2886" t="str">
        <f>"רתמות"</f>
        <v>רתמות</v>
      </c>
      <c r="S2886" t="str">
        <f>"040"</f>
        <v>040</v>
      </c>
      <c r="T2886" t="str">
        <f>"עמר ליגל"</f>
        <v>עמר ליגל</v>
      </c>
      <c r="U2886">
        <v>0</v>
      </c>
      <c r="V2886">
        <v>0</v>
      </c>
      <c r="W2886">
        <v>762.99</v>
      </c>
      <c r="X2886" s="2">
        <v>1525.98</v>
      </c>
      <c r="AA2886">
        <v>2</v>
      </c>
      <c r="AC2886">
        <v>0</v>
      </c>
      <c r="AE2886">
        <v>0</v>
      </c>
      <c r="AF2886">
        <v>0</v>
      </c>
      <c r="AG2886" s="2">
        <v>2933.7</v>
      </c>
      <c r="AH2886">
        <v>0</v>
      </c>
      <c r="AI2886" s="2">
        <v>5867.39</v>
      </c>
      <c r="AJ2886" s="2">
        <v>1525.98</v>
      </c>
      <c r="AK2886" s="2">
        <v>1525.98</v>
      </c>
      <c r="AL2886" t="str">
        <f>"$"</f>
        <v>$</v>
      </c>
    </row>
    <row r="2887" spans="1:38" x14ac:dyDescent="0.3">
      <c r="A2887" t="str">
        <f>"SO23000441"</f>
        <v>SO23000441</v>
      </c>
      <c r="B2887" t="str">
        <f>"E000403309"</f>
        <v>E000403309</v>
      </c>
      <c r="C2887" t="str">
        <f>"טיוטא"</f>
        <v>טיוטא</v>
      </c>
      <c r="E2887" s="3">
        <v>45180</v>
      </c>
      <c r="F2887" s="3">
        <v>45332</v>
      </c>
      <c r="G2887" t="str">
        <f>"700065"</f>
        <v>700065</v>
      </c>
      <c r="H2887" t="str">
        <f>"אלתא מערכות בע""מ"</f>
        <v>אלתא מערכות בע"מ</v>
      </c>
      <c r="I2887" t="str">
        <f>"רחמים זרוק"</f>
        <v>רחמים זרוק</v>
      </c>
      <c r="J2887" t="str">
        <f>"OP-AR01787"</f>
        <v>OP-AR01787</v>
      </c>
      <c r="K2887" s="1" t="str">
        <f>"1039V378-002 HARNESS WP378 - DATA AFT COMD TO LD"</f>
        <v>1039V378-002 HARNESS WP378 - DATA AFT COMD TO LD</v>
      </c>
      <c r="L2887">
        <v>2</v>
      </c>
      <c r="M2887" t="str">
        <f>"PR23000725"</f>
        <v>PR23000725</v>
      </c>
      <c r="N2887" t="str">
        <f>"E000403309"</f>
        <v>E000403309</v>
      </c>
      <c r="O2887">
        <v>813.49</v>
      </c>
      <c r="P2887" t="str">
        <f>"$"</f>
        <v>$</v>
      </c>
      <c r="Q2887" t="str">
        <f>"117"</f>
        <v>117</v>
      </c>
      <c r="R2887" t="str">
        <f>"רתמות"</f>
        <v>רתמות</v>
      </c>
      <c r="S2887" t="str">
        <f>"040"</f>
        <v>040</v>
      </c>
      <c r="T2887" t="str">
        <f>"עמר ליגל"</f>
        <v>עמר ליגל</v>
      </c>
      <c r="U2887">
        <v>0</v>
      </c>
      <c r="V2887">
        <v>0</v>
      </c>
      <c r="W2887">
        <v>813.49</v>
      </c>
      <c r="X2887" s="2">
        <v>1626.98</v>
      </c>
      <c r="AA2887">
        <v>2</v>
      </c>
      <c r="AC2887">
        <v>0</v>
      </c>
      <c r="AE2887">
        <v>0</v>
      </c>
      <c r="AF2887">
        <v>0</v>
      </c>
      <c r="AG2887" s="2">
        <v>3127.87</v>
      </c>
      <c r="AH2887">
        <v>0</v>
      </c>
      <c r="AI2887" s="2">
        <v>6255.74</v>
      </c>
      <c r="AJ2887" s="2">
        <v>1626.98</v>
      </c>
      <c r="AK2887" s="2">
        <v>1626.98</v>
      </c>
      <c r="AL2887" t="str">
        <f>"$"</f>
        <v>$</v>
      </c>
    </row>
    <row r="2888" spans="1:38" x14ac:dyDescent="0.3">
      <c r="A2888" t="str">
        <f>"SO23000441"</f>
        <v>SO23000441</v>
      </c>
      <c r="B2888" t="str">
        <f>"E000403309"</f>
        <v>E000403309</v>
      </c>
      <c r="C2888" t="str">
        <f>"טיוטא"</f>
        <v>טיוטא</v>
      </c>
      <c r="E2888" s="3">
        <v>45180</v>
      </c>
      <c r="F2888" s="3">
        <v>45332</v>
      </c>
      <c r="G2888" t="str">
        <f>"700065"</f>
        <v>700065</v>
      </c>
      <c r="H2888" t="str">
        <f>"אלתא מערכות בע""מ"</f>
        <v>אלתא מערכות בע"מ</v>
      </c>
      <c r="I2888" t="str">
        <f>"רחמים זרוק"</f>
        <v>רחמים זרוק</v>
      </c>
      <c r="J2888" t="str">
        <f>"OP-AR01760"</f>
        <v>OP-AR01760</v>
      </c>
      <c r="K2888" s="1" t="str">
        <f>"1039V384-001 WP384 - POWER PEDESTAL TO PEDPNL (H"</f>
        <v>1039V384-001 WP384 - POWER PEDESTAL TO PEDPNL (H</v>
      </c>
      <c r="L2888">
        <v>2</v>
      </c>
      <c r="M2888" t="str">
        <f>"PR23000725"</f>
        <v>PR23000725</v>
      </c>
      <c r="N2888" t="str">
        <f>"E000403309"</f>
        <v>E000403309</v>
      </c>
      <c r="O2888">
        <v>868.73</v>
      </c>
      <c r="P2888" t="str">
        <f>"$"</f>
        <v>$</v>
      </c>
      <c r="Q2888" t="str">
        <f>"117"</f>
        <v>117</v>
      </c>
      <c r="R2888" t="str">
        <f>"רתמות"</f>
        <v>רתמות</v>
      </c>
      <c r="S2888" t="str">
        <f>"040"</f>
        <v>040</v>
      </c>
      <c r="T2888" t="str">
        <f>"עמר ליגל"</f>
        <v>עמר ליגל</v>
      </c>
      <c r="U2888">
        <v>0</v>
      </c>
      <c r="V2888">
        <v>0</v>
      </c>
      <c r="W2888">
        <v>868.73</v>
      </c>
      <c r="X2888" s="2">
        <v>1737.46</v>
      </c>
      <c r="AA2888">
        <v>2</v>
      </c>
      <c r="AC2888">
        <v>0</v>
      </c>
      <c r="AE2888">
        <v>0</v>
      </c>
      <c r="AF2888">
        <v>0</v>
      </c>
      <c r="AG2888" s="2">
        <v>3340.27</v>
      </c>
      <c r="AH2888">
        <v>0</v>
      </c>
      <c r="AI2888" s="2">
        <v>6680.53</v>
      </c>
      <c r="AJ2888" s="2">
        <v>1737.46</v>
      </c>
      <c r="AK2888" s="2">
        <v>1737.46</v>
      </c>
      <c r="AL2888" t="str">
        <f>"$"</f>
        <v>$</v>
      </c>
    </row>
    <row r="2889" spans="1:38" x14ac:dyDescent="0.3">
      <c r="A2889" t="str">
        <f>"SO23000441"</f>
        <v>SO23000441</v>
      </c>
      <c r="B2889" t="str">
        <f>"E000403309"</f>
        <v>E000403309</v>
      </c>
      <c r="C2889" t="str">
        <f>"טיוטא"</f>
        <v>טיוטא</v>
      </c>
      <c r="E2889" s="3">
        <v>45180</v>
      </c>
      <c r="F2889" s="3">
        <v>45332</v>
      </c>
      <c r="G2889" t="str">
        <f>"700065"</f>
        <v>700065</v>
      </c>
      <c r="H2889" t="str">
        <f>"אלתא מערכות בע""מ"</f>
        <v>אלתא מערכות בע"מ</v>
      </c>
      <c r="I2889" t="str">
        <f>"רחמים זרוק"</f>
        <v>רחמים זרוק</v>
      </c>
      <c r="J2889" t="str">
        <f>"OP-AR01752"</f>
        <v>OP-AR01752</v>
      </c>
      <c r="K2889" s="1" t="str">
        <f>"1039V385-001 WP385 - POWER PEDESTAL TO PEDPNL (H"</f>
        <v>1039V385-001 WP385 - POWER PEDESTAL TO PEDPNL (H</v>
      </c>
      <c r="L2889">
        <v>2</v>
      </c>
      <c r="M2889" t="str">
        <f>"PR23000725"</f>
        <v>PR23000725</v>
      </c>
      <c r="N2889" t="str">
        <f>"E000403309"</f>
        <v>E000403309</v>
      </c>
      <c r="O2889">
        <v>875.54</v>
      </c>
      <c r="P2889" t="str">
        <f>"$"</f>
        <v>$</v>
      </c>
      <c r="Q2889" t="str">
        <f>"117"</f>
        <v>117</v>
      </c>
      <c r="R2889" t="str">
        <f>"רתמות"</f>
        <v>רתמות</v>
      </c>
      <c r="S2889" t="str">
        <f>"040"</f>
        <v>040</v>
      </c>
      <c r="T2889" t="str">
        <f>"עמר ליגל"</f>
        <v>עמר ליגל</v>
      </c>
      <c r="U2889">
        <v>0</v>
      </c>
      <c r="V2889">
        <v>0</v>
      </c>
      <c r="W2889">
        <v>875.54</v>
      </c>
      <c r="X2889" s="2">
        <v>1751.08</v>
      </c>
      <c r="AA2889">
        <v>2</v>
      </c>
      <c r="AC2889">
        <v>0</v>
      </c>
      <c r="AE2889">
        <v>0</v>
      </c>
      <c r="AF2889">
        <v>0</v>
      </c>
      <c r="AG2889" s="2">
        <v>3366.45</v>
      </c>
      <c r="AH2889">
        <v>0</v>
      </c>
      <c r="AI2889" s="2">
        <v>6732.9</v>
      </c>
      <c r="AJ2889" s="2">
        <v>1751.08</v>
      </c>
      <c r="AK2889" s="2">
        <v>1751.08</v>
      </c>
      <c r="AL2889" t="str">
        <f>"$"</f>
        <v>$</v>
      </c>
    </row>
    <row r="2890" spans="1:38" x14ac:dyDescent="0.3">
      <c r="A2890" t="str">
        <f>"SO23000441"</f>
        <v>SO23000441</v>
      </c>
      <c r="B2890" t="str">
        <f>"E000403309"</f>
        <v>E000403309</v>
      </c>
      <c r="C2890" t="str">
        <f>"טיוטא"</f>
        <v>טיוטא</v>
      </c>
      <c r="E2890" s="3">
        <v>45180</v>
      </c>
      <c r="F2890" s="3">
        <v>45332</v>
      </c>
      <c r="G2890" t="str">
        <f>"700065"</f>
        <v>700065</v>
      </c>
      <c r="H2890" t="str">
        <f>"אלתא מערכות בע""מ"</f>
        <v>אלתא מערכות בע"מ</v>
      </c>
      <c r="I2890" t="str">
        <f>"רחמים זרוק"</f>
        <v>רחמים זרוק</v>
      </c>
      <c r="J2890" t="str">
        <f>"OP-AR03894"</f>
        <v>OP-AR03894</v>
      </c>
      <c r="K2890" s="1" t="str">
        <f>"1044A016-001     HARNESS W016 - POWER PDB TO LTSU AND LOA"</f>
        <v>1044A016-001     HARNESS W016 - POWER PDB TO LTSU AND LOA</v>
      </c>
      <c r="L2890">
        <v>2</v>
      </c>
      <c r="M2890" t="str">
        <f>"PR23000725"</f>
        <v>PR23000725</v>
      </c>
      <c r="N2890" t="str">
        <f>"E000403309"</f>
        <v>E000403309</v>
      </c>
      <c r="O2890">
        <v>629.39</v>
      </c>
      <c r="P2890" t="str">
        <f>"$"</f>
        <v>$</v>
      </c>
      <c r="Q2890" t="str">
        <f>"117"</f>
        <v>117</v>
      </c>
      <c r="R2890" t="str">
        <f>"רתמות"</f>
        <v>רתמות</v>
      </c>
      <c r="S2890" t="str">
        <f>"040"</f>
        <v>040</v>
      </c>
      <c r="T2890" t="str">
        <f>"עמר ליגל"</f>
        <v>עמר ליגל</v>
      </c>
      <c r="U2890">
        <v>0</v>
      </c>
      <c r="V2890">
        <v>0</v>
      </c>
      <c r="W2890">
        <v>629.39</v>
      </c>
      <c r="X2890" s="2">
        <v>1258.78</v>
      </c>
      <c r="AA2890">
        <v>2</v>
      </c>
      <c r="AC2890">
        <v>0</v>
      </c>
      <c r="AE2890">
        <v>0</v>
      </c>
      <c r="AF2890">
        <v>0</v>
      </c>
      <c r="AG2890" s="2">
        <v>2420</v>
      </c>
      <c r="AH2890">
        <v>0</v>
      </c>
      <c r="AI2890" s="2">
        <v>4840.01</v>
      </c>
      <c r="AJ2890" s="2">
        <v>1258.78</v>
      </c>
      <c r="AK2890" s="2">
        <v>1258.78</v>
      </c>
      <c r="AL2890" t="str">
        <f>"$"</f>
        <v>$</v>
      </c>
    </row>
    <row r="2891" spans="1:38" x14ac:dyDescent="0.3">
      <c r="A2891" t="str">
        <f>"SO23000441"</f>
        <v>SO23000441</v>
      </c>
      <c r="B2891" t="str">
        <f>"E000403309"</f>
        <v>E000403309</v>
      </c>
      <c r="C2891" t="str">
        <f>"טיוטא"</f>
        <v>טיוטא</v>
      </c>
      <c r="E2891" s="3">
        <v>45180</v>
      </c>
      <c r="F2891" s="3">
        <v>45332</v>
      </c>
      <c r="G2891" t="str">
        <f>"700065"</f>
        <v>700065</v>
      </c>
      <c r="H2891" t="str">
        <f>"אלתא מערכות בע""מ"</f>
        <v>אלתא מערכות בע"מ</v>
      </c>
      <c r="I2891" t="str">
        <f>"רחמים זרוק"</f>
        <v>רחמים זרוק</v>
      </c>
      <c r="J2891" t="str">
        <f>"OP-AR03895"</f>
        <v>OP-AR03895</v>
      </c>
      <c r="K2891" s="1" t="str">
        <f>"1044A017-001     HARNESS W017 - DUFW P2 TO LOAD CELL"</f>
        <v>1044A017-001     HARNESS W017 - DUFW P2 TO LOAD CELL</v>
      </c>
      <c r="L2891">
        <v>2</v>
      </c>
      <c r="M2891" t="str">
        <f>"PR23000725"</f>
        <v>PR23000725</v>
      </c>
      <c r="N2891" t="str">
        <f>"E000403309"</f>
        <v>E000403309</v>
      </c>
      <c r="O2891">
        <v>661.75</v>
      </c>
      <c r="P2891" t="str">
        <f>"$"</f>
        <v>$</v>
      </c>
      <c r="Q2891" t="str">
        <f>"117"</f>
        <v>117</v>
      </c>
      <c r="R2891" t="str">
        <f>"רתמות"</f>
        <v>רתמות</v>
      </c>
      <c r="S2891" t="str">
        <f>"040"</f>
        <v>040</v>
      </c>
      <c r="T2891" t="str">
        <f>"עמר ליגל"</f>
        <v>עמר ליגל</v>
      </c>
      <c r="U2891">
        <v>0</v>
      </c>
      <c r="V2891">
        <v>0</v>
      </c>
      <c r="W2891">
        <v>661.75</v>
      </c>
      <c r="X2891" s="2">
        <v>1323.5</v>
      </c>
      <c r="AA2891">
        <v>2</v>
      </c>
      <c r="AC2891">
        <v>0</v>
      </c>
      <c r="AE2891">
        <v>0</v>
      </c>
      <c r="AF2891">
        <v>0</v>
      </c>
      <c r="AG2891" s="2">
        <v>2544.4299999999998</v>
      </c>
      <c r="AH2891">
        <v>0</v>
      </c>
      <c r="AI2891" s="2">
        <v>5088.8599999999997</v>
      </c>
      <c r="AJ2891" s="2">
        <v>1323.5</v>
      </c>
      <c r="AK2891" s="2">
        <v>1323.5</v>
      </c>
      <c r="AL2891" t="str">
        <f>"$"</f>
        <v>$</v>
      </c>
    </row>
    <row r="2892" spans="1:38" x14ac:dyDescent="0.3">
      <c r="A2892" t="str">
        <f>"SO23000441"</f>
        <v>SO23000441</v>
      </c>
      <c r="B2892" t="str">
        <f>"E000403309"</f>
        <v>E000403309</v>
      </c>
      <c r="C2892" t="str">
        <f>"טיוטא"</f>
        <v>טיוטא</v>
      </c>
      <c r="E2892" s="3">
        <v>45180</v>
      </c>
      <c r="F2892" s="3">
        <v>45311</v>
      </c>
      <c r="G2892" t="str">
        <f>"700065"</f>
        <v>700065</v>
      </c>
      <c r="H2892" t="str">
        <f>"אלתא מערכות בע""מ"</f>
        <v>אלתא מערכות בע"מ</v>
      </c>
      <c r="I2892" t="str">
        <f>"רחמים זרוק"</f>
        <v>רחמים זרוק</v>
      </c>
      <c r="J2892" t="str">
        <f>"OP-AR03896"</f>
        <v>OP-AR03896</v>
      </c>
      <c r="K2892" s="1" t="str">
        <f>"1025L787-001     WA087 - MICRO SWITCH FOR ANTENNA (OPEN D"</f>
        <v>1025L787-001     WA087 - MICRO SWITCH FOR ANTENNA (OPEN D</v>
      </c>
      <c r="L2892">
        <v>8</v>
      </c>
      <c r="M2892" t="str">
        <f>"PR23000725"</f>
        <v>PR23000725</v>
      </c>
      <c r="N2892" t="str">
        <f>"E000403309"</f>
        <v>E000403309</v>
      </c>
      <c r="O2892">
        <v>569.79999999999995</v>
      </c>
      <c r="P2892" t="str">
        <f>"$"</f>
        <v>$</v>
      </c>
      <c r="Q2892" t="str">
        <f>"117"</f>
        <v>117</v>
      </c>
      <c r="R2892" t="str">
        <f>"רתמות"</f>
        <v>רתמות</v>
      </c>
      <c r="S2892" t="str">
        <f>"040"</f>
        <v>040</v>
      </c>
      <c r="T2892" t="str">
        <f>"עמר ליגל"</f>
        <v>עמר ליגל</v>
      </c>
      <c r="U2892">
        <v>0</v>
      </c>
      <c r="V2892">
        <v>0</v>
      </c>
      <c r="W2892">
        <v>569.79999999999995</v>
      </c>
      <c r="X2892" s="2">
        <v>4558.3999999999996</v>
      </c>
      <c r="AA2892">
        <v>8</v>
      </c>
      <c r="AC2892">
        <v>0</v>
      </c>
      <c r="AE2892">
        <v>0</v>
      </c>
      <c r="AF2892">
        <v>0</v>
      </c>
      <c r="AG2892" s="2">
        <v>2190.88</v>
      </c>
      <c r="AH2892">
        <v>0</v>
      </c>
      <c r="AI2892" s="2">
        <v>17527.05</v>
      </c>
      <c r="AJ2892" s="2">
        <v>4558.3999999999996</v>
      </c>
      <c r="AK2892" s="2">
        <v>4558.3999999999996</v>
      </c>
      <c r="AL2892" t="str">
        <f>"$"</f>
        <v>$</v>
      </c>
    </row>
    <row r="2893" spans="1:38" x14ac:dyDescent="0.3">
      <c r="A2893" t="str">
        <f>"SO23000441"</f>
        <v>SO23000441</v>
      </c>
      <c r="B2893" t="str">
        <f>"E000403309"</f>
        <v>E000403309</v>
      </c>
      <c r="C2893" t="str">
        <f>"טיוטא"</f>
        <v>טיוטא</v>
      </c>
      <c r="E2893" s="3">
        <v>45180</v>
      </c>
      <c r="F2893" s="3">
        <v>45311</v>
      </c>
      <c r="G2893" t="str">
        <f>"700065"</f>
        <v>700065</v>
      </c>
      <c r="H2893" t="str">
        <f>"אלתא מערכות בע""מ"</f>
        <v>אלתא מערכות בע"מ</v>
      </c>
      <c r="I2893" t="str">
        <f>"רחמים זרוק"</f>
        <v>רחמים זרוק</v>
      </c>
      <c r="J2893" t="str">
        <f>"OP-AR03897"</f>
        <v>OP-AR03897</v>
      </c>
      <c r="K2893" s="1" t="str">
        <f>"1025L788-002     WA088 - MICRO SWITCH FOR ANTENNA (CLOSE"</f>
        <v>1025L788-002     WA088 - MICRO SWITCH FOR ANTENNA (CLOSE</v>
      </c>
      <c r="L2893">
        <v>10</v>
      </c>
      <c r="M2893" t="str">
        <f>"PR23000725"</f>
        <v>PR23000725</v>
      </c>
      <c r="N2893" t="str">
        <f>"E000403309"</f>
        <v>E000403309</v>
      </c>
      <c r="O2893">
        <v>546.25</v>
      </c>
      <c r="P2893" t="str">
        <f>"$"</f>
        <v>$</v>
      </c>
      <c r="Q2893" t="str">
        <f>"117"</f>
        <v>117</v>
      </c>
      <c r="R2893" t="str">
        <f>"רתמות"</f>
        <v>רתמות</v>
      </c>
      <c r="S2893" t="str">
        <f>"040"</f>
        <v>040</v>
      </c>
      <c r="T2893" t="str">
        <f>"עמר ליגל"</f>
        <v>עמר ליגל</v>
      </c>
      <c r="U2893">
        <v>0</v>
      </c>
      <c r="V2893">
        <v>0</v>
      </c>
      <c r="W2893">
        <v>546.25</v>
      </c>
      <c r="X2893" s="2">
        <v>5462.5</v>
      </c>
      <c r="AA2893">
        <v>10</v>
      </c>
      <c r="AC2893">
        <v>0</v>
      </c>
      <c r="AE2893">
        <v>0</v>
      </c>
      <c r="AF2893">
        <v>0</v>
      </c>
      <c r="AG2893" s="2">
        <v>2100.33</v>
      </c>
      <c r="AH2893">
        <v>0</v>
      </c>
      <c r="AI2893" s="2">
        <v>21003.31</v>
      </c>
      <c r="AJ2893" s="2">
        <v>5462.5</v>
      </c>
      <c r="AK2893" s="2">
        <v>5462.5</v>
      </c>
      <c r="AL2893" t="str">
        <f>"$"</f>
        <v>$</v>
      </c>
    </row>
    <row r="2894" spans="1:38" x14ac:dyDescent="0.3">
      <c r="A2894" t="str">
        <f>"SO23000441"</f>
        <v>SO23000441</v>
      </c>
      <c r="B2894" t="str">
        <f>"E000403309"</f>
        <v>E000403309</v>
      </c>
      <c r="C2894" t="str">
        <f>"טיוטא"</f>
        <v>טיוטא</v>
      </c>
      <c r="E2894" s="3">
        <v>45180</v>
      </c>
      <c r="F2894" s="3">
        <v>45311</v>
      </c>
      <c r="G2894" t="str">
        <f>"700065"</f>
        <v>700065</v>
      </c>
      <c r="H2894" t="str">
        <f>"אלתא מערכות בע""מ"</f>
        <v>אלתא מערכות בע"מ</v>
      </c>
      <c r="I2894" t="str">
        <f>"רחמים זרוק"</f>
        <v>רחמים זרוק</v>
      </c>
      <c r="J2894" t="str">
        <f>"OP-AR01747"</f>
        <v>OP-AR01747</v>
      </c>
      <c r="K2894" s="1" t="str">
        <f>"1029P310-002 WP010 - CONTROL AND DATA MEB TO PED"</f>
        <v>1029P310-002 WP010 - CONTROL AND DATA MEB TO PED</v>
      </c>
      <c r="L2894">
        <v>2</v>
      </c>
      <c r="M2894" t="str">
        <f>"PR23000725"</f>
        <v>PR23000725</v>
      </c>
      <c r="N2894" t="str">
        <f>"E000403309"</f>
        <v>E000403309</v>
      </c>
      <c r="O2894">
        <v>988.04</v>
      </c>
      <c r="P2894" t="str">
        <f>"$"</f>
        <v>$</v>
      </c>
      <c r="Q2894" t="str">
        <f>"117"</f>
        <v>117</v>
      </c>
      <c r="R2894" t="str">
        <f>"רתמות"</f>
        <v>רתמות</v>
      </c>
      <c r="S2894" t="str">
        <f>"040"</f>
        <v>040</v>
      </c>
      <c r="T2894" t="str">
        <f>"עמר ליגל"</f>
        <v>עמר ליגל</v>
      </c>
      <c r="U2894">
        <v>0</v>
      </c>
      <c r="V2894">
        <v>0</v>
      </c>
      <c r="W2894">
        <v>988.04</v>
      </c>
      <c r="X2894" s="2">
        <v>1976.08</v>
      </c>
      <c r="AA2894">
        <v>2</v>
      </c>
      <c r="AC2894">
        <v>0</v>
      </c>
      <c r="AE2894">
        <v>0</v>
      </c>
      <c r="AF2894">
        <v>0</v>
      </c>
      <c r="AG2894" s="2">
        <v>3799.01</v>
      </c>
      <c r="AH2894">
        <v>0</v>
      </c>
      <c r="AI2894" s="2">
        <v>7598.03</v>
      </c>
      <c r="AJ2894" s="2">
        <v>1976.08</v>
      </c>
      <c r="AK2894" s="2">
        <v>1976.08</v>
      </c>
      <c r="AL2894" t="str">
        <f>"$"</f>
        <v>$</v>
      </c>
    </row>
    <row r="2895" spans="1:38" x14ac:dyDescent="0.3">
      <c r="A2895" t="str">
        <f>"SO23000441"</f>
        <v>SO23000441</v>
      </c>
      <c r="B2895" t="str">
        <f>"E000403309"</f>
        <v>E000403309</v>
      </c>
      <c r="C2895" t="str">
        <f>"טיוטא"</f>
        <v>טיוטא</v>
      </c>
      <c r="E2895" s="3">
        <v>45180</v>
      </c>
      <c r="F2895" s="3">
        <v>45311</v>
      </c>
      <c r="G2895" t="str">
        <f>"700065"</f>
        <v>700065</v>
      </c>
      <c r="H2895" t="str">
        <f>"אלתא מערכות בע""מ"</f>
        <v>אלתא מערכות בע"מ</v>
      </c>
      <c r="I2895" t="str">
        <f>"רחמים זרוק"</f>
        <v>רחמים זרוק</v>
      </c>
      <c r="J2895" t="str">
        <f>"OP-AR01738"</f>
        <v>OP-AR01738</v>
      </c>
      <c r="K2895" s="1" t="str">
        <f>"1029P331-003 WP031 - PWR 230VAC FANS AUX-BOX TO"</f>
        <v>1029P331-003 WP031 - PWR 230VAC FANS AUX-BOX TO</v>
      </c>
      <c r="L2895">
        <v>3</v>
      </c>
      <c r="M2895" t="str">
        <f>"PR23000725"</f>
        <v>PR23000725</v>
      </c>
      <c r="N2895" t="str">
        <f>"E000403309"</f>
        <v>E000403309</v>
      </c>
      <c r="O2895">
        <v>773.96</v>
      </c>
      <c r="P2895" t="str">
        <f>"$"</f>
        <v>$</v>
      </c>
      <c r="Q2895" t="str">
        <f>"117"</f>
        <v>117</v>
      </c>
      <c r="R2895" t="str">
        <f>"רתמות"</f>
        <v>רתמות</v>
      </c>
      <c r="S2895" t="str">
        <f>"040"</f>
        <v>040</v>
      </c>
      <c r="T2895" t="str">
        <f>"עמר ליגל"</f>
        <v>עמר ליגל</v>
      </c>
      <c r="U2895">
        <v>0</v>
      </c>
      <c r="V2895">
        <v>0</v>
      </c>
      <c r="W2895">
        <v>773.96</v>
      </c>
      <c r="X2895" s="2">
        <v>2321.88</v>
      </c>
      <c r="AA2895">
        <v>3</v>
      </c>
      <c r="AC2895">
        <v>0</v>
      </c>
      <c r="AE2895">
        <v>0</v>
      </c>
      <c r="AF2895">
        <v>0</v>
      </c>
      <c r="AG2895" s="2">
        <v>2975.88</v>
      </c>
      <c r="AH2895">
        <v>0</v>
      </c>
      <c r="AI2895" s="2">
        <v>8927.6299999999992</v>
      </c>
      <c r="AJ2895" s="2">
        <v>2321.88</v>
      </c>
      <c r="AK2895" s="2">
        <v>2321.88</v>
      </c>
      <c r="AL2895" t="str">
        <f>"$"</f>
        <v>$</v>
      </c>
    </row>
    <row r="2896" spans="1:38" x14ac:dyDescent="0.3">
      <c r="A2896" t="str">
        <f>"SO23000441"</f>
        <v>SO23000441</v>
      </c>
      <c r="B2896" t="str">
        <f>"E000403309"</f>
        <v>E000403309</v>
      </c>
      <c r="C2896" t="str">
        <f>"טיוטא"</f>
        <v>טיוטא</v>
      </c>
      <c r="E2896" s="3">
        <v>45180</v>
      </c>
      <c r="F2896" s="3">
        <v>45311</v>
      </c>
      <c r="G2896" t="str">
        <f>"700065"</f>
        <v>700065</v>
      </c>
      <c r="H2896" t="str">
        <f>"אלתא מערכות בע""מ"</f>
        <v>אלתא מערכות בע"מ</v>
      </c>
      <c r="I2896" t="str">
        <f>"רחמים זרוק"</f>
        <v>רחמים זרוק</v>
      </c>
      <c r="J2896" t="str">
        <f>"OP-AR01790"</f>
        <v>OP-AR01790</v>
      </c>
      <c r="K2896" s="1" t="str">
        <f>"1036U401-001 WPG22 - BONDING CABLE PLATFORM TO E"</f>
        <v>1036U401-001 WPG22 - BONDING CABLE PLATFORM TO E</v>
      </c>
      <c r="L2896">
        <v>4</v>
      </c>
      <c r="M2896" t="str">
        <f>"PR23000725"</f>
        <v>PR23000725</v>
      </c>
      <c r="N2896" t="str">
        <f>"E000403309"</f>
        <v>E000403309</v>
      </c>
      <c r="O2896">
        <v>217.62</v>
      </c>
      <c r="P2896" t="str">
        <f>"$"</f>
        <v>$</v>
      </c>
      <c r="Q2896" t="str">
        <f>"117"</f>
        <v>117</v>
      </c>
      <c r="R2896" t="str">
        <f>"רתמות"</f>
        <v>רתמות</v>
      </c>
      <c r="S2896" t="str">
        <f>"040"</f>
        <v>040</v>
      </c>
      <c r="T2896" t="str">
        <f>"עמר ליגל"</f>
        <v>עמר ליגל</v>
      </c>
      <c r="U2896">
        <v>0</v>
      </c>
      <c r="V2896">
        <v>0</v>
      </c>
      <c r="W2896">
        <v>217.62</v>
      </c>
      <c r="X2896">
        <v>870.48</v>
      </c>
      <c r="AA2896">
        <v>4</v>
      </c>
      <c r="AC2896">
        <v>0</v>
      </c>
      <c r="AE2896">
        <v>0</v>
      </c>
      <c r="AF2896">
        <v>0</v>
      </c>
      <c r="AG2896">
        <v>836.75</v>
      </c>
      <c r="AH2896">
        <v>0</v>
      </c>
      <c r="AI2896" s="2">
        <v>3347</v>
      </c>
      <c r="AJ2896">
        <v>870.48</v>
      </c>
      <c r="AK2896">
        <v>870.48</v>
      </c>
      <c r="AL2896" t="str">
        <f>"$"</f>
        <v>$</v>
      </c>
    </row>
    <row r="2897" spans="1:38" x14ac:dyDescent="0.3">
      <c r="A2897" t="str">
        <f>"SO23000441"</f>
        <v>SO23000441</v>
      </c>
      <c r="B2897" t="str">
        <f>"E000403309"</f>
        <v>E000403309</v>
      </c>
      <c r="C2897" t="str">
        <f>"טיוטא"</f>
        <v>טיוטא</v>
      </c>
      <c r="E2897" s="3">
        <v>45180</v>
      </c>
      <c r="F2897" s="3">
        <v>45311</v>
      </c>
      <c r="G2897" t="str">
        <f>"700065"</f>
        <v>700065</v>
      </c>
      <c r="H2897" t="str">
        <f>"אלתא מערכות בע""מ"</f>
        <v>אלתא מערכות בע"מ</v>
      </c>
      <c r="I2897" t="str">
        <f>"רחמים זרוק"</f>
        <v>רחמים זרוק</v>
      </c>
      <c r="J2897" t="str">
        <f>"OP-AR01784"</f>
        <v>OP-AR01784</v>
      </c>
      <c r="K2897" s="1" t="str">
        <f>"1037V243-001 WPG118-BONDING STRAP PED PNL L/R TO"</f>
        <v>1037V243-001 WPG118-BONDING STRAP PED PNL L/R TO</v>
      </c>
      <c r="L2897">
        <v>4</v>
      </c>
      <c r="M2897" t="str">
        <f>"PR23000725"</f>
        <v>PR23000725</v>
      </c>
      <c r="N2897" t="str">
        <f>"E000403309"</f>
        <v>E000403309</v>
      </c>
      <c r="O2897">
        <v>71.33</v>
      </c>
      <c r="P2897" t="str">
        <f>"$"</f>
        <v>$</v>
      </c>
      <c r="Q2897" t="str">
        <f>"117"</f>
        <v>117</v>
      </c>
      <c r="R2897" t="str">
        <f>"רתמות"</f>
        <v>רתמות</v>
      </c>
      <c r="S2897" t="str">
        <f>"040"</f>
        <v>040</v>
      </c>
      <c r="T2897" t="str">
        <f>"עמר ליגל"</f>
        <v>עמר ליגל</v>
      </c>
      <c r="U2897">
        <v>0</v>
      </c>
      <c r="V2897">
        <v>0</v>
      </c>
      <c r="W2897">
        <v>71.33</v>
      </c>
      <c r="X2897">
        <v>285.32</v>
      </c>
      <c r="AA2897">
        <v>4</v>
      </c>
      <c r="AC2897">
        <v>0</v>
      </c>
      <c r="AE2897">
        <v>0</v>
      </c>
      <c r="AF2897">
        <v>0</v>
      </c>
      <c r="AG2897">
        <v>274.26</v>
      </c>
      <c r="AH2897">
        <v>0</v>
      </c>
      <c r="AI2897" s="2">
        <v>1097.06</v>
      </c>
      <c r="AJ2897">
        <v>285.32</v>
      </c>
      <c r="AK2897">
        <v>285.32</v>
      </c>
      <c r="AL2897" t="str">
        <f>"$"</f>
        <v>$</v>
      </c>
    </row>
    <row r="2898" spans="1:38" x14ac:dyDescent="0.3">
      <c r="A2898" t="str">
        <f>"SO23000441"</f>
        <v>SO23000441</v>
      </c>
      <c r="B2898" t="str">
        <f>"E000403309"</f>
        <v>E000403309</v>
      </c>
      <c r="C2898" t="str">
        <f>"טיוטא"</f>
        <v>טיוטא</v>
      </c>
      <c r="E2898" s="3">
        <v>45180</v>
      </c>
      <c r="F2898" s="3">
        <v>45311</v>
      </c>
      <c r="G2898" t="str">
        <f>"700065"</f>
        <v>700065</v>
      </c>
      <c r="H2898" t="str">
        <f>"אלתא מערכות בע""מ"</f>
        <v>אלתא מערכות בע"מ</v>
      </c>
      <c r="I2898" t="str">
        <f>"רחמים זרוק"</f>
        <v>רחמים זרוק</v>
      </c>
      <c r="J2898" t="str">
        <f>"OP-AR01783"</f>
        <v>OP-AR01783</v>
      </c>
      <c r="K2898" s="1" t="str">
        <f>"1037V761-001 WPG101-BONDING STRAP PDB to PLATFOR"</f>
        <v>1037V761-001 WPG101-BONDING STRAP PDB to PLATFOR</v>
      </c>
      <c r="L2898">
        <v>4</v>
      </c>
      <c r="M2898" t="str">
        <f>"PR23000725"</f>
        <v>PR23000725</v>
      </c>
      <c r="N2898" t="str">
        <f>"E000403309"</f>
        <v>E000403309</v>
      </c>
      <c r="O2898">
        <v>90.51</v>
      </c>
      <c r="P2898" t="str">
        <f>"$"</f>
        <v>$</v>
      </c>
      <c r="Q2898" t="str">
        <f>"117"</f>
        <v>117</v>
      </c>
      <c r="R2898" t="str">
        <f>"רתמות"</f>
        <v>רתמות</v>
      </c>
      <c r="S2898" t="str">
        <f>"040"</f>
        <v>040</v>
      </c>
      <c r="T2898" t="str">
        <f>"עמר ליגל"</f>
        <v>עמר ליגל</v>
      </c>
      <c r="U2898">
        <v>0</v>
      </c>
      <c r="V2898">
        <v>0</v>
      </c>
      <c r="W2898">
        <v>90.51</v>
      </c>
      <c r="X2898">
        <v>362.04</v>
      </c>
      <c r="AA2898">
        <v>4</v>
      </c>
      <c r="AC2898">
        <v>0</v>
      </c>
      <c r="AE2898">
        <v>0</v>
      </c>
      <c r="AF2898">
        <v>0</v>
      </c>
      <c r="AG2898">
        <v>348.01</v>
      </c>
      <c r="AH2898">
        <v>0</v>
      </c>
      <c r="AI2898" s="2">
        <v>1392.04</v>
      </c>
      <c r="AJ2898">
        <v>362.04</v>
      </c>
      <c r="AK2898">
        <v>362.04</v>
      </c>
      <c r="AL2898" t="str">
        <f>"$"</f>
        <v>$</v>
      </c>
    </row>
    <row r="2899" spans="1:38" x14ac:dyDescent="0.3">
      <c r="A2899" t="str">
        <f>"SO23000441"</f>
        <v>SO23000441</v>
      </c>
      <c r="B2899" t="str">
        <f>"E000403309"</f>
        <v>E000403309</v>
      </c>
      <c r="C2899" t="str">
        <f>"טיוטא"</f>
        <v>טיוטא</v>
      </c>
      <c r="E2899" s="3">
        <v>45180</v>
      </c>
      <c r="F2899" s="3">
        <v>45311</v>
      </c>
      <c r="G2899" t="str">
        <f>"700065"</f>
        <v>700065</v>
      </c>
      <c r="H2899" t="str">
        <f>"אלתא מערכות בע""מ"</f>
        <v>אלתא מערכות בע"מ</v>
      </c>
      <c r="I2899" t="str">
        <f>"רחמים זרוק"</f>
        <v>רחמים זרוק</v>
      </c>
      <c r="J2899" t="str">
        <f>"OP-AR01779"</f>
        <v>OP-AR01779</v>
      </c>
      <c r="K2899" s="1" t="str">
        <f>"1037V762-001 WPG102 - BONDING STRAP AUX-BOX to P"</f>
        <v>1037V762-001 WPG102 - BONDING STRAP AUX-BOX to P</v>
      </c>
      <c r="L2899">
        <v>4</v>
      </c>
      <c r="M2899" t="str">
        <f>"PR23000725"</f>
        <v>PR23000725</v>
      </c>
      <c r="N2899" t="str">
        <f>"E000403309"</f>
        <v>E000403309</v>
      </c>
      <c r="O2899">
        <v>113.74</v>
      </c>
      <c r="P2899" t="str">
        <f>"$"</f>
        <v>$</v>
      </c>
      <c r="Q2899" t="str">
        <f>"117"</f>
        <v>117</v>
      </c>
      <c r="R2899" t="str">
        <f>"רתמות"</f>
        <v>רתמות</v>
      </c>
      <c r="S2899" t="str">
        <f>"040"</f>
        <v>040</v>
      </c>
      <c r="T2899" t="str">
        <f>"עמר ליגל"</f>
        <v>עמר ליגל</v>
      </c>
      <c r="U2899">
        <v>0</v>
      </c>
      <c r="V2899">
        <v>0</v>
      </c>
      <c r="W2899">
        <v>113.74</v>
      </c>
      <c r="X2899">
        <v>454.96</v>
      </c>
      <c r="AA2899">
        <v>4</v>
      </c>
      <c r="AC2899">
        <v>0</v>
      </c>
      <c r="AE2899">
        <v>0</v>
      </c>
      <c r="AF2899">
        <v>0</v>
      </c>
      <c r="AG2899">
        <v>437.33</v>
      </c>
      <c r="AH2899">
        <v>0</v>
      </c>
      <c r="AI2899" s="2">
        <v>1749.32</v>
      </c>
      <c r="AJ2899">
        <v>454.96</v>
      </c>
      <c r="AK2899">
        <v>454.96</v>
      </c>
      <c r="AL2899" t="str">
        <f>"$"</f>
        <v>$</v>
      </c>
    </row>
    <row r="2900" spans="1:38" x14ac:dyDescent="0.3">
      <c r="A2900" t="str">
        <f>"SO23000441"</f>
        <v>SO23000441</v>
      </c>
      <c r="B2900" t="str">
        <f>"E000403309"</f>
        <v>E000403309</v>
      </c>
      <c r="C2900" t="str">
        <f>"טיוטא"</f>
        <v>טיוטא</v>
      </c>
      <c r="E2900" s="3">
        <v>45180</v>
      </c>
      <c r="F2900" s="3">
        <v>45311</v>
      </c>
      <c r="G2900" t="str">
        <f>"700065"</f>
        <v>700065</v>
      </c>
      <c r="H2900" t="str">
        <f>"אלתא מערכות בע""מ"</f>
        <v>אלתא מערכות בע"מ</v>
      </c>
      <c r="I2900" t="str">
        <f>"רחמים זרוק"</f>
        <v>רחמים זרוק</v>
      </c>
      <c r="J2900" t="str">
        <f>"OP-AR01749"</f>
        <v>OP-AR01749</v>
      </c>
      <c r="K2900" s="1" t="str">
        <f>"1037V763-001 WPG103-BONDING STRAP BATTERIES BOX"</f>
        <v>1037V763-001 WPG103-BONDING STRAP BATTERIES BOX</v>
      </c>
      <c r="L2900">
        <v>2</v>
      </c>
      <c r="M2900" t="str">
        <f>"PR23000725"</f>
        <v>PR23000725</v>
      </c>
      <c r="N2900" t="str">
        <f>"E000403309"</f>
        <v>E000403309</v>
      </c>
      <c r="O2900">
        <v>84.84</v>
      </c>
      <c r="P2900" t="str">
        <f>"$"</f>
        <v>$</v>
      </c>
      <c r="Q2900" t="str">
        <f>"117"</f>
        <v>117</v>
      </c>
      <c r="R2900" t="str">
        <f>"רתמות"</f>
        <v>רתמות</v>
      </c>
      <c r="S2900" t="str">
        <f>"040"</f>
        <v>040</v>
      </c>
      <c r="T2900" t="str">
        <f>"עמר ליגל"</f>
        <v>עמר ליגל</v>
      </c>
      <c r="U2900">
        <v>0</v>
      </c>
      <c r="V2900">
        <v>0</v>
      </c>
      <c r="W2900">
        <v>84.84</v>
      </c>
      <c r="X2900">
        <v>169.68</v>
      </c>
      <c r="AA2900">
        <v>2</v>
      </c>
      <c r="AC2900">
        <v>0</v>
      </c>
      <c r="AE2900">
        <v>0</v>
      </c>
      <c r="AF2900">
        <v>0</v>
      </c>
      <c r="AG2900">
        <v>326.20999999999998</v>
      </c>
      <c r="AH2900">
        <v>0</v>
      </c>
      <c r="AI2900">
        <v>652.41999999999996</v>
      </c>
      <c r="AJ2900">
        <v>169.68</v>
      </c>
      <c r="AK2900">
        <v>169.68</v>
      </c>
      <c r="AL2900" t="str">
        <f>"$"</f>
        <v>$</v>
      </c>
    </row>
    <row r="2901" spans="1:38" x14ac:dyDescent="0.3">
      <c r="A2901" t="str">
        <f>"SO23000441"</f>
        <v>SO23000441</v>
      </c>
      <c r="B2901" t="str">
        <f>"E000403309"</f>
        <v>E000403309</v>
      </c>
      <c r="C2901" t="str">
        <f>"טיוטא"</f>
        <v>טיוטא</v>
      </c>
      <c r="E2901" s="3">
        <v>45180</v>
      </c>
      <c r="F2901" s="3">
        <v>45311</v>
      </c>
      <c r="G2901" t="str">
        <f>"700065"</f>
        <v>700065</v>
      </c>
      <c r="H2901" t="str">
        <f>"אלתא מערכות בע""מ"</f>
        <v>אלתא מערכות בע"מ</v>
      </c>
      <c r="I2901" t="str">
        <f>"רחמים זרוק"</f>
        <v>רחמים זרוק</v>
      </c>
      <c r="J2901" t="str">
        <f>"OP-AR03905"</f>
        <v>OP-AR03905</v>
      </c>
      <c r="K2901" s="1" t="str">
        <f>"1037V766-001     WPG06 - LDE to PLATFORM CHASSIS"</f>
        <v>1037V766-001     WPG06 - LDE to PLATFORM CHASSIS</v>
      </c>
      <c r="L2901">
        <v>2</v>
      </c>
      <c r="M2901" t="str">
        <f>"PR23000725"</f>
        <v>PR23000725</v>
      </c>
      <c r="N2901" t="str">
        <f>"E000403309"</f>
        <v>E000403309</v>
      </c>
      <c r="O2901">
        <v>82.32</v>
      </c>
      <c r="P2901" t="str">
        <f>"$"</f>
        <v>$</v>
      </c>
      <c r="Q2901" t="str">
        <f>"117"</f>
        <v>117</v>
      </c>
      <c r="R2901" t="str">
        <f>"רתמות"</f>
        <v>רתמות</v>
      </c>
      <c r="S2901" t="str">
        <f>"040"</f>
        <v>040</v>
      </c>
      <c r="T2901" t="str">
        <f>"עמר ליגל"</f>
        <v>עמר ליגל</v>
      </c>
      <c r="U2901">
        <v>0</v>
      </c>
      <c r="V2901">
        <v>0</v>
      </c>
      <c r="W2901">
        <v>82.32</v>
      </c>
      <c r="X2901">
        <v>164.64</v>
      </c>
      <c r="AA2901">
        <v>2</v>
      </c>
      <c r="AC2901">
        <v>0</v>
      </c>
      <c r="AE2901">
        <v>0</v>
      </c>
      <c r="AF2901">
        <v>0</v>
      </c>
      <c r="AG2901">
        <v>316.52</v>
      </c>
      <c r="AH2901">
        <v>0</v>
      </c>
      <c r="AI2901">
        <v>633.04</v>
      </c>
      <c r="AJ2901">
        <v>164.64</v>
      </c>
      <c r="AK2901">
        <v>164.64</v>
      </c>
      <c r="AL2901" t="str">
        <f>"$"</f>
        <v>$</v>
      </c>
    </row>
    <row r="2902" spans="1:38" x14ac:dyDescent="0.3">
      <c r="A2902" t="str">
        <f>"SO23000441"</f>
        <v>SO23000441</v>
      </c>
      <c r="B2902" t="str">
        <f>"E000403309"</f>
        <v>E000403309</v>
      </c>
      <c r="C2902" t="str">
        <f>"טיוטא"</f>
        <v>טיוטא</v>
      </c>
      <c r="E2902" s="3">
        <v>45180</v>
      </c>
      <c r="F2902" s="3">
        <v>45311</v>
      </c>
      <c r="G2902" t="str">
        <f>"700065"</f>
        <v>700065</v>
      </c>
      <c r="H2902" t="str">
        <f>"אלתא מערכות בע""מ"</f>
        <v>אלתא מערכות בע"מ</v>
      </c>
      <c r="I2902" t="str">
        <f>"רחמים זרוק"</f>
        <v>רחמים זרוק</v>
      </c>
      <c r="J2902" t="str">
        <f>"OP-AR01791"</f>
        <v>OP-AR01791</v>
      </c>
      <c r="K2902" s="1" t="str">
        <f>"1037V768-001 WPG108 - BONDING STRAP MAIN COM PLA"</f>
        <v>1037V768-001 WPG108 - BONDING STRAP MAIN COM PLA</v>
      </c>
      <c r="L2902">
        <v>2</v>
      </c>
      <c r="M2902" t="str">
        <f>"PR23000725"</f>
        <v>PR23000725</v>
      </c>
      <c r="N2902" t="str">
        <f>"E000403309"</f>
        <v>E000403309</v>
      </c>
      <c r="O2902">
        <v>82.43</v>
      </c>
      <c r="P2902" t="str">
        <f>"$"</f>
        <v>$</v>
      </c>
      <c r="Q2902" t="str">
        <f>"117"</f>
        <v>117</v>
      </c>
      <c r="R2902" t="str">
        <f>"רתמות"</f>
        <v>רתמות</v>
      </c>
      <c r="S2902" t="str">
        <f>"040"</f>
        <v>040</v>
      </c>
      <c r="T2902" t="str">
        <f>"עמר ליגל"</f>
        <v>עמר ליגל</v>
      </c>
      <c r="U2902">
        <v>0</v>
      </c>
      <c r="V2902">
        <v>0</v>
      </c>
      <c r="W2902">
        <v>82.43</v>
      </c>
      <c r="X2902">
        <v>164.86</v>
      </c>
      <c r="AA2902">
        <v>2</v>
      </c>
      <c r="AC2902">
        <v>0</v>
      </c>
      <c r="AE2902">
        <v>0</v>
      </c>
      <c r="AF2902">
        <v>0</v>
      </c>
      <c r="AG2902">
        <v>316.94</v>
      </c>
      <c r="AH2902">
        <v>0</v>
      </c>
      <c r="AI2902">
        <v>633.89</v>
      </c>
      <c r="AJ2902">
        <v>164.86</v>
      </c>
      <c r="AK2902">
        <v>164.86</v>
      </c>
      <c r="AL2902" t="str">
        <f>"$"</f>
        <v>$</v>
      </c>
    </row>
    <row r="2903" spans="1:38" x14ac:dyDescent="0.3">
      <c r="A2903" t="str">
        <f>"SO23000441"</f>
        <v>SO23000441</v>
      </c>
      <c r="B2903" t="str">
        <f>"E000403309"</f>
        <v>E000403309</v>
      </c>
      <c r="C2903" t="str">
        <f>"טיוטא"</f>
        <v>טיוטא</v>
      </c>
      <c r="E2903" s="3">
        <v>45180</v>
      </c>
      <c r="F2903" s="3">
        <v>45311</v>
      </c>
      <c r="G2903" t="str">
        <f>"700065"</f>
        <v>700065</v>
      </c>
      <c r="H2903" t="str">
        <f>"אלתא מערכות בע""מ"</f>
        <v>אלתא מערכות בע"מ</v>
      </c>
      <c r="I2903" t="str">
        <f>"רחמים זרוק"</f>
        <v>רחמים זרוק</v>
      </c>
      <c r="J2903" t="str">
        <f>"OP-AR01748"</f>
        <v>OP-AR01748</v>
      </c>
      <c r="K2903" s="1" t="str">
        <f>"1037V769-001 WPG109 - BONDUNG STRAP R.U. BOTTOM"</f>
        <v>1037V769-001 WPG109 - BONDUNG STRAP R.U. BOTTOM</v>
      </c>
      <c r="L2903">
        <v>2</v>
      </c>
      <c r="M2903" t="str">
        <f>"PR23000725"</f>
        <v>PR23000725</v>
      </c>
      <c r="N2903" t="str">
        <f>"E000403309"</f>
        <v>E000403309</v>
      </c>
      <c r="O2903">
        <v>136.32</v>
      </c>
      <c r="P2903" t="str">
        <f>"$"</f>
        <v>$</v>
      </c>
      <c r="Q2903" t="str">
        <f>"117"</f>
        <v>117</v>
      </c>
      <c r="R2903" t="str">
        <f>"רתמות"</f>
        <v>רתמות</v>
      </c>
      <c r="S2903" t="str">
        <f>"040"</f>
        <v>040</v>
      </c>
      <c r="T2903" t="str">
        <f>"עמר ליגל"</f>
        <v>עמר ליגל</v>
      </c>
      <c r="U2903">
        <v>0</v>
      </c>
      <c r="V2903">
        <v>0</v>
      </c>
      <c r="W2903">
        <v>136.32</v>
      </c>
      <c r="X2903">
        <v>272.64</v>
      </c>
      <c r="AA2903">
        <v>2</v>
      </c>
      <c r="AC2903">
        <v>0</v>
      </c>
      <c r="AE2903">
        <v>0</v>
      </c>
      <c r="AF2903">
        <v>0</v>
      </c>
      <c r="AG2903">
        <v>524.15</v>
      </c>
      <c r="AH2903">
        <v>0</v>
      </c>
      <c r="AI2903" s="2">
        <v>1048.3</v>
      </c>
      <c r="AJ2903">
        <v>272.64</v>
      </c>
      <c r="AK2903">
        <v>272.64</v>
      </c>
      <c r="AL2903" t="str">
        <f>"$"</f>
        <v>$</v>
      </c>
    </row>
    <row r="2904" spans="1:38" x14ac:dyDescent="0.3">
      <c r="A2904" t="str">
        <f>"SO23000441"</f>
        <v>SO23000441</v>
      </c>
      <c r="B2904" t="str">
        <f>"E000403309"</f>
        <v>E000403309</v>
      </c>
      <c r="C2904" t="str">
        <f>"טיוטא"</f>
        <v>טיוטא</v>
      </c>
      <c r="E2904" s="3">
        <v>45180</v>
      </c>
      <c r="F2904" s="3">
        <v>45311</v>
      </c>
      <c r="G2904" t="str">
        <f>"700065"</f>
        <v>700065</v>
      </c>
      <c r="H2904" t="str">
        <f>"אלתא מערכות בע""מ"</f>
        <v>אלתא מערכות בע"מ</v>
      </c>
      <c r="I2904" t="str">
        <f>"רחמים זרוק"</f>
        <v>רחמים זרוק</v>
      </c>
      <c r="J2904" t="str">
        <f>"OP-AR01746"</f>
        <v>OP-AR01746</v>
      </c>
      <c r="K2904" s="1" t="str">
        <f>"1037V770-001 WPG110-BONDING STRAP R.U. UPPER to"</f>
        <v>1037V770-001 WPG110-BONDING STRAP R.U. UPPER to</v>
      </c>
      <c r="L2904">
        <v>2</v>
      </c>
      <c r="M2904" t="str">
        <f>"PR23000725"</f>
        <v>PR23000725</v>
      </c>
      <c r="N2904" t="str">
        <f>"E000403309"</f>
        <v>E000403309</v>
      </c>
      <c r="O2904">
        <v>129.97999999999999</v>
      </c>
      <c r="P2904" t="str">
        <f>"$"</f>
        <v>$</v>
      </c>
      <c r="Q2904" t="str">
        <f>"117"</f>
        <v>117</v>
      </c>
      <c r="R2904" t="str">
        <f>"רתמות"</f>
        <v>רתמות</v>
      </c>
      <c r="S2904" t="str">
        <f>"040"</f>
        <v>040</v>
      </c>
      <c r="T2904" t="str">
        <f>"עמר ליגל"</f>
        <v>עמר ליגל</v>
      </c>
      <c r="U2904">
        <v>0</v>
      </c>
      <c r="V2904">
        <v>0</v>
      </c>
      <c r="W2904">
        <v>129.97999999999999</v>
      </c>
      <c r="X2904">
        <v>259.95999999999998</v>
      </c>
      <c r="AA2904">
        <v>2</v>
      </c>
      <c r="AC2904">
        <v>0</v>
      </c>
      <c r="AE2904">
        <v>0</v>
      </c>
      <c r="AF2904">
        <v>0</v>
      </c>
      <c r="AG2904">
        <v>499.77</v>
      </c>
      <c r="AH2904">
        <v>0</v>
      </c>
      <c r="AI2904">
        <v>999.55</v>
      </c>
      <c r="AJ2904">
        <v>259.95999999999998</v>
      </c>
      <c r="AK2904">
        <v>259.95999999999998</v>
      </c>
      <c r="AL2904" t="str">
        <f>"$"</f>
        <v>$</v>
      </c>
    </row>
    <row r="2905" spans="1:38" x14ac:dyDescent="0.3">
      <c r="A2905" t="str">
        <f>"SO23000441"</f>
        <v>SO23000441</v>
      </c>
      <c r="B2905" t="str">
        <f>"E000403309"</f>
        <v>E000403309</v>
      </c>
      <c r="C2905" t="str">
        <f>"טיוטא"</f>
        <v>טיוטא</v>
      </c>
      <c r="E2905" s="3">
        <v>45180</v>
      </c>
      <c r="F2905" s="3">
        <v>45311</v>
      </c>
      <c r="G2905" t="str">
        <f>"700065"</f>
        <v>700065</v>
      </c>
      <c r="H2905" t="str">
        <f>"אלתא מערכות בע""מ"</f>
        <v>אלתא מערכות בע"מ</v>
      </c>
      <c r="I2905" t="str">
        <f>"רחמים זרוק"</f>
        <v>רחמים זרוק</v>
      </c>
      <c r="J2905" t="str">
        <f>"OP-AR01785"</f>
        <v>OP-AR01785</v>
      </c>
      <c r="K2905" s="1" t="str">
        <f>"1037V780-001 WMG107-BONDING STRAP EXTERNAL MEB t"</f>
        <v>1037V780-001 WMG107-BONDING STRAP EXTERNAL MEB t</v>
      </c>
      <c r="L2905">
        <v>4</v>
      </c>
      <c r="M2905" t="str">
        <f>"PR23000725"</f>
        <v>PR23000725</v>
      </c>
      <c r="N2905" t="str">
        <f>"E000403309"</f>
        <v>E000403309</v>
      </c>
      <c r="O2905">
        <v>99.75</v>
      </c>
      <c r="P2905" t="str">
        <f>"$"</f>
        <v>$</v>
      </c>
      <c r="Q2905" t="str">
        <f>"117"</f>
        <v>117</v>
      </c>
      <c r="R2905" t="str">
        <f>"רתמות"</f>
        <v>רתמות</v>
      </c>
      <c r="S2905" t="str">
        <f>"040"</f>
        <v>040</v>
      </c>
      <c r="T2905" t="str">
        <f>"עמר ליגל"</f>
        <v>עמר ליגל</v>
      </c>
      <c r="U2905">
        <v>0</v>
      </c>
      <c r="V2905">
        <v>0</v>
      </c>
      <c r="W2905">
        <v>99.75</v>
      </c>
      <c r="X2905">
        <v>399</v>
      </c>
      <c r="AA2905">
        <v>4</v>
      </c>
      <c r="AC2905">
        <v>0</v>
      </c>
      <c r="AE2905">
        <v>0</v>
      </c>
      <c r="AF2905">
        <v>0</v>
      </c>
      <c r="AG2905">
        <v>383.54</v>
      </c>
      <c r="AH2905">
        <v>0</v>
      </c>
      <c r="AI2905" s="2">
        <v>1534.16</v>
      </c>
      <c r="AJ2905">
        <v>399</v>
      </c>
      <c r="AK2905">
        <v>399</v>
      </c>
      <c r="AL2905" t="str">
        <f>"$"</f>
        <v>$</v>
      </c>
    </row>
    <row r="2906" spans="1:38" x14ac:dyDescent="0.3">
      <c r="A2906" t="str">
        <f>"SO23000441"</f>
        <v>SO23000441</v>
      </c>
      <c r="B2906" t="str">
        <f>"E000403309"</f>
        <v>E000403309</v>
      </c>
      <c r="C2906" t="str">
        <f>"טיוטא"</f>
        <v>טיוטא</v>
      </c>
      <c r="E2906" s="3">
        <v>45180</v>
      </c>
      <c r="F2906" s="3">
        <v>45311</v>
      </c>
      <c r="G2906" t="str">
        <f>"700065"</f>
        <v>700065</v>
      </c>
      <c r="H2906" t="str">
        <f>"אלתא מערכות בע""מ"</f>
        <v>אלתא מערכות בע"מ</v>
      </c>
      <c r="I2906" t="str">
        <f>"רחמים זרוק"</f>
        <v>רחמים זרוק</v>
      </c>
      <c r="J2906" t="str">
        <f>"OP-AR01750"</f>
        <v>OP-AR01750</v>
      </c>
      <c r="K2906" s="1" t="str">
        <f>"1037V782-001 WPG115-BONDING STRAP AFT COMD BOX t"</f>
        <v>1037V782-001 WPG115-BONDING STRAP AFT COMD BOX t</v>
      </c>
      <c r="L2906">
        <v>2</v>
      </c>
      <c r="M2906" t="str">
        <f>"PR23000725"</f>
        <v>PR23000725</v>
      </c>
      <c r="N2906" t="str">
        <f>"E000403309"</f>
        <v>E000403309</v>
      </c>
      <c r="O2906">
        <v>93.05</v>
      </c>
      <c r="P2906" t="str">
        <f>"$"</f>
        <v>$</v>
      </c>
      <c r="Q2906" t="str">
        <f>"117"</f>
        <v>117</v>
      </c>
      <c r="R2906" t="str">
        <f>"רתמות"</f>
        <v>רתמות</v>
      </c>
      <c r="S2906" t="str">
        <f>"040"</f>
        <v>040</v>
      </c>
      <c r="T2906" t="str">
        <f>"עמר ליגל"</f>
        <v>עמר ליגל</v>
      </c>
      <c r="U2906">
        <v>0</v>
      </c>
      <c r="V2906">
        <v>0</v>
      </c>
      <c r="W2906">
        <v>93.05</v>
      </c>
      <c r="X2906">
        <v>186.1</v>
      </c>
      <c r="AA2906">
        <v>2</v>
      </c>
      <c r="AC2906">
        <v>0</v>
      </c>
      <c r="AE2906">
        <v>0</v>
      </c>
      <c r="AF2906">
        <v>0</v>
      </c>
      <c r="AG2906">
        <v>357.78</v>
      </c>
      <c r="AH2906">
        <v>0</v>
      </c>
      <c r="AI2906">
        <v>715.55</v>
      </c>
      <c r="AJ2906">
        <v>186.1</v>
      </c>
      <c r="AK2906">
        <v>186.1</v>
      </c>
      <c r="AL2906" t="str">
        <f>"$"</f>
        <v>$</v>
      </c>
    </row>
    <row r="2907" spans="1:38" x14ac:dyDescent="0.3">
      <c r="A2907" t="str">
        <f>"SO23000441"</f>
        <v>SO23000441</v>
      </c>
      <c r="B2907" t="str">
        <f>"E000403309"</f>
        <v>E000403309</v>
      </c>
      <c r="C2907" t="str">
        <f>"טיוטא"</f>
        <v>טיוטא</v>
      </c>
      <c r="E2907" s="3">
        <v>45180</v>
      </c>
      <c r="F2907" s="3">
        <v>45311</v>
      </c>
      <c r="G2907" t="str">
        <f>"700065"</f>
        <v>700065</v>
      </c>
      <c r="H2907" t="str">
        <f>"אלתא מערכות בע""מ"</f>
        <v>אלתא מערכות בע"מ</v>
      </c>
      <c r="I2907" t="str">
        <f>"רחמים זרוק"</f>
        <v>רחמים זרוק</v>
      </c>
      <c r="J2907" t="str">
        <f>"OP-AR01775"</f>
        <v>OP-AR01775</v>
      </c>
      <c r="K2907" s="1" t="str">
        <f>"1039V118-001 WPG121-BONDING STRAP GREASER TO PED"</f>
        <v>1039V118-001 WPG121-BONDING STRAP GREASER TO PED</v>
      </c>
      <c r="L2907">
        <v>2</v>
      </c>
      <c r="M2907" t="str">
        <f>"PR23000725"</f>
        <v>PR23000725</v>
      </c>
      <c r="N2907" t="str">
        <f>"E000403309"</f>
        <v>E000403309</v>
      </c>
      <c r="O2907">
        <v>89.27</v>
      </c>
      <c r="P2907" t="str">
        <f>"$"</f>
        <v>$</v>
      </c>
      <c r="Q2907" t="str">
        <f>"117"</f>
        <v>117</v>
      </c>
      <c r="R2907" t="str">
        <f>"רתמות"</f>
        <v>רתמות</v>
      </c>
      <c r="S2907" t="str">
        <f>"040"</f>
        <v>040</v>
      </c>
      <c r="T2907" t="str">
        <f>"עמר ליגל"</f>
        <v>עמר ליגל</v>
      </c>
      <c r="U2907">
        <v>0</v>
      </c>
      <c r="V2907">
        <v>0</v>
      </c>
      <c r="W2907">
        <v>89.27</v>
      </c>
      <c r="X2907">
        <v>178.54</v>
      </c>
      <c r="AA2907">
        <v>2</v>
      </c>
      <c r="AC2907">
        <v>0</v>
      </c>
      <c r="AE2907">
        <v>0</v>
      </c>
      <c r="AF2907">
        <v>0</v>
      </c>
      <c r="AG2907">
        <v>343.24</v>
      </c>
      <c r="AH2907">
        <v>0</v>
      </c>
      <c r="AI2907">
        <v>686.49</v>
      </c>
      <c r="AJ2907">
        <v>178.54</v>
      </c>
      <c r="AK2907">
        <v>178.54</v>
      </c>
      <c r="AL2907" t="str">
        <f>"$"</f>
        <v>$</v>
      </c>
    </row>
    <row r="2908" spans="1:38" x14ac:dyDescent="0.3">
      <c r="A2908" t="str">
        <f>"SO23000441"</f>
        <v>SO23000441</v>
      </c>
      <c r="B2908" t="str">
        <f>"E000403309"</f>
        <v>E000403309</v>
      </c>
      <c r="C2908" t="str">
        <f>"טיוטא"</f>
        <v>טיוטא</v>
      </c>
      <c r="E2908" s="3">
        <v>45180</v>
      </c>
      <c r="F2908" s="3">
        <v>45311</v>
      </c>
      <c r="G2908" t="str">
        <f>"700065"</f>
        <v>700065</v>
      </c>
      <c r="H2908" t="str">
        <f>"אלתא מערכות בע""מ"</f>
        <v>אלתא מערכות בע"מ</v>
      </c>
      <c r="I2908" t="str">
        <f>"רחמים זרוק"</f>
        <v>רחמים זרוק</v>
      </c>
      <c r="J2908" t="str">
        <f>"OP-AR01794"</f>
        <v>OP-AR01794</v>
      </c>
      <c r="K2908" s="1" t="str">
        <f>"1039V228-001 HARNESS W028 AUX BOX TO ANTENNA"</f>
        <v>1039V228-001 HARNESS W028 AUX BOX TO ANTENNA</v>
      </c>
      <c r="L2908">
        <v>2</v>
      </c>
      <c r="M2908" t="str">
        <f>"PR23000725"</f>
        <v>PR23000725</v>
      </c>
      <c r="N2908" t="str">
        <f>"E000403309"</f>
        <v>E000403309</v>
      </c>
      <c r="O2908">
        <v>546.24</v>
      </c>
      <c r="P2908" t="str">
        <f>"$"</f>
        <v>$</v>
      </c>
      <c r="Q2908" t="str">
        <f>"117"</f>
        <v>117</v>
      </c>
      <c r="R2908" t="str">
        <f>"רתמות"</f>
        <v>רתמות</v>
      </c>
      <c r="S2908" t="str">
        <f>"040"</f>
        <v>040</v>
      </c>
      <c r="T2908" t="str">
        <f>"עמר ליגל"</f>
        <v>עמר ליגל</v>
      </c>
      <c r="U2908">
        <v>0</v>
      </c>
      <c r="V2908">
        <v>0</v>
      </c>
      <c r="W2908">
        <v>546.24</v>
      </c>
      <c r="X2908" s="2">
        <v>1092.48</v>
      </c>
      <c r="AA2908">
        <v>2</v>
      </c>
      <c r="AC2908">
        <v>0</v>
      </c>
      <c r="AE2908">
        <v>0</v>
      </c>
      <c r="AF2908">
        <v>0</v>
      </c>
      <c r="AG2908" s="2">
        <v>2100.29</v>
      </c>
      <c r="AH2908">
        <v>0</v>
      </c>
      <c r="AI2908" s="2">
        <v>4200.59</v>
      </c>
      <c r="AJ2908" s="2">
        <v>1092.48</v>
      </c>
      <c r="AK2908" s="2">
        <v>1092.48</v>
      </c>
      <c r="AL2908" t="str">
        <f>"$"</f>
        <v>$</v>
      </c>
    </row>
    <row r="2909" spans="1:38" x14ac:dyDescent="0.3">
      <c r="A2909" t="str">
        <f>"SO23000441"</f>
        <v>SO23000441</v>
      </c>
      <c r="B2909" t="str">
        <f>"E000403309"</f>
        <v>E000403309</v>
      </c>
      <c r="C2909" t="str">
        <f>"טיוטא"</f>
        <v>טיוטא</v>
      </c>
      <c r="E2909" s="3">
        <v>45180</v>
      </c>
      <c r="F2909" s="3">
        <v>45311</v>
      </c>
      <c r="G2909" t="str">
        <f>"700065"</f>
        <v>700065</v>
      </c>
      <c r="H2909" t="str">
        <f>"אלתא מערכות בע""מ"</f>
        <v>אלתא מערכות בע"מ</v>
      </c>
      <c r="I2909" t="str">
        <f>"רחמים זרוק"</f>
        <v>רחמים זרוק</v>
      </c>
      <c r="J2909" t="str">
        <f>"OP-AR01792"</f>
        <v>OP-AR01792</v>
      </c>
      <c r="K2909" s="1" t="str">
        <f>"1039V309-001 BONDING CABLE WPG119 - BONDING STRA"</f>
        <v>1039V309-001 BONDING CABLE WPG119 - BONDING STRA</v>
      </c>
      <c r="L2909">
        <v>2</v>
      </c>
      <c r="M2909" t="str">
        <f>"PR23000725"</f>
        <v>PR23000725</v>
      </c>
      <c r="N2909" t="str">
        <f>"E000403309"</f>
        <v>E000403309</v>
      </c>
      <c r="O2909">
        <v>71.53</v>
      </c>
      <c r="P2909" t="str">
        <f>"$"</f>
        <v>$</v>
      </c>
      <c r="Q2909" t="str">
        <f>"117"</f>
        <v>117</v>
      </c>
      <c r="R2909" t="str">
        <f>"רתמות"</f>
        <v>רתמות</v>
      </c>
      <c r="S2909" t="str">
        <f>"040"</f>
        <v>040</v>
      </c>
      <c r="T2909" t="str">
        <f>"עמר ליגל"</f>
        <v>עמר ליגל</v>
      </c>
      <c r="U2909">
        <v>0</v>
      </c>
      <c r="V2909">
        <v>0</v>
      </c>
      <c r="W2909">
        <v>71.53</v>
      </c>
      <c r="X2909">
        <v>143.06</v>
      </c>
      <c r="AA2909">
        <v>2</v>
      </c>
      <c r="AC2909">
        <v>0</v>
      </c>
      <c r="AE2909">
        <v>0</v>
      </c>
      <c r="AF2909">
        <v>0</v>
      </c>
      <c r="AG2909">
        <v>275.02999999999997</v>
      </c>
      <c r="AH2909">
        <v>0</v>
      </c>
      <c r="AI2909">
        <v>550.07000000000005</v>
      </c>
      <c r="AJ2909">
        <v>143.06</v>
      </c>
      <c r="AK2909">
        <v>143.06</v>
      </c>
      <c r="AL2909" t="str">
        <f>"$"</f>
        <v>$</v>
      </c>
    </row>
    <row r="2910" spans="1:38" x14ac:dyDescent="0.3">
      <c r="A2910" t="str">
        <f>"SO23000441"</f>
        <v>SO23000441</v>
      </c>
      <c r="B2910" t="str">
        <f>"E000403309"</f>
        <v>E000403309</v>
      </c>
      <c r="C2910" t="str">
        <f>"טיוטא"</f>
        <v>טיוטא</v>
      </c>
      <c r="E2910" s="3">
        <v>45180</v>
      </c>
      <c r="F2910" s="3">
        <v>45311</v>
      </c>
      <c r="G2910" t="str">
        <f>"700065"</f>
        <v>700065</v>
      </c>
      <c r="H2910" t="str">
        <f>"אלתא מערכות בע""מ"</f>
        <v>אלתא מערכות בע"מ</v>
      </c>
      <c r="I2910" t="str">
        <f>"רחמים זרוק"</f>
        <v>רחמים זרוק</v>
      </c>
      <c r="J2910" t="str">
        <f>"OP-AR01774"</f>
        <v>OP-AR01774</v>
      </c>
      <c r="K2910" s="1" t="str">
        <f>"1039V341-001 WPG20-BONDING STRAP PED PANNEL CENT"</f>
        <v>1039V341-001 WPG20-BONDING STRAP PED PANNEL CENT</v>
      </c>
      <c r="L2910">
        <v>2</v>
      </c>
      <c r="M2910" t="str">
        <f>"PR23000725"</f>
        <v>PR23000725</v>
      </c>
      <c r="N2910" t="str">
        <f>"E000403309"</f>
        <v>E000403309</v>
      </c>
      <c r="O2910">
        <v>94.4</v>
      </c>
      <c r="P2910" t="str">
        <f>"$"</f>
        <v>$</v>
      </c>
      <c r="Q2910" t="str">
        <f>"117"</f>
        <v>117</v>
      </c>
      <c r="R2910" t="str">
        <f>"רתמות"</f>
        <v>רתמות</v>
      </c>
      <c r="S2910" t="str">
        <f>"040"</f>
        <v>040</v>
      </c>
      <c r="T2910" t="str">
        <f>"עמר ליגל"</f>
        <v>עמר ליגל</v>
      </c>
      <c r="U2910">
        <v>0</v>
      </c>
      <c r="V2910">
        <v>0</v>
      </c>
      <c r="W2910">
        <v>94.4</v>
      </c>
      <c r="X2910">
        <v>188.8</v>
      </c>
      <c r="AA2910">
        <v>2</v>
      </c>
      <c r="AC2910">
        <v>0</v>
      </c>
      <c r="AE2910">
        <v>0</v>
      </c>
      <c r="AF2910">
        <v>0</v>
      </c>
      <c r="AG2910">
        <v>362.97</v>
      </c>
      <c r="AH2910">
        <v>0</v>
      </c>
      <c r="AI2910">
        <v>725.94</v>
      </c>
      <c r="AJ2910">
        <v>188.8</v>
      </c>
      <c r="AK2910">
        <v>188.8</v>
      </c>
      <c r="AL2910" t="str">
        <f>"$"</f>
        <v>$</v>
      </c>
    </row>
    <row r="2911" spans="1:38" x14ac:dyDescent="0.3">
      <c r="A2911" t="str">
        <f>"SO23000444"</f>
        <v>SO23000444</v>
      </c>
      <c r="B2911" t="str">
        <f>"E000403988"</f>
        <v>E000403988</v>
      </c>
      <c r="C2911" t="str">
        <f>"לאישור הסוכן"</f>
        <v>לאישור הסוכן</v>
      </c>
      <c r="E2911" s="3">
        <v>45181</v>
      </c>
      <c r="F2911" s="3">
        <v>45350</v>
      </c>
      <c r="G2911" t="str">
        <f>"700065"</f>
        <v>700065</v>
      </c>
      <c r="H2911" t="str">
        <f>"אלתא מערכות בע""מ"</f>
        <v>אלתא מערכות בע"מ</v>
      </c>
      <c r="I2911" t="str">
        <f>"רוני דידי"</f>
        <v>רוני דידי</v>
      </c>
      <c r="J2911" t="str">
        <f>"000"</f>
        <v>000</v>
      </c>
      <c r="K2911" s="1" t="str">
        <f>"NRE"</f>
        <v>NRE</v>
      </c>
      <c r="L2911">
        <v>1</v>
      </c>
      <c r="M2911" t="str">
        <f>"PR23000705"</f>
        <v>PR23000705</v>
      </c>
      <c r="N2911" t="str">
        <f>"E000403988 NRE"</f>
        <v>E000403988 NRE</v>
      </c>
      <c r="O2911" s="2">
        <v>103270.35</v>
      </c>
      <c r="P2911" t="str">
        <f>"$"</f>
        <v>$</v>
      </c>
      <c r="Q2911" t="str">
        <f>"118"</f>
        <v>118</v>
      </c>
      <c r="R2911" t="str">
        <f>"מערכות"</f>
        <v>מערכות</v>
      </c>
      <c r="S2911" t="str">
        <f>"007"</f>
        <v>007</v>
      </c>
      <c r="T2911" t="str">
        <f>"עמר ליגל"</f>
        <v>עמר ליגל</v>
      </c>
      <c r="U2911">
        <v>0</v>
      </c>
      <c r="V2911">
        <v>0</v>
      </c>
      <c r="W2911" s="2">
        <v>103270.35</v>
      </c>
      <c r="X2911" s="2">
        <v>103270.35</v>
      </c>
      <c r="AA2911">
        <v>1</v>
      </c>
      <c r="AC2911">
        <v>0</v>
      </c>
      <c r="AE2911">
        <v>0</v>
      </c>
      <c r="AF2911">
        <v>0</v>
      </c>
      <c r="AG2911" s="2">
        <v>392220.79</v>
      </c>
      <c r="AH2911">
        <v>0</v>
      </c>
      <c r="AI2911" s="2">
        <v>392220.79</v>
      </c>
      <c r="AJ2911" s="2">
        <v>103270.35</v>
      </c>
      <c r="AK2911" s="2">
        <v>103270.35</v>
      </c>
      <c r="AL2911" t="str">
        <f>"$"</f>
        <v>$</v>
      </c>
    </row>
    <row r="2912" spans="1:38" x14ac:dyDescent="0.3">
      <c r="A2912" t="str">
        <f>"SO23000444"</f>
        <v>SO23000444</v>
      </c>
      <c r="B2912" t="str">
        <f>"E000403988"</f>
        <v>E000403988</v>
      </c>
      <c r="C2912" t="str">
        <f>"לאישור הסוכן"</f>
        <v>לאישור הסוכן</v>
      </c>
      <c r="E2912" s="3">
        <v>45181</v>
      </c>
      <c r="F2912" s="3">
        <v>45350</v>
      </c>
      <c r="G2912" t="str">
        <f>"700065"</f>
        <v>700065</v>
      </c>
      <c r="H2912" t="str">
        <f>"אלתא מערכות בע""מ"</f>
        <v>אלתא מערכות בע"מ</v>
      </c>
      <c r="I2912" t="str">
        <f>"רוני דידי"</f>
        <v>רוני דידי</v>
      </c>
      <c r="J2912" t="str">
        <f>"OP-ML00262"</f>
        <v>OP-ML00262</v>
      </c>
      <c r="K2912" s="1" t="str">
        <f>"PDB3  1040K640-001"</f>
        <v>PDB3  1040K640-001</v>
      </c>
      <c r="L2912">
        <v>1</v>
      </c>
      <c r="M2912" t="str">
        <f>"PR23000706"</f>
        <v>PR23000706</v>
      </c>
      <c r="N2912" t="str">
        <f>"PDB3  1040K640-001"</f>
        <v>PDB3  1040K640-001</v>
      </c>
      <c r="O2912" s="2">
        <v>56285.85</v>
      </c>
      <c r="P2912" t="str">
        <f>"$"</f>
        <v>$</v>
      </c>
      <c r="Q2912" t="str">
        <f>"118"</f>
        <v>118</v>
      </c>
      <c r="R2912" t="str">
        <f>"מערכות"</f>
        <v>מערכות</v>
      </c>
      <c r="S2912" t="str">
        <f>"007"</f>
        <v>007</v>
      </c>
      <c r="T2912" t="str">
        <f>"עמר ליגל"</f>
        <v>עמר ליגל</v>
      </c>
      <c r="U2912">
        <v>0</v>
      </c>
      <c r="V2912">
        <v>0</v>
      </c>
      <c r="W2912" s="2">
        <v>56285.85</v>
      </c>
      <c r="X2912" s="2">
        <v>56285.85</v>
      </c>
      <c r="AA2912">
        <v>1</v>
      </c>
      <c r="AC2912">
        <v>0</v>
      </c>
      <c r="AE2912">
        <v>0</v>
      </c>
      <c r="AF2912">
        <v>0</v>
      </c>
      <c r="AG2912" s="2">
        <v>213773.66</v>
      </c>
      <c r="AH2912">
        <v>0</v>
      </c>
      <c r="AI2912" s="2">
        <v>213773.66</v>
      </c>
      <c r="AJ2912" s="2">
        <v>56285.85</v>
      </c>
      <c r="AK2912" s="2">
        <v>56285.85</v>
      </c>
      <c r="AL2912" t="str">
        <f>"$"</f>
        <v>$</v>
      </c>
    </row>
    <row r="2913" spans="1:38" x14ac:dyDescent="0.3">
      <c r="A2913" t="str">
        <f>"SO23000448"</f>
        <v>SO23000448</v>
      </c>
      <c r="B2913" t="str">
        <f>"E000404350"</f>
        <v>E000404350</v>
      </c>
      <c r="C2913" t="str">
        <f>"בוצעה"</f>
        <v>בוצעה</v>
      </c>
      <c r="E2913" s="3">
        <v>45182</v>
      </c>
      <c r="F2913" s="3">
        <v>45182</v>
      </c>
      <c r="G2913" t="str">
        <f>"700065"</f>
        <v>700065</v>
      </c>
      <c r="H2913" t="str">
        <f>"אלתא מערכות בע""מ"</f>
        <v>אלתא מערכות בע"מ</v>
      </c>
      <c r="J2913" t="str">
        <f>"cust001248"</f>
        <v>cust001248</v>
      </c>
      <c r="K2913" s="1" t="str">
        <f>"ELTA PDU2 1030G480-001"</f>
        <v>ELTA PDU2 1030G480-001</v>
      </c>
      <c r="L2913">
        <v>1</v>
      </c>
      <c r="M2913" t="str">
        <f>"PR23000690"</f>
        <v>PR23000690</v>
      </c>
      <c r="N2913" t="str">
        <f>"PDU 1030G480-001תיקון"</f>
        <v>PDU 1030G480-001תיקון</v>
      </c>
      <c r="O2913">
        <v>0</v>
      </c>
      <c r="P2913" t="str">
        <f>"$"</f>
        <v>$</v>
      </c>
      <c r="Q2913" t="str">
        <f>"118"</f>
        <v>118</v>
      </c>
      <c r="R2913" t="str">
        <f>"מערכות"</f>
        <v>מערכות</v>
      </c>
      <c r="T2913" t="str">
        <f>"גנם הודיה"</f>
        <v>גנם הודיה</v>
      </c>
      <c r="U2913">
        <v>0</v>
      </c>
      <c r="V2913">
        <v>0</v>
      </c>
      <c r="W2913">
        <v>0</v>
      </c>
      <c r="X2913">
        <v>0</v>
      </c>
      <c r="Z2913" t="str">
        <f>"Y"</f>
        <v>Y</v>
      </c>
      <c r="AA2913">
        <v>0</v>
      </c>
      <c r="AC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 t="str">
        <f>"$"</f>
        <v>$</v>
      </c>
    </row>
    <row r="2914" spans="1:38" x14ac:dyDescent="0.3">
      <c r="A2914" t="str">
        <f>"SO23000452"</f>
        <v>SO23000452</v>
      </c>
      <c r="C2914" t="str">
        <f>"בוצעה"</f>
        <v>בוצעה</v>
      </c>
      <c r="E2914" s="3">
        <v>45182</v>
      </c>
      <c r="F2914" s="3">
        <v>45182</v>
      </c>
      <c r="G2914" t="str">
        <f>"700065"</f>
        <v>700065</v>
      </c>
      <c r="H2914" t="str">
        <f>"אלתא מערכות בע""מ"</f>
        <v>אלתא מערכות בע"מ</v>
      </c>
      <c r="J2914" t="str">
        <f>"PA0100083"</f>
        <v>PA0100083</v>
      </c>
      <c r="K2914" s="1" t="str">
        <f>"התקן אטימה לתקע חד פאזי 476905 32A"</f>
        <v>התקן אטימה לתקע חד פאזי 476905 32A</v>
      </c>
      <c r="L2914">
        <v>1</v>
      </c>
      <c r="M2914" t="str">
        <f>"PR23000708"</f>
        <v>PR23000708</v>
      </c>
      <c r="N2914" t="str">
        <f>"PA0100083"</f>
        <v>PA0100083</v>
      </c>
      <c r="O2914">
        <v>0</v>
      </c>
      <c r="P2914" t="str">
        <f>"$"</f>
        <v>$</v>
      </c>
      <c r="Q2914" t="str">
        <f>"118"</f>
        <v>118</v>
      </c>
      <c r="R2914" t="str">
        <f>"מערכות"</f>
        <v>מערכות</v>
      </c>
      <c r="T2914" t="str">
        <f>"גנם הודיה"</f>
        <v>גנם הודיה</v>
      </c>
      <c r="U2914">
        <v>0</v>
      </c>
      <c r="V2914">
        <v>0</v>
      </c>
      <c r="W2914">
        <v>0</v>
      </c>
      <c r="X2914">
        <v>0</v>
      </c>
      <c r="Z2914" t="str">
        <f>"Y"</f>
        <v>Y</v>
      </c>
      <c r="AA2914">
        <v>0</v>
      </c>
      <c r="AC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 t="str">
        <f>"$"</f>
        <v>$</v>
      </c>
    </row>
    <row r="2915" spans="1:38" x14ac:dyDescent="0.3">
      <c r="A2915" t="str">
        <f>"SO23000456"</f>
        <v>SO23000456</v>
      </c>
      <c r="B2915" t="str">
        <f>"E000404998"</f>
        <v>E000404998</v>
      </c>
      <c r="C2915" t="str">
        <f>"מאושרת לבצוע"</f>
        <v>מאושרת לבצוע</v>
      </c>
      <c r="E2915" s="3">
        <v>45183</v>
      </c>
      <c r="F2915" s="3">
        <v>45290</v>
      </c>
      <c r="G2915" t="str">
        <f>"700065"</f>
        <v>700065</v>
      </c>
      <c r="H2915" t="str">
        <f>"אלתא מערכות בע""מ"</f>
        <v>אלתא מערכות בע"מ</v>
      </c>
      <c r="I2915" t="str">
        <f>"רוני דידי"</f>
        <v>רוני דידי</v>
      </c>
      <c r="J2915" t="str">
        <f>"PS0300006"</f>
        <v>PS0300006</v>
      </c>
      <c r="K2915" s="1" t="str">
        <f>"TSI-EPC - 380Vac-Module BRAVO"</f>
        <v>TSI-EPC - 380Vac-Module BRAVO</v>
      </c>
      <c r="L2915">
        <v>14</v>
      </c>
      <c r="M2915" t="str">
        <f>"PR23000711"</f>
        <v>PR23000711</v>
      </c>
      <c r="N2915" t="str">
        <f>"TSI-EPC - 380Vac-Module BRAVO"</f>
        <v>TSI-EPC - 380Vac-Module BRAVO</v>
      </c>
      <c r="O2915" s="2">
        <v>1950</v>
      </c>
      <c r="P2915" t="str">
        <f>"$"</f>
        <v>$</v>
      </c>
      <c r="Q2915" t="str">
        <f>"111"</f>
        <v>111</v>
      </c>
      <c r="R2915" t="str">
        <f>"מכירה"</f>
        <v>מכירה</v>
      </c>
      <c r="S2915" t="str">
        <f>"007"</f>
        <v>007</v>
      </c>
      <c r="T2915" t="str">
        <f>"עמר ליגל"</f>
        <v>עמר ליגל</v>
      </c>
      <c r="U2915">
        <v>0</v>
      </c>
      <c r="V2915">
        <v>0</v>
      </c>
      <c r="W2915" s="2">
        <v>1950</v>
      </c>
      <c r="X2915" s="2">
        <v>27300</v>
      </c>
      <c r="AA2915">
        <v>2</v>
      </c>
      <c r="AC2915">
        <v>0</v>
      </c>
      <c r="AE2915">
        <v>0</v>
      </c>
      <c r="AF2915">
        <v>0</v>
      </c>
      <c r="AG2915" s="2">
        <v>7460.7</v>
      </c>
      <c r="AH2915">
        <v>0</v>
      </c>
      <c r="AI2915" s="2">
        <v>104449.8</v>
      </c>
      <c r="AJ2915" s="2">
        <v>27300</v>
      </c>
      <c r="AK2915" s="2">
        <v>27300</v>
      </c>
      <c r="AL2915" t="str">
        <f>"$"</f>
        <v>$</v>
      </c>
    </row>
    <row r="2916" spans="1:38" x14ac:dyDescent="0.3">
      <c r="A2916" t="str">
        <f>"SO23000459"</f>
        <v>SO23000459</v>
      </c>
      <c r="B2916" t="str">
        <f>"E000405345"</f>
        <v>E000405345</v>
      </c>
      <c r="C2916" t="str">
        <f>"מאושרת לבצוע"</f>
        <v>מאושרת לבצוע</v>
      </c>
      <c r="E2916" s="3">
        <v>45188</v>
      </c>
      <c r="F2916" s="3">
        <v>45260</v>
      </c>
      <c r="G2916" t="str">
        <f>"700065"</f>
        <v>700065</v>
      </c>
      <c r="H2916" t="str">
        <f>"אלתא מערכות בע""מ"</f>
        <v>אלתא מערכות בע"מ</v>
      </c>
      <c r="I2916" t="str">
        <f>"רוני דידי"</f>
        <v>רוני דידי</v>
      </c>
      <c r="J2916" t="str">
        <f>"000"</f>
        <v>000</v>
      </c>
      <c r="K2916" s="1" t="str">
        <f>"פירוק, הרכבה וביצוע ATP למארז"</f>
        <v>פירוק, הרכבה וביצוע ATP למארז</v>
      </c>
      <c r="L2916">
        <v>1</v>
      </c>
      <c r="O2916" s="2">
        <v>8000</v>
      </c>
      <c r="P2916" t="str">
        <f>"$"</f>
        <v>$</v>
      </c>
      <c r="Q2916" t="str">
        <f>"118"</f>
        <v>118</v>
      </c>
      <c r="R2916" t="str">
        <f>"מערכות"</f>
        <v>מערכות</v>
      </c>
      <c r="S2916" t="str">
        <f>"007"</f>
        <v>007</v>
      </c>
      <c r="T2916" t="str">
        <f>"עמר ליגל"</f>
        <v>עמר ליגל</v>
      </c>
      <c r="U2916">
        <v>0</v>
      </c>
      <c r="V2916">
        <v>0</v>
      </c>
      <c r="W2916" s="2">
        <v>8000</v>
      </c>
      <c r="X2916" s="2">
        <v>8000</v>
      </c>
      <c r="AA2916">
        <v>1</v>
      </c>
      <c r="AC2916">
        <v>0</v>
      </c>
      <c r="AE2916">
        <v>0</v>
      </c>
      <c r="AF2916">
        <v>0</v>
      </c>
      <c r="AG2916" s="2">
        <v>30432</v>
      </c>
      <c r="AH2916">
        <v>0</v>
      </c>
      <c r="AI2916" s="2">
        <v>30432</v>
      </c>
      <c r="AJ2916" s="2">
        <v>8000</v>
      </c>
      <c r="AK2916" s="2">
        <v>8000</v>
      </c>
      <c r="AL2916" t="str">
        <f>"$"</f>
        <v>$</v>
      </c>
    </row>
    <row r="2917" spans="1:38" x14ac:dyDescent="0.3">
      <c r="A2917" t="str">
        <f>"SO23000460"</f>
        <v>SO23000460</v>
      </c>
      <c r="B2917" t="str">
        <f>"E000404215"</f>
        <v>E000404215</v>
      </c>
      <c r="C2917" t="str">
        <f>"בוצעה"</f>
        <v>בוצעה</v>
      </c>
      <c r="E2917" s="3">
        <v>45188</v>
      </c>
      <c r="F2917" s="3">
        <v>45197</v>
      </c>
      <c r="G2917" t="str">
        <f>"700065"</f>
        <v>700065</v>
      </c>
      <c r="H2917" t="str">
        <f>"אלתא מערכות בע""מ"</f>
        <v>אלתא מערכות בע"מ</v>
      </c>
      <c r="I2917" t="str">
        <f>"רוני דידי"</f>
        <v>רוני דידי</v>
      </c>
      <c r="J2917" t="str">
        <f>"PD0200589"</f>
        <v>PD0200589</v>
      </c>
      <c r="K2917" s="1" t="str">
        <f>"ממסר פחת משולב DS201 M C10 A30   10KA"</f>
        <v>ממסר פחת משולב DS201 M C10 A30   10KA</v>
      </c>
      <c r="L2917">
        <v>1</v>
      </c>
      <c r="M2917" t="str">
        <f>"PR23000646"</f>
        <v>PR23000646</v>
      </c>
      <c r="N2917" t="str">
        <f>"מפסקי פחת לצכיה"</f>
        <v>מפסקי פחת לצכיה</v>
      </c>
      <c r="O2917" s="2">
        <v>1888</v>
      </c>
      <c r="P2917" t="str">
        <f>"$"</f>
        <v>$</v>
      </c>
      <c r="Q2917" t="str">
        <f>"112"</f>
        <v>112</v>
      </c>
      <c r="R2917" t="str">
        <f>"תיקון תקלות"</f>
        <v>תיקון תקלות</v>
      </c>
      <c r="S2917" t="str">
        <f>"007"</f>
        <v>007</v>
      </c>
      <c r="T2917" t="str">
        <f>"עמר ליגל"</f>
        <v>עמר ליגל</v>
      </c>
      <c r="U2917">
        <v>0</v>
      </c>
      <c r="V2917">
        <v>0</v>
      </c>
      <c r="W2917" s="2">
        <v>1888</v>
      </c>
      <c r="X2917" s="2">
        <v>1888</v>
      </c>
      <c r="Z2917" t="str">
        <f>"Y"</f>
        <v>Y</v>
      </c>
      <c r="AA2917">
        <v>0</v>
      </c>
      <c r="AC2917">
        <v>0</v>
      </c>
      <c r="AE2917">
        <v>0</v>
      </c>
      <c r="AF2917">
        <v>0</v>
      </c>
      <c r="AG2917" s="2">
        <v>7181.95</v>
      </c>
      <c r="AH2917">
        <v>0</v>
      </c>
      <c r="AI2917" s="2">
        <v>7181.95</v>
      </c>
      <c r="AJ2917" s="2">
        <v>1888</v>
      </c>
      <c r="AK2917" s="2">
        <v>1888</v>
      </c>
      <c r="AL2917" t="str">
        <f>"$"</f>
        <v>$</v>
      </c>
    </row>
    <row r="2918" spans="1:38" x14ac:dyDescent="0.3">
      <c r="A2918" t="str">
        <f>"SO23000460"</f>
        <v>SO23000460</v>
      </c>
      <c r="B2918" t="str">
        <f>"E000404215"</f>
        <v>E000404215</v>
      </c>
      <c r="C2918" t="str">
        <f>"בוצעה"</f>
        <v>בוצעה</v>
      </c>
      <c r="E2918" s="3">
        <v>45188</v>
      </c>
      <c r="F2918" s="3">
        <v>45197</v>
      </c>
      <c r="G2918" t="str">
        <f>"700065"</f>
        <v>700065</v>
      </c>
      <c r="H2918" t="str">
        <f>"אלתא מערכות בע""מ"</f>
        <v>אלתא מערכות בע"מ</v>
      </c>
      <c r="I2918" t="str">
        <f>"רוני דידי"</f>
        <v>רוני דידי</v>
      </c>
      <c r="J2918" t="str">
        <f>"PD0201991"</f>
        <v>PD0201991</v>
      </c>
      <c r="K2918" s="1" t="str">
        <f>"ממסר פחת משולב DS203NC C25 A30   10KA"</f>
        <v>ממסר פחת משולב DS203NC C25 A30   10KA</v>
      </c>
      <c r="L2918">
        <v>1</v>
      </c>
      <c r="M2918" t="str">
        <f>"PR23000646"</f>
        <v>PR23000646</v>
      </c>
      <c r="N2918" t="str">
        <f>"מפסקי פחת לצכיה"</f>
        <v>מפסקי פחת לצכיה</v>
      </c>
      <c r="O2918" s="2">
        <v>1192</v>
      </c>
      <c r="P2918" t="str">
        <f>"$"</f>
        <v>$</v>
      </c>
      <c r="Q2918" t="str">
        <f>"112"</f>
        <v>112</v>
      </c>
      <c r="R2918" t="str">
        <f>"תיקון תקלות"</f>
        <v>תיקון תקלות</v>
      </c>
      <c r="S2918" t="str">
        <f>"007"</f>
        <v>007</v>
      </c>
      <c r="T2918" t="str">
        <f>"עמר ליגל"</f>
        <v>עמר ליגל</v>
      </c>
      <c r="U2918">
        <v>0</v>
      </c>
      <c r="V2918">
        <v>0</v>
      </c>
      <c r="W2918" s="2">
        <v>1192</v>
      </c>
      <c r="X2918" s="2">
        <v>1192</v>
      </c>
      <c r="Z2918" t="str">
        <f>"Y"</f>
        <v>Y</v>
      </c>
      <c r="AA2918">
        <v>0</v>
      </c>
      <c r="AC2918">
        <v>0</v>
      </c>
      <c r="AE2918">
        <v>0</v>
      </c>
      <c r="AF2918">
        <v>0</v>
      </c>
      <c r="AG2918" s="2">
        <v>4534.37</v>
      </c>
      <c r="AH2918">
        <v>0</v>
      </c>
      <c r="AI2918" s="2">
        <v>4534.37</v>
      </c>
      <c r="AJ2918" s="2">
        <v>1192</v>
      </c>
      <c r="AK2918" s="2">
        <v>1192</v>
      </c>
      <c r="AL2918" t="str">
        <f>"$"</f>
        <v>$</v>
      </c>
    </row>
    <row r="2919" spans="1:38" x14ac:dyDescent="0.3">
      <c r="A2919" t="str">
        <f>"SO23000462"</f>
        <v>SO23000462</v>
      </c>
      <c r="C2919" t="str">
        <f>"בוצעה"</f>
        <v>בוצעה</v>
      </c>
      <c r="E2919" s="3">
        <v>45189</v>
      </c>
      <c r="F2919" s="3">
        <v>45189</v>
      </c>
      <c r="G2919" t="str">
        <f>"700065"</f>
        <v>700065</v>
      </c>
      <c r="H2919" t="str">
        <f>"אלתא מערכות בע""מ"</f>
        <v>אלתא מערכות בע"מ</v>
      </c>
      <c r="I2919" t="str">
        <f>"רוני דידי"</f>
        <v>רוני דידי</v>
      </c>
      <c r="J2919" t="str">
        <f>"PD0200910"</f>
        <v>PD0200910</v>
      </c>
      <c r="K2919" s="1" t="str">
        <f>"מא""ז  2X25 10K ABB S202M-K25UC"</f>
        <v>מא"ז  2X25 10K ABB S202M-K25UC</v>
      </c>
      <c r="L2919">
        <v>2</v>
      </c>
      <c r="M2919" t="str">
        <f>"PR23000729"</f>
        <v>PR23000729</v>
      </c>
      <c r="N2919" t="str">
        <f>"אספקת מפסק ללקוח"</f>
        <v>אספקת מפסק ללקוח</v>
      </c>
      <c r="O2919">
        <v>0</v>
      </c>
      <c r="P2919" t="str">
        <f>"$"</f>
        <v>$</v>
      </c>
      <c r="Q2919" t="str">
        <f>"118"</f>
        <v>118</v>
      </c>
      <c r="R2919" t="str">
        <f>"מערכות"</f>
        <v>מערכות</v>
      </c>
      <c r="S2919" t="str">
        <f>"007"</f>
        <v>007</v>
      </c>
      <c r="T2919" t="str">
        <f>"גנם הודיה"</f>
        <v>גנם הודיה</v>
      </c>
      <c r="U2919">
        <v>0</v>
      </c>
      <c r="V2919">
        <v>0</v>
      </c>
      <c r="W2919">
        <v>0</v>
      </c>
      <c r="X2919">
        <v>0</v>
      </c>
      <c r="Z2919" t="str">
        <f>"Y"</f>
        <v>Y</v>
      </c>
      <c r="AA2919">
        <v>0</v>
      </c>
      <c r="AC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 t="str">
        <f>"$"</f>
        <v>$</v>
      </c>
    </row>
    <row r="2920" spans="1:38" x14ac:dyDescent="0.3">
      <c r="A2920" t="str">
        <f>"SO23000463"</f>
        <v>SO23000463</v>
      </c>
      <c r="B2920" t="str">
        <f>"E000404875"</f>
        <v>E000404875</v>
      </c>
      <c r="C2920" t="str">
        <f>"טיוטא"</f>
        <v>טיוטא</v>
      </c>
      <c r="E2920" s="3">
        <v>45189</v>
      </c>
      <c r="F2920" s="3">
        <v>45350</v>
      </c>
      <c r="G2920" t="str">
        <f>"700065"</f>
        <v>700065</v>
      </c>
      <c r="H2920" t="str">
        <f>"אלתא מערכות בע""מ"</f>
        <v>אלתא מערכות בע"מ</v>
      </c>
      <c r="I2920" t="str">
        <f>"רוני דידי"</f>
        <v>רוני דידי</v>
      </c>
      <c r="J2920" t="str">
        <f>"OP-ML00263"</f>
        <v>OP-ML00263</v>
      </c>
      <c r="K2920" s="1" t="str">
        <f>"BROWN SHELTER 1038A890-001"</f>
        <v>BROWN SHELTER 1038A890-001</v>
      </c>
      <c r="L2920">
        <v>1</v>
      </c>
      <c r="M2920" t="str">
        <f>"PR23000661"</f>
        <v>PR23000661</v>
      </c>
      <c r="N2920" t="str">
        <f>"BROWN SHELTER"</f>
        <v>BROWN SHELTER</v>
      </c>
      <c r="O2920" s="2">
        <v>342800</v>
      </c>
      <c r="P2920" t="str">
        <f>"$"</f>
        <v>$</v>
      </c>
      <c r="Q2920" t="str">
        <f>"119"</f>
        <v>119</v>
      </c>
      <c r="R2920" t="str">
        <f>"פלטפורמות"</f>
        <v>פלטפורמות</v>
      </c>
      <c r="S2920" t="str">
        <f>"007"</f>
        <v>007</v>
      </c>
      <c r="T2920" t="str">
        <f>"עמר ליגל"</f>
        <v>עמר ליגל</v>
      </c>
      <c r="U2920">
        <v>0</v>
      </c>
      <c r="V2920">
        <v>0</v>
      </c>
      <c r="W2920" s="2">
        <v>342800</v>
      </c>
      <c r="X2920" s="2">
        <v>342800</v>
      </c>
      <c r="AA2920">
        <v>1</v>
      </c>
      <c r="AC2920">
        <v>0</v>
      </c>
      <c r="AE2920">
        <v>0</v>
      </c>
      <c r="AF2920">
        <v>0</v>
      </c>
      <c r="AG2920" s="2">
        <v>1306068</v>
      </c>
      <c r="AH2920">
        <v>0</v>
      </c>
      <c r="AI2920" s="2">
        <v>1306068</v>
      </c>
      <c r="AJ2920" s="2">
        <v>342800</v>
      </c>
      <c r="AK2920" s="2">
        <v>342800</v>
      </c>
      <c r="AL2920" t="str">
        <f>"$"</f>
        <v>$</v>
      </c>
    </row>
    <row r="2921" spans="1:38" x14ac:dyDescent="0.3">
      <c r="A2921" t="str">
        <f>"SO23000463"</f>
        <v>SO23000463</v>
      </c>
      <c r="B2921" t="str">
        <f>"E000404875"</f>
        <v>E000404875</v>
      </c>
      <c r="C2921" t="str">
        <f>"טיוטא"</f>
        <v>טיוטא</v>
      </c>
      <c r="E2921" s="3">
        <v>45189</v>
      </c>
      <c r="F2921" s="3">
        <v>45381</v>
      </c>
      <c r="G2921" t="str">
        <f>"700065"</f>
        <v>700065</v>
      </c>
      <c r="H2921" t="str">
        <f>"אלתא מערכות בע""מ"</f>
        <v>אלתא מערכות בע"מ</v>
      </c>
      <c r="I2921" t="str">
        <f>"רוני דידי"</f>
        <v>רוני דידי</v>
      </c>
      <c r="J2921" t="str">
        <f>"OP-ML00264"</f>
        <v>OP-ML00264</v>
      </c>
      <c r="K2921" s="1" t="str">
        <f>"1038A895-001"</f>
        <v>1038A895-001</v>
      </c>
      <c r="L2921">
        <v>1</v>
      </c>
      <c r="M2921" t="str">
        <f>"PR23000730"</f>
        <v>PR23000730</v>
      </c>
      <c r="N2921" t="str">
        <f>"WN SHELTER WITH PASIVE RECTIFIER"</f>
        <v>WN SHELTER WITH PASIVE RECTIFIER</v>
      </c>
      <c r="O2921" s="2">
        <v>250700</v>
      </c>
      <c r="P2921" t="str">
        <f>"$"</f>
        <v>$</v>
      </c>
      <c r="Q2921" t="str">
        <f>"119"</f>
        <v>119</v>
      </c>
      <c r="R2921" t="str">
        <f>"פלטפורמות"</f>
        <v>פלטפורמות</v>
      </c>
      <c r="S2921" t="str">
        <f>"007"</f>
        <v>007</v>
      </c>
      <c r="T2921" t="str">
        <f>"עמר ליגל"</f>
        <v>עמר ליגל</v>
      </c>
      <c r="U2921">
        <v>0</v>
      </c>
      <c r="V2921">
        <v>0</v>
      </c>
      <c r="W2921" s="2">
        <v>250700</v>
      </c>
      <c r="X2921" s="2">
        <v>250700</v>
      </c>
      <c r="AA2921">
        <v>1</v>
      </c>
      <c r="AC2921">
        <v>0</v>
      </c>
      <c r="AE2921">
        <v>0</v>
      </c>
      <c r="AF2921">
        <v>0</v>
      </c>
      <c r="AG2921" s="2">
        <v>955167</v>
      </c>
      <c r="AH2921">
        <v>0</v>
      </c>
      <c r="AI2921" s="2">
        <v>955167</v>
      </c>
      <c r="AJ2921" s="2">
        <v>250700</v>
      </c>
      <c r="AK2921" s="2">
        <v>250700</v>
      </c>
      <c r="AL2921" t="str">
        <f>"$"</f>
        <v>$</v>
      </c>
    </row>
    <row r="2922" spans="1:38" x14ac:dyDescent="0.3">
      <c r="A2922" t="str">
        <f>"SO23000463"</f>
        <v>SO23000463</v>
      </c>
      <c r="B2922" t="str">
        <f>"E000404875"</f>
        <v>E000404875</v>
      </c>
      <c r="C2922" t="str">
        <f>"טיוטא"</f>
        <v>טיוטא</v>
      </c>
      <c r="E2922" s="3">
        <v>45189</v>
      </c>
      <c r="F2922" s="3">
        <v>45381</v>
      </c>
      <c r="G2922" t="str">
        <f>"700065"</f>
        <v>700065</v>
      </c>
      <c r="H2922" t="str">
        <f>"אלתא מערכות בע""מ"</f>
        <v>אלתא מערכות בע"מ</v>
      </c>
      <c r="I2922" t="str">
        <f>"רוני דידי"</f>
        <v>רוני דידי</v>
      </c>
      <c r="J2922" t="str">
        <f>"000"</f>
        <v>000</v>
      </c>
      <c r="K2922" s="1" t="str">
        <f>"אימות פיתוח BROWN SHELTER"</f>
        <v>אימות פיתוח BROWN SHELTER</v>
      </c>
      <c r="L2922">
        <v>1</v>
      </c>
      <c r="O2922" s="2">
        <v>9000</v>
      </c>
      <c r="P2922" t="str">
        <f>"$"</f>
        <v>$</v>
      </c>
      <c r="Q2922" t="str">
        <f>"119"</f>
        <v>119</v>
      </c>
      <c r="R2922" t="str">
        <f>"פלטפורמות"</f>
        <v>פלטפורמות</v>
      </c>
      <c r="S2922" t="str">
        <f>"007"</f>
        <v>007</v>
      </c>
      <c r="T2922" t="str">
        <f>"עמר ליגל"</f>
        <v>עמר ליגל</v>
      </c>
      <c r="U2922">
        <v>0</v>
      </c>
      <c r="V2922">
        <v>0</v>
      </c>
      <c r="W2922" s="2">
        <v>9000</v>
      </c>
      <c r="X2922" s="2">
        <v>9000</v>
      </c>
      <c r="AA2922">
        <v>1</v>
      </c>
      <c r="AC2922">
        <v>0</v>
      </c>
      <c r="AE2922">
        <v>0</v>
      </c>
      <c r="AF2922">
        <v>0</v>
      </c>
      <c r="AG2922" s="2">
        <v>34290</v>
      </c>
      <c r="AH2922">
        <v>0</v>
      </c>
      <c r="AI2922" s="2">
        <v>34290</v>
      </c>
      <c r="AJ2922" s="2">
        <v>9000</v>
      </c>
      <c r="AK2922" s="2">
        <v>9000</v>
      </c>
      <c r="AL2922" t="str">
        <f>"$"</f>
        <v>$</v>
      </c>
    </row>
    <row r="2923" spans="1:38" x14ac:dyDescent="0.3">
      <c r="A2923" t="str">
        <f>"SO23000463"</f>
        <v>SO23000463</v>
      </c>
      <c r="B2923" t="str">
        <f>"E000404875"</f>
        <v>E000404875</v>
      </c>
      <c r="C2923" t="str">
        <f>"טיוטא"</f>
        <v>טיוטא</v>
      </c>
      <c r="E2923" s="3">
        <v>45189</v>
      </c>
      <c r="F2923" s="3">
        <v>45381</v>
      </c>
      <c r="G2923" t="str">
        <f>"700065"</f>
        <v>700065</v>
      </c>
      <c r="H2923" t="str">
        <f>"אלתא מערכות בע""מ"</f>
        <v>אלתא מערכות בע"מ</v>
      </c>
      <c r="I2923" t="str">
        <f>"רוני דידי"</f>
        <v>רוני דידי</v>
      </c>
      <c r="J2923" t="str">
        <f>"000"</f>
        <v>000</v>
      </c>
      <c r="K2923" s="1" t="str">
        <f>"NRE"</f>
        <v>NRE</v>
      </c>
      <c r="L2923">
        <v>1</v>
      </c>
      <c r="O2923" s="2">
        <v>94900</v>
      </c>
      <c r="P2923" t="str">
        <f>"$"</f>
        <v>$</v>
      </c>
      <c r="Q2923" t="str">
        <f>"119"</f>
        <v>119</v>
      </c>
      <c r="R2923" t="str">
        <f>"פלטפורמות"</f>
        <v>פלטפורמות</v>
      </c>
      <c r="S2923" t="str">
        <f>"007"</f>
        <v>007</v>
      </c>
      <c r="T2923" t="str">
        <f>"עמר ליגל"</f>
        <v>עמר ליגל</v>
      </c>
      <c r="U2923">
        <v>0</v>
      </c>
      <c r="V2923">
        <v>0</v>
      </c>
      <c r="W2923" s="2">
        <v>94900</v>
      </c>
      <c r="X2923" s="2">
        <v>94900</v>
      </c>
      <c r="AA2923">
        <v>1</v>
      </c>
      <c r="AC2923">
        <v>0</v>
      </c>
      <c r="AE2923">
        <v>0</v>
      </c>
      <c r="AF2923">
        <v>0</v>
      </c>
      <c r="AG2923" s="2">
        <v>361569</v>
      </c>
      <c r="AH2923">
        <v>0</v>
      </c>
      <c r="AI2923" s="2">
        <v>361569</v>
      </c>
      <c r="AJ2923" s="2">
        <v>94900</v>
      </c>
      <c r="AK2923" s="2">
        <v>94900</v>
      </c>
      <c r="AL2923" t="str">
        <f>"$"</f>
        <v>$</v>
      </c>
    </row>
    <row r="2924" spans="1:38" x14ac:dyDescent="0.3">
      <c r="A2924" t="str">
        <f>"SO23000464"</f>
        <v>SO23000464</v>
      </c>
      <c r="B2924" t="str">
        <f>"E000404705"</f>
        <v>E000404705</v>
      </c>
      <c r="C2924" t="str">
        <f>"טיוטא"</f>
        <v>טיוטא</v>
      </c>
      <c r="E2924" s="3">
        <v>45189</v>
      </c>
      <c r="F2924" s="3">
        <v>45306</v>
      </c>
      <c r="G2924" t="str">
        <f>"700065"</f>
        <v>700065</v>
      </c>
      <c r="H2924" t="str">
        <f>"אלתא מערכות בע""מ"</f>
        <v>אלתא מערכות בע"מ</v>
      </c>
      <c r="I2924" t="str">
        <f>"רחמים זרוק"</f>
        <v>רחמים זרוק</v>
      </c>
      <c r="J2924" t="str">
        <f>"OP-AR03944"</f>
        <v>OP-AR03944</v>
      </c>
      <c r="K2924" s="1" t="str">
        <f>"1042W621-001    HARNESS WU621 - ANTENNA POWER - TILE 1-1"</f>
        <v>1042W621-001    HARNESS WU621 - ANTENNA POWER - TILE 1-1</v>
      </c>
      <c r="L2924">
        <v>1</v>
      </c>
      <c r="M2924" t="str">
        <f>"PR23000741"</f>
        <v>PR23000741</v>
      </c>
      <c r="N2924" t="str">
        <f>"E000404705"</f>
        <v>E000404705</v>
      </c>
      <c r="O2924" s="2">
        <v>2279.6</v>
      </c>
      <c r="P2924" t="str">
        <f>"$"</f>
        <v>$</v>
      </c>
      <c r="Q2924" t="str">
        <f>"117"</f>
        <v>117</v>
      </c>
      <c r="R2924" t="str">
        <f>"רתמות"</f>
        <v>רתמות</v>
      </c>
      <c r="S2924" t="str">
        <f>"040"</f>
        <v>040</v>
      </c>
      <c r="T2924" t="str">
        <f>"עמר ליגל"</f>
        <v>עמר ליגל</v>
      </c>
      <c r="U2924">
        <v>0</v>
      </c>
      <c r="V2924">
        <v>0</v>
      </c>
      <c r="W2924" s="2">
        <v>2279.6</v>
      </c>
      <c r="X2924" s="2">
        <v>2279.6</v>
      </c>
      <c r="AA2924">
        <v>1</v>
      </c>
      <c r="AC2924">
        <v>0</v>
      </c>
      <c r="AE2924">
        <v>0</v>
      </c>
      <c r="AF2924">
        <v>0</v>
      </c>
      <c r="AG2924" s="2">
        <v>8685.2800000000007</v>
      </c>
      <c r="AH2924">
        <v>0</v>
      </c>
      <c r="AI2924" s="2">
        <v>8685.2800000000007</v>
      </c>
      <c r="AJ2924" s="2">
        <v>2279.6</v>
      </c>
      <c r="AK2924" s="2">
        <v>2279.6</v>
      </c>
      <c r="AL2924" t="str">
        <f>"$"</f>
        <v>$</v>
      </c>
    </row>
    <row r="2925" spans="1:38" x14ac:dyDescent="0.3">
      <c r="A2925" t="str">
        <f>"SO23000464"</f>
        <v>SO23000464</v>
      </c>
      <c r="B2925" t="str">
        <f>"E000404705"</f>
        <v>E000404705</v>
      </c>
      <c r="C2925" t="str">
        <f>"טיוטא"</f>
        <v>טיוטא</v>
      </c>
      <c r="E2925" s="3">
        <v>45189</v>
      </c>
      <c r="F2925" s="3">
        <v>45306</v>
      </c>
      <c r="G2925" t="str">
        <f>"700065"</f>
        <v>700065</v>
      </c>
      <c r="H2925" t="str">
        <f>"אלתא מערכות בע""מ"</f>
        <v>אלתא מערכות בע"מ</v>
      </c>
      <c r="I2925" t="str">
        <f>"רחמים זרוק"</f>
        <v>רחמים זרוק</v>
      </c>
      <c r="J2925" t="str">
        <f>"OP-AR03945"</f>
        <v>OP-AR03945</v>
      </c>
      <c r="K2925" s="1" t="str">
        <f>"1042W622-001    HARNESS WU622 - ANTENNA POWER - TILE 13-"</f>
        <v>1042W622-001    HARNESS WU622 - ANTENNA POWER - TILE 13-</v>
      </c>
      <c r="L2925">
        <v>1</v>
      </c>
      <c r="M2925" t="str">
        <f>"PR23000741"</f>
        <v>PR23000741</v>
      </c>
      <c r="N2925" t="str">
        <f>"E000404705"</f>
        <v>E000404705</v>
      </c>
      <c r="O2925" s="2">
        <v>2215.23</v>
      </c>
      <c r="P2925" t="str">
        <f>"$"</f>
        <v>$</v>
      </c>
      <c r="Q2925" t="str">
        <f>"117"</f>
        <v>117</v>
      </c>
      <c r="R2925" t="str">
        <f>"רתמות"</f>
        <v>רתמות</v>
      </c>
      <c r="S2925" t="str">
        <f>"040"</f>
        <v>040</v>
      </c>
      <c r="T2925" t="str">
        <f>"עמר ליגל"</f>
        <v>עמר ליגל</v>
      </c>
      <c r="U2925">
        <v>0</v>
      </c>
      <c r="V2925">
        <v>0</v>
      </c>
      <c r="W2925" s="2">
        <v>2215.23</v>
      </c>
      <c r="X2925" s="2">
        <v>2215.23</v>
      </c>
      <c r="AA2925">
        <v>1</v>
      </c>
      <c r="AC2925">
        <v>0</v>
      </c>
      <c r="AE2925">
        <v>0</v>
      </c>
      <c r="AF2925">
        <v>0</v>
      </c>
      <c r="AG2925" s="2">
        <v>8440.0300000000007</v>
      </c>
      <c r="AH2925">
        <v>0</v>
      </c>
      <c r="AI2925" s="2">
        <v>8440.0300000000007</v>
      </c>
      <c r="AJ2925" s="2">
        <v>2215.23</v>
      </c>
      <c r="AK2925" s="2">
        <v>2215.23</v>
      </c>
      <c r="AL2925" t="str">
        <f>"$"</f>
        <v>$</v>
      </c>
    </row>
    <row r="2926" spans="1:38" x14ac:dyDescent="0.3">
      <c r="A2926" t="str">
        <f>"SO23000464"</f>
        <v>SO23000464</v>
      </c>
      <c r="B2926" t="str">
        <f>"E000404705"</f>
        <v>E000404705</v>
      </c>
      <c r="C2926" t="str">
        <f>"טיוטא"</f>
        <v>טיוטא</v>
      </c>
      <c r="E2926" s="3">
        <v>45189</v>
      </c>
      <c r="F2926" s="3">
        <v>45306</v>
      </c>
      <c r="G2926" t="str">
        <f>"700065"</f>
        <v>700065</v>
      </c>
      <c r="H2926" t="str">
        <f>"אלתא מערכות בע""מ"</f>
        <v>אלתא מערכות בע"מ</v>
      </c>
      <c r="I2926" t="str">
        <f>"רחמים זרוק"</f>
        <v>רחמים זרוק</v>
      </c>
      <c r="J2926" t="str">
        <f>"OP-AR03946"</f>
        <v>OP-AR03946</v>
      </c>
      <c r="K2926" s="1" t="str">
        <f>"1042W623-001    HARNESS WU623 - ANTENNA POWER - TILE 25-"</f>
        <v>1042W623-001    HARNESS WU623 - ANTENNA POWER - TILE 25-</v>
      </c>
      <c r="L2926">
        <v>1</v>
      </c>
      <c r="M2926" t="str">
        <f>"PR23000741"</f>
        <v>PR23000741</v>
      </c>
      <c r="N2926" t="str">
        <f>"E000404705"</f>
        <v>E000404705</v>
      </c>
      <c r="O2926" s="2">
        <v>2234.14</v>
      </c>
      <c r="P2926" t="str">
        <f>"$"</f>
        <v>$</v>
      </c>
      <c r="Q2926" t="str">
        <f>"117"</f>
        <v>117</v>
      </c>
      <c r="R2926" t="str">
        <f>"רתמות"</f>
        <v>רתמות</v>
      </c>
      <c r="S2926" t="str">
        <f>"040"</f>
        <v>040</v>
      </c>
      <c r="T2926" t="str">
        <f>"עמר ליגל"</f>
        <v>עמר ליגל</v>
      </c>
      <c r="U2926">
        <v>0</v>
      </c>
      <c r="V2926">
        <v>0</v>
      </c>
      <c r="W2926" s="2">
        <v>2234.14</v>
      </c>
      <c r="X2926" s="2">
        <v>2234.14</v>
      </c>
      <c r="AA2926">
        <v>1</v>
      </c>
      <c r="AC2926">
        <v>0</v>
      </c>
      <c r="AE2926">
        <v>0</v>
      </c>
      <c r="AF2926">
        <v>0</v>
      </c>
      <c r="AG2926" s="2">
        <v>8512.07</v>
      </c>
      <c r="AH2926">
        <v>0</v>
      </c>
      <c r="AI2926" s="2">
        <v>8512.07</v>
      </c>
      <c r="AJ2926" s="2">
        <v>2234.14</v>
      </c>
      <c r="AK2926" s="2">
        <v>2234.14</v>
      </c>
      <c r="AL2926" t="str">
        <f>"$"</f>
        <v>$</v>
      </c>
    </row>
    <row r="2927" spans="1:38" x14ac:dyDescent="0.3">
      <c r="A2927" t="str">
        <f>"SO23000464"</f>
        <v>SO23000464</v>
      </c>
      <c r="B2927" t="str">
        <f>"E000404705"</f>
        <v>E000404705</v>
      </c>
      <c r="C2927" t="str">
        <f>"טיוטא"</f>
        <v>טיוטא</v>
      </c>
      <c r="E2927" s="3">
        <v>45189</v>
      </c>
      <c r="F2927" s="3">
        <v>45306</v>
      </c>
      <c r="G2927" t="str">
        <f>"700065"</f>
        <v>700065</v>
      </c>
      <c r="H2927" t="str">
        <f>"אלתא מערכות בע""מ"</f>
        <v>אלתא מערכות בע"מ</v>
      </c>
      <c r="I2927" t="str">
        <f>"רחמים זרוק"</f>
        <v>רחמים זרוק</v>
      </c>
      <c r="J2927" t="str">
        <f>"OP-AR03947"</f>
        <v>OP-AR03947</v>
      </c>
      <c r="K2927" s="1" t="str">
        <f>"1042W624-001    HARNESS WU624 - ANTENNA POWER - TILE 37-"</f>
        <v>1042W624-001    HARNESS WU624 - ANTENNA POWER - TILE 37-</v>
      </c>
      <c r="L2927">
        <v>1</v>
      </c>
      <c r="M2927" t="str">
        <f>"PR23000741"</f>
        <v>PR23000741</v>
      </c>
      <c r="N2927" t="str">
        <f>"E000404705"</f>
        <v>E000404705</v>
      </c>
      <c r="O2927" s="2">
        <v>2200.16</v>
      </c>
      <c r="P2927" t="str">
        <f>"$"</f>
        <v>$</v>
      </c>
      <c r="Q2927" t="str">
        <f>"117"</f>
        <v>117</v>
      </c>
      <c r="R2927" t="str">
        <f>"רתמות"</f>
        <v>רתמות</v>
      </c>
      <c r="S2927" t="str">
        <f>"040"</f>
        <v>040</v>
      </c>
      <c r="T2927" t="str">
        <f>"עמר ליגל"</f>
        <v>עמר ליגל</v>
      </c>
      <c r="U2927">
        <v>0</v>
      </c>
      <c r="V2927">
        <v>0</v>
      </c>
      <c r="W2927" s="2">
        <v>2200.16</v>
      </c>
      <c r="X2927" s="2">
        <v>2200.16</v>
      </c>
      <c r="AA2927">
        <v>1</v>
      </c>
      <c r="AC2927">
        <v>0</v>
      </c>
      <c r="AE2927">
        <v>0</v>
      </c>
      <c r="AF2927">
        <v>0</v>
      </c>
      <c r="AG2927" s="2">
        <v>8382.61</v>
      </c>
      <c r="AH2927">
        <v>0</v>
      </c>
      <c r="AI2927" s="2">
        <v>8382.61</v>
      </c>
      <c r="AJ2927" s="2">
        <v>2200.16</v>
      </c>
      <c r="AK2927" s="2">
        <v>2200.16</v>
      </c>
      <c r="AL2927" t="str">
        <f>"$"</f>
        <v>$</v>
      </c>
    </row>
    <row r="2928" spans="1:38" x14ac:dyDescent="0.3">
      <c r="A2928" t="str">
        <f>"SO23000464"</f>
        <v>SO23000464</v>
      </c>
      <c r="B2928" t="str">
        <f>"E000404705"</f>
        <v>E000404705</v>
      </c>
      <c r="C2928" t="str">
        <f>"טיוטא"</f>
        <v>טיוטא</v>
      </c>
      <c r="E2928" s="3">
        <v>45189</v>
      </c>
      <c r="F2928" s="3">
        <v>45306</v>
      </c>
      <c r="G2928" t="str">
        <f>"700065"</f>
        <v>700065</v>
      </c>
      <c r="H2928" t="str">
        <f>"אלתא מערכות בע""מ"</f>
        <v>אלתא מערכות בע"מ</v>
      </c>
      <c r="I2928" t="str">
        <f>"רחמים זרוק"</f>
        <v>רחמים זרוק</v>
      </c>
      <c r="J2928" t="str">
        <f>"OP-AR03948"</f>
        <v>OP-AR03948</v>
      </c>
      <c r="K2928" s="1" t="str">
        <f>"1042W625-001    HARNESS WU625 - ANTENNA POWER - TILE 49-"</f>
        <v>1042W625-001    HARNESS WU625 - ANTENNA POWER - TILE 49-</v>
      </c>
      <c r="L2928">
        <v>1</v>
      </c>
      <c r="M2928" t="str">
        <f>"PR23000741"</f>
        <v>PR23000741</v>
      </c>
      <c r="N2928" t="str">
        <f>"E000404705"</f>
        <v>E000404705</v>
      </c>
      <c r="O2928" s="2">
        <v>2178.96</v>
      </c>
      <c r="P2928" t="str">
        <f>"$"</f>
        <v>$</v>
      </c>
      <c r="Q2928" t="str">
        <f>"117"</f>
        <v>117</v>
      </c>
      <c r="R2928" t="str">
        <f>"רתמות"</f>
        <v>רתמות</v>
      </c>
      <c r="S2928" t="str">
        <f>"040"</f>
        <v>040</v>
      </c>
      <c r="T2928" t="str">
        <f>"עמר ליגל"</f>
        <v>עמר ליגל</v>
      </c>
      <c r="U2928">
        <v>0</v>
      </c>
      <c r="V2928">
        <v>0</v>
      </c>
      <c r="W2928" s="2">
        <v>2178.96</v>
      </c>
      <c r="X2928" s="2">
        <v>2178.96</v>
      </c>
      <c r="AA2928">
        <v>1</v>
      </c>
      <c r="AC2928">
        <v>0</v>
      </c>
      <c r="AE2928">
        <v>0</v>
      </c>
      <c r="AF2928">
        <v>0</v>
      </c>
      <c r="AG2928" s="2">
        <v>8301.84</v>
      </c>
      <c r="AH2928">
        <v>0</v>
      </c>
      <c r="AI2928" s="2">
        <v>8301.84</v>
      </c>
      <c r="AJ2928" s="2">
        <v>2178.96</v>
      </c>
      <c r="AK2928" s="2">
        <v>2178.96</v>
      </c>
      <c r="AL2928" t="str">
        <f>"$"</f>
        <v>$</v>
      </c>
    </row>
    <row r="2929" spans="1:38" x14ac:dyDescent="0.3">
      <c r="A2929" t="str">
        <f>"SO23000464"</f>
        <v>SO23000464</v>
      </c>
      <c r="B2929" t="str">
        <f>"E000404705"</f>
        <v>E000404705</v>
      </c>
      <c r="C2929" t="str">
        <f>"טיוטא"</f>
        <v>טיוטא</v>
      </c>
      <c r="E2929" s="3">
        <v>45189</v>
      </c>
      <c r="F2929" s="3">
        <v>45306</v>
      </c>
      <c r="G2929" t="str">
        <f>"700065"</f>
        <v>700065</v>
      </c>
      <c r="H2929" t="str">
        <f>"אלתא מערכות בע""מ"</f>
        <v>אלתא מערכות בע"מ</v>
      </c>
      <c r="I2929" t="str">
        <f>"רחמים זרוק"</f>
        <v>רחמים זרוק</v>
      </c>
      <c r="J2929" t="str">
        <f>"OP-AR03949"</f>
        <v>OP-AR03949</v>
      </c>
      <c r="K2929" s="1" t="str">
        <f>"1042W626-001    HARNESS WU626 - ANTENNA POWER - TILE 61-"</f>
        <v>1042W626-001    HARNESS WU626 - ANTENNA POWER - TILE 61-</v>
      </c>
      <c r="L2929">
        <v>1</v>
      </c>
      <c r="M2929" t="str">
        <f>"PR23000741"</f>
        <v>PR23000741</v>
      </c>
      <c r="N2929" t="str">
        <f>"E000404705"</f>
        <v>E000404705</v>
      </c>
      <c r="O2929" s="2">
        <v>2154.6999999999998</v>
      </c>
      <c r="P2929" t="str">
        <f>"$"</f>
        <v>$</v>
      </c>
      <c r="Q2929" t="str">
        <f>"117"</f>
        <v>117</v>
      </c>
      <c r="R2929" t="str">
        <f>"רתמות"</f>
        <v>רתמות</v>
      </c>
      <c r="S2929" t="str">
        <f>"040"</f>
        <v>040</v>
      </c>
      <c r="T2929" t="str">
        <f>"עמר ליגל"</f>
        <v>עמר ליגל</v>
      </c>
      <c r="U2929">
        <v>0</v>
      </c>
      <c r="V2929">
        <v>0</v>
      </c>
      <c r="W2929" s="2">
        <v>2154.6999999999998</v>
      </c>
      <c r="X2929" s="2">
        <v>2154.6999999999998</v>
      </c>
      <c r="AA2929">
        <v>1</v>
      </c>
      <c r="AC2929">
        <v>0</v>
      </c>
      <c r="AE2929">
        <v>0</v>
      </c>
      <c r="AF2929">
        <v>0</v>
      </c>
      <c r="AG2929" s="2">
        <v>8209.41</v>
      </c>
      <c r="AH2929">
        <v>0</v>
      </c>
      <c r="AI2929" s="2">
        <v>8209.41</v>
      </c>
      <c r="AJ2929" s="2">
        <v>2154.6999999999998</v>
      </c>
      <c r="AK2929" s="2">
        <v>2154.6999999999998</v>
      </c>
      <c r="AL2929" t="str">
        <f>"$"</f>
        <v>$</v>
      </c>
    </row>
    <row r="2930" spans="1:38" x14ac:dyDescent="0.3">
      <c r="A2930" t="str">
        <f>"SO23000464"</f>
        <v>SO23000464</v>
      </c>
      <c r="B2930" t="str">
        <f>"E000404705"</f>
        <v>E000404705</v>
      </c>
      <c r="C2930" t="str">
        <f>"טיוטא"</f>
        <v>טיוטא</v>
      </c>
      <c r="E2930" s="3">
        <v>45189</v>
      </c>
      <c r="F2930" s="3">
        <v>45306</v>
      </c>
      <c r="G2930" t="str">
        <f>"700065"</f>
        <v>700065</v>
      </c>
      <c r="H2930" t="str">
        <f>"אלתא מערכות בע""מ"</f>
        <v>אלתא מערכות בע"מ</v>
      </c>
      <c r="I2930" t="str">
        <f>"רחמים זרוק"</f>
        <v>רחמים זרוק</v>
      </c>
      <c r="J2930" t="str">
        <f>"OP-AR03950"</f>
        <v>OP-AR03950</v>
      </c>
      <c r="K2930" s="1" t="str">
        <f>"1042W627-001    HARNESS WU627 - ANTENNA POWER - TILE 73-"</f>
        <v>1042W627-001    HARNESS WU627 - ANTENNA POWER - TILE 73-</v>
      </c>
      <c r="L2930">
        <v>1</v>
      </c>
      <c r="M2930" t="str">
        <f>"PR23000741"</f>
        <v>PR23000741</v>
      </c>
      <c r="N2930" t="str">
        <f>"E000404705"</f>
        <v>E000404705</v>
      </c>
      <c r="O2930" s="2">
        <v>2123.7800000000002</v>
      </c>
      <c r="P2930" t="str">
        <f>"$"</f>
        <v>$</v>
      </c>
      <c r="Q2930" t="str">
        <f>"117"</f>
        <v>117</v>
      </c>
      <c r="R2930" t="str">
        <f>"רתמות"</f>
        <v>רתמות</v>
      </c>
      <c r="S2930" t="str">
        <f>"040"</f>
        <v>040</v>
      </c>
      <c r="T2930" t="str">
        <f>"עמר ליגל"</f>
        <v>עמר ליגל</v>
      </c>
      <c r="U2930">
        <v>0</v>
      </c>
      <c r="V2930">
        <v>0</v>
      </c>
      <c r="W2930" s="2">
        <v>2123.7800000000002</v>
      </c>
      <c r="X2930" s="2">
        <v>2123.7800000000002</v>
      </c>
      <c r="AA2930">
        <v>1</v>
      </c>
      <c r="AC2930">
        <v>0</v>
      </c>
      <c r="AE2930">
        <v>0</v>
      </c>
      <c r="AF2930">
        <v>0</v>
      </c>
      <c r="AG2930" s="2">
        <v>8091.6</v>
      </c>
      <c r="AH2930">
        <v>0</v>
      </c>
      <c r="AI2930" s="2">
        <v>8091.6</v>
      </c>
      <c r="AJ2930" s="2">
        <v>2123.7800000000002</v>
      </c>
      <c r="AK2930" s="2">
        <v>2123.7800000000002</v>
      </c>
      <c r="AL2930" t="str">
        <f>"$"</f>
        <v>$</v>
      </c>
    </row>
    <row r="2931" spans="1:38" x14ac:dyDescent="0.3">
      <c r="A2931" t="str">
        <f>"SO23000464"</f>
        <v>SO23000464</v>
      </c>
      <c r="B2931" t="str">
        <f>"E000404705"</f>
        <v>E000404705</v>
      </c>
      <c r="C2931" t="str">
        <f>"טיוטא"</f>
        <v>טיוטא</v>
      </c>
      <c r="E2931" s="3">
        <v>45189</v>
      </c>
      <c r="F2931" s="3">
        <v>45306</v>
      </c>
      <c r="G2931" t="str">
        <f>"700065"</f>
        <v>700065</v>
      </c>
      <c r="H2931" t="str">
        <f>"אלתא מערכות בע""מ"</f>
        <v>אלתא מערכות בע"מ</v>
      </c>
      <c r="I2931" t="str">
        <f>"רחמים זרוק"</f>
        <v>רחמים זרוק</v>
      </c>
      <c r="J2931" t="str">
        <f>"OP-AR03951"</f>
        <v>OP-AR03951</v>
      </c>
      <c r="K2931" s="1" t="str">
        <f>"1042W628-001    HARNESS WU628 - ANTENNA POWER - TILE 85-"</f>
        <v>1042W628-001    HARNESS WU628 - ANTENNA POWER - TILE 85-</v>
      </c>
      <c r="L2931">
        <v>1</v>
      </c>
      <c r="M2931" t="str">
        <f>"PR23000741"</f>
        <v>PR23000741</v>
      </c>
      <c r="N2931" t="str">
        <f>"E000404705"</f>
        <v>E000404705</v>
      </c>
      <c r="O2931" s="2">
        <v>2096.5</v>
      </c>
      <c r="P2931" t="str">
        <f>"$"</f>
        <v>$</v>
      </c>
      <c r="Q2931" t="str">
        <f>"117"</f>
        <v>117</v>
      </c>
      <c r="R2931" t="str">
        <f>"רתמות"</f>
        <v>רתמות</v>
      </c>
      <c r="S2931" t="str">
        <f>"040"</f>
        <v>040</v>
      </c>
      <c r="T2931" t="str">
        <f>"עמר ליגל"</f>
        <v>עמר ליגל</v>
      </c>
      <c r="U2931">
        <v>0</v>
      </c>
      <c r="V2931">
        <v>0</v>
      </c>
      <c r="W2931" s="2">
        <v>2096.5</v>
      </c>
      <c r="X2931" s="2">
        <v>2096.5</v>
      </c>
      <c r="AA2931">
        <v>1</v>
      </c>
      <c r="AC2931">
        <v>0</v>
      </c>
      <c r="AE2931">
        <v>0</v>
      </c>
      <c r="AF2931">
        <v>0</v>
      </c>
      <c r="AG2931" s="2">
        <v>7987.67</v>
      </c>
      <c r="AH2931">
        <v>0</v>
      </c>
      <c r="AI2931" s="2">
        <v>7987.67</v>
      </c>
      <c r="AJ2931" s="2">
        <v>2096.5</v>
      </c>
      <c r="AK2931" s="2">
        <v>2096.5</v>
      </c>
      <c r="AL2931" t="str">
        <f>"$"</f>
        <v>$</v>
      </c>
    </row>
    <row r="2932" spans="1:38" x14ac:dyDescent="0.3">
      <c r="A2932" t="str">
        <f>"SO23000464"</f>
        <v>SO23000464</v>
      </c>
      <c r="B2932" t="str">
        <f>"E000404705"</f>
        <v>E000404705</v>
      </c>
      <c r="C2932" t="str">
        <f>"טיוטא"</f>
        <v>טיוטא</v>
      </c>
      <c r="E2932" s="3">
        <v>45189</v>
      </c>
      <c r="F2932" s="3">
        <v>45306</v>
      </c>
      <c r="G2932" t="str">
        <f>"700065"</f>
        <v>700065</v>
      </c>
      <c r="H2932" t="str">
        <f>"אלתא מערכות בע""מ"</f>
        <v>אלתא מערכות בע"מ</v>
      </c>
      <c r="I2932" t="str">
        <f>"רחמים זרוק"</f>
        <v>רחמים זרוק</v>
      </c>
      <c r="J2932" t="str">
        <f>"OP-AR03952"</f>
        <v>OP-AR03952</v>
      </c>
      <c r="K2932" s="1" t="str">
        <f>"1042W629-001    HARNESS WU629 - ANTENNA POWER - TILE 97-"</f>
        <v>1042W629-001    HARNESS WU629 - ANTENNA POWER - TILE 97-</v>
      </c>
      <c r="L2932">
        <v>1</v>
      </c>
      <c r="M2932" t="str">
        <f>"PR23000741"</f>
        <v>PR23000741</v>
      </c>
      <c r="N2932" t="str">
        <f>"E000404705"</f>
        <v>E000404705</v>
      </c>
      <c r="O2932" s="2">
        <v>2065.58</v>
      </c>
      <c r="P2932" t="str">
        <f>"$"</f>
        <v>$</v>
      </c>
      <c r="Q2932" t="str">
        <f>"117"</f>
        <v>117</v>
      </c>
      <c r="R2932" t="str">
        <f>"רתמות"</f>
        <v>רתמות</v>
      </c>
      <c r="S2932" t="str">
        <f>"040"</f>
        <v>040</v>
      </c>
      <c r="T2932" t="str">
        <f>"עמר ליגל"</f>
        <v>עמר ליגל</v>
      </c>
      <c r="U2932">
        <v>0</v>
      </c>
      <c r="V2932">
        <v>0</v>
      </c>
      <c r="W2932" s="2">
        <v>2065.58</v>
      </c>
      <c r="X2932" s="2">
        <v>2065.58</v>
      </c>
      <c r="AA2932">
        <v>1</v>
      </c>
      <c r="AC2932">
        <v>0</v>
      </c>
      <c r="AE2932">
        <v>0</v>
      </c>
      <c r="AF2932">
        <v>0</v>
      </c>
      <c r="AG2932" s="2">
        <v>7869.86</v>
      </c>
      <c r="AH2932">
        <v>0</v>
      </c>
      <c r="AI2932" s="2">
        <v>7869.86</v>
      </c>
      <c r="AJ2932" s="2">
        <v>2065.58</v>
      </c>
      <c r="AK2932" s="2">
        <v>2065.58</v>
      </c>
      <c r="AL2932" t="str">
        <f>"$"</f>
        <v>$</v>
      </c>
    </row>
    <row r="2933" spans="1:38" x14ac:dyDescent="0.3">
      <c r="A2933" t="str">
        <f>"SO23000464"</f>
        <v>SO23000464</v>
      </c>
      <c r="B2933" t="str">
        <f>"E000404705"</f>
        <v>E000404705</v>
      </c>
      <c r="C2933" t="str">
        <f>"טיוטא"</f>
        <v>טיוטא</v>
      </c>
      <c r="E2933" s="3">
        <v>45189</v>
      </c>
      <c r="F2933" s="3">
        <v>45306</v>
      </c>
      <c r="G2933" t="str">
        <f>"700065"</f>
        <v>700065</v>
      </c>
      <c r="H2933" t="str">
        <f>"אלתא מערכות בע""מ"</f>
        <v>אלתא מערכות בע"מ</v>
      </c>
      <c r="I2933" t="str">
        <f>"רחמים זרוק"</f>
        <v>רחמים זרוק</v>
      </c>
      <c r="J2933" t="str">
        <f>"OP-AR03953"</f>
        <v>OP-AR03953</v>
      </c>
      <c r="K2933" s="1" t="str">
        <f>"1042W630-001    HARNESS WU630 - ANTENNA POWER - TILE 109"</f>
        <v>1042W630-001    HARNESS WU630 - ANTENNA POWER - TILE 109</v>
      </c>
      <c r="L2933">
        <v>1</v>
      </c>
      <c r="M2933" t="str">
        <f>"PR23000741"</f>
        <v>PR23000741</v>
      </c>
      <c r="N2933" t="str">
        <f>"E000404705"</f>
        <v>E000404705</v>
      </c>
      <c r="O2933" s="2">
        <v>2273.9</v>
      </c>
      <c r="P2933" t="str">
        <f>"$"</f>
        <v>$</v>
      </c>
      <c r="Q2933" t="str">
        <f>"117"</f>
        <v>117</v>
      </c>
      <c r="R2933" t="str">
        <f>"רתמות"</f>
        <v>רתמות</v>
      </c>
      <c r="S2933" t="str">
        <f>"040"</f>
        <v>040</v>
      </c>
      <c r="T2933" t="str">
        <f>"עמר ליגל"</f>
        <v>עמר ליגל</v>
      </c>
      <c r="U2933">
        <v>0</v>
      </c>
      <c r="V2933">
        <v>0</v>
      </c>
      <c r="W2933" s="2">
        <v>2273.9</v>
      </c>
      <c r="X2933" s="2">
        <v>2273.9</v>
      </c>
      <c r="AA2933">
        <v>1</v>
      </c>
      <c r="AC2933">
        <v>0</v>
      </c>
      <c r="AE2933">
        <v>0</v>
      </c>
      <c r="AF2933">
        <v>0</v>
      </c>
      <c r="AG2933" s="2">
        <v>8663.56</v>
      </c>
      <c r="AH2933">
        <v>0</v>
      </c>
      <c r="AI2933" s="2">
        <v>8663.56</v>
      </c>
      <c r="AJ2933" s="2">
        <v>2273.9</v>
      </c>
      <c r="AK2933" s="2">
        <v>2273.9</v>
      </c>
      <c r="AL2933" t="str">
        <f>"$"</f>
        <v>$</v>
      </c>
    </row>
    <row r="2934" spans="1:38" x14ac:dyDescent="0.3">
      <c r="A2934" t="str">
        <f>"SO23000464"</f>
        <v>SO23000464</v>
      </c>
      <c r="B2934" t="str">
        <f>"E000404705"</f>
        <v>E000404705</v>
      </c>
      <c r="C2934" t="str">
        <f>"טיוטא"</f>
        <v>טיוטא</v>
      </c>
      <c r="E2934" s="3">
        <v>45189</v>
      </c>
      <c r="F2934" s="3">
        <v>45306</v>
      </c>
      <c r="G2934" t="str">
        <f>"700065"</f>
        <v>700065</v>
      </c>
      <c r="H2934" t="str">
        <f>"אלתא מערכות בע""מ"</f>
        <v>אלתא מערכות בע"מ</v>
      </c>
      <c r="I2934" t="str">
        <f>"רחמים זרוק"</f>
        <v>רחמים זרוק</v>
      </c>
      <c r="J2934" t="str">
        <f>"OP-AR03954"</f>
        <v>OP-AR03954</v>
      </c>
      <c r="K2934" s="1" t="str">
        <f>"1042W631-001    HARNESS WU631 - ANTENNA POWER - TILE 121"</f>
        <v>1042W631-001    HARNESS WU631 - ANTENNA POWER - TILE 121</v>
      </c>
      <c r="L2934">
        <v>1</v>
      </c>
      <c r="M2934" t="str">
        <f>"PR23000741"</f>
        <v>PR23000741</v>
      </c>
      <c r="N2934" t="str">
        <f>"E000404705"</f>
        <v>E000404705</v>
      </c>
      <c r="O2934" s="2">
        <v>2209.58</v>
      </c>
      <c r="P2934" t="str">
        <f>"$"</f>
        <v>$</v>
      </c>
      <c r="Q2934" t="str">
        <f>"117"</f>
        <v>117</v>
      </c>
      <c r="R2934" t="str">
        <f>"רתמות"</f>
        <v>רתמות</v>
      </c>
      <c r="S2934" t="str">
        <f>"040"</f>
        <v>040</v>
      </c>
      <c r="T2934" t="str">
        <f>"עמר ליגל"</f>
        <v>עמר ליגל</v>
      </c>
      <c r="U2934">
        <v>0</v>
      </c>
      <c r="V2934">
        <v>0</v>
      </c>
      <c r="W2934" s="2">
        <v>2209.58</v>
      </c>
      <c r="X2934" s="2">
        <v>2209.58</v>
      </c>
      <c r="AA2934">
        <v>1</v>
      </c>
      <c r="AC2934">
        <v>0</v>
      </c>
      <c r="AE2934">
        <v>0</v>
      </c>
      <c r="AF2934">
        <v>0</v>
      </c>
      <c r="AG2934" s="2">
        <v>8418.5</v>
      </c>
      <c r="AH2934">
        <v>0</v>
      </c>
      <c r="AI2934" s="2">
        <v>8418.5</v>
      </c>
      <c r="AJ2934" s="2">
        <v>2209.58</v>
      </c>
      <c r="AK2934" s="2">
        <v>2209.58</v>
      </c>
      <c r="AL2934" t="str">
        <f>"$"</f>
        <v>$</v>
      </c>
    </row>
    <row r="2935" spans="1:38" x14ac:dyDescent="0.3">
      <c r="A2935" t="str">
        <f>"SO23000464"</f>
        <v>SO23000464</v>
      </c>
      <c r="B2935" t="str">
        <f>"E000404705"</f>
        <v>E000404705</v>
      </c>
      <c r="C2935" t="str">
        <f>"טיוטא"</f>
        <v>טיוטא</v>
      </c>
      <c r="E2935" s="3">
        <v>45189</v>
      </c>
      <c r="F2935" s="3">
        <v>45306</v>
      </c>
      <c r="G2935" t="str">
        <f>"700065"</f>
        <v>700065</v>
      </c>
      <c r="H2935" t="str">
        <f>"אלתא מערכות בע""מ"</f>
        <v>אלתא מערכות בע"מ</v>
      </c>
      <c r="I2935" t="str">
        <f>"רחמים זרוק"</f>
        <v>רחמים זרוק</v>
      </c>
      <c r="J2935" t="str">
        <f>"OP-AR03955"</f>
        <v>OP-AR03955</v>
      </c>
      <c r="K2935" s="1" t="str">
        <f>"1042W632-001    HARNESS WU632 - ANTENNA POWER - TILE 133"</f>
        <v>1042W632-001    HARNESS WU632 - ANTENNA POWER - TILE 133</v>
      </c>
      <c r="L2935">
        <v>1</v>
      </c>
      <c r="M2935" t="str">
        <f>"PR23000741"</f>
        <v>PR23000741</v>
      </c>
      <c r="N2935" t="str">
        <f>"E000404705"</f>
        <v>E000404705</v>
      </c>
      <c r="O2935" s="2">
        <v>2228.4499999999998</v>
      </c>
      <c r="P2935" t="str">
        <f>"$"</f>
        <v>$</v>
      </c>
      <c r="Q2935" t="str">
        <f>"117"</f>
        <v>117</v>
      </c>
      <c r="R2935" t="str">
        <f>"רתמות"</f>
        <v>רתמות</v>
      </c>
      <c r="S2935" t="str">
        <f>"040"</f>
        <v>040</v>
      </c>
      <c r="T2935" t="str">
        <f>"עמר ליגל"</f>
        <v>עמר ליגל</v>
      </c>
      <c r="U2935">
        <v>0</v>
      </c>
      <c r="V2935">
        <v>0</v>
      </c>
      <c r="W2935" s="2">
        <v>2228.4499999999998</v>
      </c>
      <c r="X2935" s="2">
        <v>2228.4499999999998</v>
      </c>
      <c r="AA2935">
        <v>1</v>
      </c>
      <c r="AC2935">
        <v>0</v>
      </c>
      <c r="AE2935">
        <v>0</v>
      </c>
      <c r="AF2935">
        <v>0</v>
      </c>
      <c r="AG2935" s="2">
        <v>8490.39</v>
      </c>
      <c r="AH2935">
        <v>0</v>
      </c>
      <c r="AI2935" s="2">
        <v>8490.39</v>
      </c>
      <c r="AJ2935" s="2">
        <v>2228.4499999999998</v>
      </c>
      <c r="AK2935" s="2">
        <v>2228.4499999999998</v>
      </c>
      <c r="AL2935" t="str">
        <f>"$"</f>
        <v>$</v>
      </c>
    </row>
    <row r="2936" spans="1:38" x14ac:dyDescent="0.3">
      <c r="A2936" t="str">
        <f>"SO23000464"</f>
        <v>SO23000464</v>
      </c>
      <c r="B2936" t="str">
        <f>"E000404705"</f>
        <v>E000404705</v>
      </c>
      <c r="C2936" t="str">
        <f>"טיוטא"</f>
        <v>טיוטא</v>
      </c>
      <c r="E2936" s="3">
        <v>45189</v>
      </c>
      <c r="F2936" s="3">
        <v>45306</v>
      </c>
      <c r="G2936" t="str">
        <f>"700065"</f>
        <v>700065</v>
      </c>
      <c r="H2936" t="str">
        <f>"אלתא מערכות בע""מ"</f>
        <v>אלתא מערכות בע"מ</v>
      </c>
      <c r="I2936" t="str">
        <f>"רחמים זרוק"</f>
        <v>רחמים זרוק</v>
      </c>
      <c r="J2936" t="str">
        <f>"OP-AR03956"</f>
        <v>OP-AR03956</v>
      </c>
      <c r="K2936" s="1" t="str">
        <f>"1042W633-001    HARNESS WU633 - ANTENNA POWER - TILE 145"</f>
        <v>1042W633-001    HARNESS WU633 - ANTENNA POWER - TILE 145</v>
      </c>
      <c r="L2936">
        <v>1</v>
      </c>
      <c r="M2936" t="str">
        <f>"PR23000741"</f>
        <v>PR23000741</v>
      </c>
      <c r="N2936" t="str">
        <f>"E000404705"</f>
        <v>E000404705</v>
      </c>
      <c r="O2936" s="2">
        <v>2194.5100000000002</v>
      </c>
      <c r="P2936" t="str">
        <f>"$"</f>
        <v>$</v>
      </c>
      <c r="Q2936" t="str">
        <f>"117"</f>
        <v>117</v>
      </c>
      <c r="R2936" t="str">
        <f>"רתמות"</f>
        <v>רתמות</v>
      </c>
      <c r="S2936" t="str">
        <f>"040"</f>
        <v>040</v>
      </c>
      <c r="T2936" t="str">
        <f>"עמר ליגל"</f>
        <v>עמר ליגל</v>
      </c>
      <c r="U2936">
        <v>0</v>
      </c>
      <c r="V2936">
        <v>0</v>
      </c>
      <c r="W2936" s="2">
        <v>2194.5100000000002</v>
      </c>
      <c r="X2936" s="2">
        <v>2194.5100000000002</v>
      </c>
      <c r="AA2936">
        <v>1</v>
      </c>
      <c r="AC2936">
        <v>0</v>
      </c>
      <c r="AE2936">
        <v>0</v>
      </c>
      <c r="AF2936">
        <v>0</v>
      </c>
      <c r="AG2936" s="2">
        <v>8361.08</v>
      </c>
      <c r="AH2936">
        <v>0</v>
      </c>
      <c r="AI2936" s="2">
        <v>8361.08</v>
      </c>
      <c r="AJ2936" s="2">
        <v>2194.5100000000002</v>
      </c>
      <c r="AK2936" s="2">
        <v>2194.5100000000002</v>
      </c>
      <c r="AL2936" t="str">
        <f>"$"</f>
        <v>$</v>
      </c>
    </row>
    <row r="2937" spans="1:38" x14ac:dyDescent="0.3">
      <c r="A2937" t="str">
        <f>"SO23000464"</f>
        <v>SO23000464</v>
      </c>
      <c r="B2937" t="str">
        <f>"E000404705"</f>
        <v>E000404705</v>
      </c>
      <c r="C2937" t="str">
        <f>"טיוטא"</f>
        <v>טיוטא</v>
      </c>
      <c r="E2937" s="3">
        <v>45189</v>
      </c>
      <c r="F2937" s="3">
        <v>45306</v>
      </c>
      <c r="G2937" t="str">
        <f>"700065"</f>
        <v>700065</v>
      </c>
      <c r="H2937" t="str">
        <f>"אלתא מערכות בע""מ"</f>
        <v>אלתא מערכות בע"מ</v>
      </c>
      <c r="I2937" t="str">
        <f>"רחמים זרוק"</f>
        <v>רחמים זרוק</v>
      </c>
      <c r="J2937" t="str">
        <f>"OP-AR03957"</f>
        <v>OP-AR03957</v>
      </c>
      <c r="K2937" s="1" t="str">
        <f>"1042W634-001    HARNESS WU634 - ANTENNA POWER - TILE 157"</f>
        <v>1042W634-001    HARNESS WU634 - ANTENNA POWER - TILE 157</v>
      </c>
      <c r="L2937">
        <v>1</v>
      </c>
      <c r="M2937" t="str">
        <f>"PR23000741"</f>
        <v>PR23000741</v>
      </c>
      <c r="N2937" t="str">
        <f>"E000404705"</f>
        <v>E000404705</v>
      </c>
      <c r="O2937" s="2">
        <v>2173.27</v>
      </c>
      <c r="P2937" t="str">
        <f>"$"</f>
        <v>$</v>
      </c>
      <c r="Q2937" t="str">
        <f>"117"</f>
        <v>117</v>
      </c>
      <c r="R2937" t="str">
        <f>"רתמות"</f>
        <v>רתמות</v>
      </c>
      <c r="S2937" t="str">
        <f>"040"</f>
        <v>040</v>
      </c>
      <c r="T2937" t="str">
        <f>"עמר ליגל"</f>
        <v>עמר ליגל</v>
      </c>
      <c r="U2937">
        <v>0</v>
      </c>
      <c r="V2937">
        <v>0</v>
      </c>
      <c r="W2937" s="2">
        <v>2173.27</v>
      </c>
      <c r="X2937" s="2">
        <v>2173.27</v>
      </c>
      <c r="AA2937">
        <v>1</v>
      </c>
      <c r="AC2937">
        <v>0</v>
      </c>
      <c r="AE2937">
        <v>0</v>
      </c>
      <c r="AF2937">
        <v>0</v>
      </c>
      <c r="AG2937" s="2">
        <v>8280.16</v>
      </c>
      <c r="AH2937">
        <v>0</v>
      </c>
      <c r="AI2937" s="2">
        <v>8280.16</v>
      </c>
      <c r="AJ2937" s="2">
        <v>2173.27</v>
      </c>
      <c r="AK2937" s="2">
        <v>2173.27</v>
      </c>
      <c r="AL2937" t="str">
        <f>"$"</f>
        <v>$</v>
      </c>
    </row>
    <row r="2938" spans="1:38" x14ac:dyDescent="0.3">
      <c r="A2938" t="str">
        <f>"SO23000464"</f>
        <v>SO23000464</v>
      </c>
      <c r="B2938" t="str">
        <f>"E000404705"</f>
        <v>E000404705</v>
      </c>
      <c r="C2938" t="str">
        <f>"טיוטא"</f>
        <v>טיוטא</v>
      </c>
      <c r="E2938" s="3">
        <v>45189</v>
      </c>
      <c r="F2938" s="3">
        <v>45306</v>
      </c>
      <c r="G2938" t="str">
        <f>"700065"</f>
        <v>700065</v>
      </c>
      <c r="H2938" t="str">
        <f>"אלתא מערכות בע""מ"</f>
        <v>אלתא מערכות בע"מ</v>
      </c>
      <c r="I2938" t="str">
        <f>"רחמים זרוק"</f>
        <v>רחמים זרוק</v>
      </c>
      <c r="J2938" t="str">
        <f>"OP-AR03958"</f>
        <v>OP-AR03958</v>
      </c>
      <c r="K2938" s="1" t="str">
        <f>"1042W635-001    HARNESS WU635 - ANTENNA POWER - TILE 169"</f>
        <v>1042W635-001    HARNESS WU635 - ANTENNA POWER - TILE 169</v>
      </c>
      <c r="L2938">
        <v>1</v>
      </c>
      <c r="M2938" t="str">
        <f>"PR23000741"</f>
        <v>PR23000741</v>
      </c>
      <c r="N2938" t="str">
        <f>"E000404705"</f>
        <v>E000404705</v>
      </c>
      <c r="O2938" s="2">
        <v>2149.0500000000002</v>
      </c>
      <c r="P2938" t="str">
        <f>"$"</f>
        <v>$</v>
      </c>
      <c r="Q2938" t="str">
        <f>"117"</f>
        <v>117</v>
      </c>
      <c r="R2938" t="str">
        <f>"רתמות"</f>
        <v>רתמות</v>
      </c>
      <c r="S2938" t="str">
        <f>"040"</f>
        <v>040</v>
      </c>
      <c r="T2938" t="str">
        <f>"עמר ליגל"</f>
        <v>עמר ליגל</v>
      </c>
      <c r="U2938">
        <v>0</v>
      </c>
      <c r="V2938">
        <v>0</v>
      </c>
      <c r="W2938" s="2">
        <v>2149.0500000000002</v>
      </c>
      <c r="X2938" s="2">
        <v>2149.0500000000002</v>
      </c>
      <c r="AA2938">
        <v>1</v>
      </c>
      <c r="AC2938">
        <v>0</v>
      </c>
      <c r="AE2938">
        <v>0</v>
      </c>
      <c r="AF2938">
        <v>0</v>
      </c>
      <c r="AG2938" s="2">
        <v>8187.88</v>
      </c>
      <c r="AH2938">
        <v>0</v>
      </c>
      <c r="AI2938" s="2">
        <v>8187.88</v>
      </c>
      <c r="AJ2938" s="2">
        <v>2149.0500000000002</v>
      </c>
      <c r="AK2938" s="2">
        <v>2149.0500000000002</v>
      </c>
      <c r="AL2938" t="str">
        <f>"$"</f>
        <v>$</v>
      </c>
    </row>
    <row r="2939" spans="1:38" x14ac:dyDescent="0.3">
      <c r="A2939" t="str">
        <f>"SO23000464"</f>
        <v>SO23000464</v>
      </c>
      <c r="B2939" t="str">
        <f>"E000404705"</f>
        <v>E000404705</v>
      </c>
      <c r="C2939" t="str">
        <f>"טיוטא"</f>
        <v>טיוטא</v>
      </c>
      <c r="E2939" s="3">
        <v>45189</v>
      </c>
      <c r="F2939" s="3">
        <v>45306</v>
      </c>
      <c r="G2939" t="str">
        <f>"700065"</f>
        <v>700065</v>
      </c>
      <c r="H2939" t="str">
        <f>"אלתא מערכות בע""מ"</f>
        <v>אלתא מערכות בע"מ</v>
      </c>
      <c r="I2939" t="str">
        <f>"רחמים זרוק"</f>
        <v>רחמים זרוק</v>
      </c>
      <c r="J2939" t="str">
        <f>"OP-AR03959"</f>
        <v>OP-AR03959</v>
      </c>
      <c r="K2939" s="1" t="str">
        <f>"1042W636-001    HARNESS WU636 - ANTENNA POWER - TILE 181"</f>
        <v>1042W636-001    HARNESS WU636 - ANTENNA POWER - TILE 181</v>
      </c>
      <c r="L2939">
        <v>1</v>
      </c>
      <c r="M2939" t="str">
        <f>"PR23000741"</f>
        <v>PR23000741</v>
      </c>
      <c r="N2939" t="str">
        <f>"E000404705"</f>
        <v>E000404705</v>
      </c>
      <c r="O2939" s="2">
        <v>2118.09</v>
      </c>
      <c r="P2939" t="str">
        <f>"$"</f>
        <v>$</v>
      </c>
      <c r="Q2939" t="str">
        <f>"117"</f>
        <v>117</v>
      </c>
      <c r="R2939" t="str">
        <f>"רתמות"</f>
        <v>רתמות</v>
      </c>
      <c r="S2939" t="str">
        <f>"040"</f>
        <v>040</v>
      </c>
      <c r="T2939" t="str">
        <f>"עמר ליגל"</f>
        <v>עמר ליגל</v>
      </c>
      <c r="U2939">
        <v>0</v>
      </c>
      <c r="V2939">
        <v>0</v>
      </c>
      <c r="W2939" s="2">
        <v>2118.09</v>
      </c>
      <c r="X2939" s="2">
        <v>2118.09</v>
      </c>
      <c r="AA2939">
        <v>1</v>
      </c>
      <c r="AC2939">
        <v>0</v>
      </c>
      <c r="AE2939">
        <v>0</v>
      </c>
      <c r="AF2939">
        <v>0</v>
      </c>
      <c r="AG2939" s="2">
        <v>8069.92</v>
      </c>
      <c r="AH2939">
        <v>0</v>
      </c>
      <c r="AI2939" s="2">
        <v>8069.92</v>
      </c>
      <c r="AJ2939" s="2">
        <v>2118.09</v>
      </c>
      <c r="AK2939" s="2">
        <v>2118.09</v>
      </c>
      <c r="AL2939" t="str">
        <f>"$"</f>
        <v>$</v>
      </c>
    </row>
    <row r="2940" spans="1:38" x14ac:dyDescent="0.3">
      <c r="A2940" t="str">
        <f>"SO23000464"</f>
        <v>SO23000464</v>
      </c>
      <c r="B2940" t="str">
        <f>"E000404705"</f>
        <v>E000404705</v>
      </c>
      <c r="C2940" t="str">
        <f>"טיוטא"</f>
        <v>טיוטא</v>
      </c>
      <c r="E2940" s="3">
        <v>45189</v>
      </c>
      <c r="F2940" s="3">
        <v>45306</v>
      </c>
      <c r="G2940" t="str">
        <f>"700065"</f>
        <v>700065</v>
      </c>
      <c r="H2940" t="str">
        <f>"אלתא מערכות בע""מ"</f>
        <v>אלתא מערכות בע"מ</v>
      </c>
      <c r="I2940" t="str">
        <f>"רחמים זרוק"</f>
        <v>רחמים זרוק</v>
      </c>
      <c r="J2940" t="str">
        <f>"OP-AR03960"</f>
        <v>OP-AR03960</v>
      </c>
      <c r="K2940" s="1" t="str">
        <f>"1042W637-001    HARNESS WU637 - ANTENNA POWER - TILE 193"</f>
        <v>1042W637-001    HARNESS WU637 - ANTENNA POWER - TILE 193</v>
      </c>
      <c r="L2940">
        <v>1</v>
      </c>
      <c r="M2940" t="str">
        <f>"PR23000741"</f>
        <v>PR23000741</v>
      </c>
      <c r="N2940" t="str">
        <f>"E000404705"</f>
        <v>E000404705</v>
      </c>
      <c r="O2940" s="2">
        <v>2090.81</v>
      </c>
      <c r="P2940" t="str">
        <f>"$"</f>
        <v>$</v>
      </c>
      <c r="Q2940" t="str">
        <f>"117"</f>
        <v>117</v>
      </c>
      <c r="R2940" t="str">
        <f>"רתמות"</f>
        <v>רתמות</v>
      </c>
      <c r="S2940" t="str">
        <f>"040"</f>
        <v>040</v>
      </c>
      <c r="T2940" t="str">
        <f>"עמר ליגל"</f>
        <v>עמר ליגל</v>
      </c>
      <c r="U2940">
        <v>0</v>
      </c>
      <c r="V2940">
        <v>0</v>
      </c>
      <c r="W2940" s="2">
        <v>2090.81</v>
      </c>
      <c r="X2940" s="2">
        <v>2090.81</v>
      </c>
      <c r="AA2940">
        <v>1</v>
      </c>
      <c r="AC2940">
        <v>0</v>
      </c>
      <c r="AE2940">
        <v>0</v>
      </c>
      <c r="AF2940">
        <v>0</v>
      </c>
      <c r="AG2940" s="2">
        <v>7965.99</v>
      </c>
      <c r="AH2940">
        <v>0</v>
      </c>
      <c r="AI2940" s="2">
        <v>7965.99</v>
      </c>
      <c r="AJ2940" s="2">
        <v>2090.81</v>
      </c>
      <c r="AK2940" s="2">
        <v>2090.81</v>
      </c>
      <c r="AL2940" t="str">
        <f>"$"</f>
        <v>$</v>
      </c>
    </row>
    <row r="2941" spans="1:38" x14ac:dyDescent="0.3">
      <c r="A2941" t="str">
        <f>"SO23000464"</f>
        <v>SO23000464</v>
      </c>
      <c r="B2941" t="str">
        <f>"E000404705"</f>
        <v>E000404705</v>
      </c>
      <c r="C2941" t="str">
        <f>"טיוטא"</f>
        <v>טיוטא</v>
      </c>
      <c r="E2941" s="3">
        <v>45189</v>
      </c>
      <c r="F2941" s="3">
        <v>45306</v>
      </c>
      <c r="G2941" t="str">
        <f>"700065"</f>
        <v>700065</v>
      </c>
      <c r="H2941" t="str">
        <f>"אלתא מערכות בע""מ"</f>
        <v>אלתא מערכות בע"מ</v>
      </c>
      <c r="I2941" t="str">
        <f>"רחמים זרוק"</f>
        <v>רחמים זרוק</v>
      </c>
      <c r="J2941" t="str">
        <f>"OP-AR03961"</f>
        <v>OP-AR03961</v>
      </c>
      <c r="K2941" s="1" t="str">
        <f>"1042W638-001    HARNESS WU638 - ANTENNA POWER - TILE 205"</f>
        <v>1042W638-001    HARNESS WU638 - ANTENNA POWER - TILE 205</v>
      </c>
      <c r="L2941">
        <v>1</v>
      </c>
      <c r="M2941" t="str">
        <f>"PR23000741"</f>
        <v>PR23000741</v>
      </c>
      <c r="N2941" t="str">
        <f>"E000404705"</f>
        <v>E000404705</v>
      </c>
      <c r="O2941" s="2">
        <v>2059.89</v>
      </c>
      <c r="P2941" t="str">
        <f>"$"</f>
        <v>$</v>
      </c>
      <c r="Q2941" t="str">
        <f>"117"</f>
        <v>117</v>
      </c>
      <c r="R2941" t="str">
        <f>"רתמות"</f>
        <v>רתמות</v>
      </c>
      <c r="S2941" t="str">
        <f>"040"</f>
        <v>040</v>
      </c>
      <c r="T2941" t="str">
        <f>"עמר ליגל"</f>
        <v>עמר ליגל</v>
      </c>
      <c r="U2941">
        <v>0</v>
      </c>
      <c r="V2941">
        <v>0</v>
      </c>
      <c r="W2941" s="2">
        <v>2059.89</v>
      </c>
      <c r="X2941" s="2">
        <v>2059.89</v>
      </c>
      <c r="AA2941">
        <v>1</v>
      </c>
      <c r="AC2941">
        <v>0</v>
      </c>
      <c r="AE2941">
        <v>0</v>
      </c>
      <c r="AF2941">
        <v>0</v>
      </c>
      <c r="AG2941" s="2">
        <v>7848.18</v>
      </c>
      <c r="AH2941">
        <v>0</v>
      </c>
      <c r="AI2941" s="2">
        <v>7848.18</v>
      </c>
      <c r="AJ2941" s="2">
        <v>2059.89</v>
      </c>
      <c r="AK2941" s="2">
        <v>2059.89</v>
      </c>
      <c r="AL2941" t="str">
        <f>"$"</f>
        <v>$</v>
      </c>
    </row>
    <row r="2942" spans="1:38" x14ac:dyDescent="0.3">
      <c r="A2942" t="str">
        <f>"SO23000465"</f>
        <v>SO23000465</v>
      </c>
      <c r="B2942" t="str">
        <f>"E000403478"</f>
        <v>E000403478</v>
      </c>
      <c r="C2942" t="str">
        <f>"לאישור הסוכן"</f>
        <v>לאישור הסוכן</v>
      </c>
      <c r="E2942" s="3">
        <v>45189</v>
      </c>
      <c r="F2942" s="3">
        <v>45356</v>
      </c>
      <c r="G2942" t="str">
        <f>"700065"</f>
        <v>700065</v>
      </c>
      <c r="H2942" t="str">
        <f>"אלתא מערכות בע""מ"</f>
        <v>אלתא מערכות בע"מ</v>
      </c>
      <c r="I2942" t="str">
        <f>"רחמים זרוק"</f>
        <v>רחמים זרוק</v>
      </c>
      <c r="J2942" t="str">
        <f>"OP-AR03936"</f>
        <v>OP-AR03936</v>
      </c>
      <c r="K2942" s="1" t="str">
        <f>"1019W160-001      CABLE ASSY W9"</f>
        <v>1019W160-001      CABLE ASSY W9</v>
      </c>
      <c r="L2942">
        <v>3</v>
      </c>
      <c r="M2942" t="str">
        <f>"PR23000723"</f>
        <v>PR23000723</v>
      </c>
      <c r="N2942" t="str">
        <f>"E000403478"</f>
        <v>E000403478</v>
      </c>
      <c r="O2942">
        <v>969.26</v>
      </c>
      <c r="P2942" t="str">
        <f>"$"</f>
        <v>$</v>
      </c>
      <c r="Q2942" t="str">
        <f>"117"</f>
        <v>117</v>
      </c>
      <c r="R2942" t="str">
        <f>"רתמות"</f>
        <v>רתמות</v>
      </c>
      <c r="S2942" t="str">
        <f>"040"</f>
        <v>040</v>
      </c>
      <c r="T2942" t="str">
        <f>"עמר ליגל"</f>
        <v>עמר ליגל</v>
      </c>
      <c r="U2942">
        <v>0</v>
      </c>
      <c r="V2942">
        <v>0</v>
      </c>
      <c r="W2942">
        <v>969.26</v>
      </c>
      <c r="X2942" s="2">
        <v>2907.78</v>
      </c>
      <c r="AA2942">
        <v>3</v>
      </c>
      <c r="AC2942">
        <v>0</v>
      </c>
      <c r="AE2942">
        <v>0</v>
      </c>
      <c r="AF2942">
        <v>0</v>
      </c>
      <c r="AG2942" s="2">
        <v>3692.88</v>
      </c>
      <c r="AH2942">
        <v>0</v>
      </c>
      <c r="AI2942" s="2">
        <v>11078.64</v>
      </c>
      <c r="AJ2942" s="2">
        <v>2907.78</v>
      </c>
      <c r="AK2942" s="2">
        <v>2907.78</v>
      </c>
      <c r="AL2942" t="str">
        <f>"$"</f>
        <v>$</v>
      </c>
    </row>
    <row r="2943" spans="1:38" x14ac:dyDescent="0.3">
      <c r="A2943" t="str">
        <f>"SO23000465"</f>
        <v>SO23000465</v>
      </c>
      <c r="B2943" t="str">
        <f>"E000403478"</f>
        <v>E000403478</v>
      </c>
      <c r="C2943" t="str">
        <f>"לאישור הסוכן"</f>
        <v>לאישור הסוכן</v>
      </c>
      <c r="E2943" s="3">
        <v>45189</v>
      </c>
      <c r="F2943" s="3">
        <v>45356</v>
      </c>
      <c r="G2943" t="str">
        <f>"700065"</f>
        <v>700065</v>
      </c>
      <c r="H2943" t="str">
        <f>"אלתא מערכות בע""מ"</f>
        <v>אלתא מערכות בע"מ</v>
      </c>
      <c r="I2943" t="str">
        <f>"רחמים זרוק"</f>
        <v>רחמים זרוק</v>
      </c>
      <c r="J2943" t="str">
        <f>"OP-AR03937"</f>
        <v>OP-AR03937</v>
      </c>
      <c r="K2943" s="1" t="str">
        <f>"1019W161-001     CABLE ASSY W10"</f>
        <v>1019W161-001     CABLE ASSY W10</v>
      </c>
      <c r="L2943">
        <v>3</v>
      </c>
      <c r="M2943" t="str">
        <f>"PR23000723"</f>
        <v>PR23000723</v>
      </c>
      <c r="N2943" t="str">
        <f>"E000403478"</f>
        <v>E000403478</v>
      </c>
      <c r="O2943" s="2">
        <v>1153.07</v>
      </c>
      <c r="P2943" t="str">
        <f>"$"</f>
        <v>$</v>
      </c>
      <c r="Q2943" t="str">
        <f>"117"</f>
        <v>117</v>
      </c>
      <c r="R2943" t="str">
        <f>"רתמות"</f>
        <v>רתמות</v>
      </c>
      <c r="S2943" t="str">
        <f>"040"</f>
        <v>040</v>
      </c>
      <c r="T2943" t="str">
        <f>"עמר ליגל"</f>
        <v>עמר ליגל</v>
      </c>
      <c r="U2943">
        <v>0</v>
      </c>
      <c r="V2943">
        <v>0</v>
      </c>
      <c r="W2943" s="2">
        <v>1153.07</v>
      </c>
      <c r="X2943" s="2">
        <v>3459.21</v>
      </c>
      <c r="AA2943">
        <v>3</v>
      </c>
      <c r="AC2943">
        <v>0</v>
      </c>
      <c r="AE2943">
        <v>0</v>
      </c>
      <c r="AF2943">
        <v>0</v>
      </c>
      <c r="AG2943" s="2">
        <v>4393.2</v>
      </c>
      <c r="AH2943">
        <v>0</v>
      </c>
      <c r="AI2943" s="2">
        <v>13179.59</v>
      </c>
      <c r="AJ2943" s="2">
        <v>3459.21</v>
      </c>
      <c r="AK2943" s="2">
        <v>3459.21</v>
      </c>
      <c r="AL2943" t="str">
        <f>"$"</f>
        <v>$</v>
      </c>
    </row>
    <row r="2944" spans="1:38" x14ac:dyDescent="0.3">
      <c r="A2944" t="str">
        <f>"SO23000465"</f>
        <v>SO23000465</v>
      </c>
      <c r="B2944" t="str">
        <f>"E000403478"</f>
        <v>E000403478</v>
      </c>
      <c r="C2944" t="str">
        <f>"לאישור הסוכן"</f>
        <v>לאישור הסוכן</v>
      </c>
      <c r="E2944" s="3">
        <v>45189</v>
      </c>
      <c r="F2944" s="3">
        <v>45356</v>
      </c>
      <c r="G2944" t="str">
        <f>"700065"</f>
        <v>700065</v>
      </c>
      <c r="H2944" t="str">
        <f>"אלתא מערכות בע""מ"</f>
        <v>אלתא מערכות בע"מ</v>
      </c>
      <c r="I2944" t="str">
        <f>"רחמים זרוק"</f>
        <v>רחמים זרוק</v>
      </c>
      <c r="J2944" t="str">
        <f>"OP-AR03938"</f>
        <v>OP-AR03938</v>
      </c>
      <c r="K2944" s="1" t="str">
        <f>"1019W273-001     CABLE ASSY W56 CDU-INT BOX ETHERNET"</f>
        <v>1019W273-001     CABLE ASSY W56 CDU-INT BOX ETHERNET</v>
      </c>
      <c r="L2944">
        <v>3</v>
      </c>
      <c r="M2944" t="str">
        <f>"PR23000723"</f>
        <v>PR23000723</v>
      </c>
      <c r="N2944" t="str">
        <f>"E000403478"</f>
        <v>E000403478</v>
      </c>
      <c r="O2944">
        <v>206.03</v>
      </c>
      <c r="P2944" t="str">
        <f>"$"</f>
        <v>$</v>
      </c>
      <c r="Q2944" t="str">
        <f>"117"</f>
        <v>117</v>
      </c>
      <c r="R2944" t="str">
        <f>"רתמות"</f>
        <v>רתמות</v>
      </c>
      <c r="S2944" t="str">
        <f>"040"</f>
        <v>040</v>
      </c>
      <c r="T2944" t="str">
        <f>"עמר ליגל"</f>
        <v>עמר ליגל</v>
      </c>
      <c r="U2944">
        <v>0</v>
      </c>
      <c r="V2944">
        <v>0</v>
      </c>
      <c r="W2944">
        <v>206.03</v>
      </c>
      <c r="X2944">
        <v>618.09</v>
      </c>
      <c r="AA2944">
        <v>3</v>
      </c>
      <c r="AC2944">
        <v>0</v>
      </c>
      <c r="AE2944">
        <v>0</v>
      </c>
      <c r="AF2944">
        <v>0</v>
      </c>
      <c r="AG2944">
        <v>784.97</v>
      </c>
      <c r="AH2944">
        <v>0</v>
      </c>
      <c r="AI2944" s="2">
        <v>2354.92</v>
      </c>
      <c r="AJ2944">
        <v>618.09</v>
      </c>
      <c r="AK2944">
        <v>618.09</v>
      </c>
      <c r="AL2944" t="str">
        <f>"$"</f>
        <v>$</v>
      </c>
    </row>
    <row r="2945" spans="1:38" x14ac:dyDescent="0.3">
      <c r="A2945" t="str">
        <f>"SO23000465"</f>
        <v>SO23000465</v>
      </c>
      <c r="B2945" t="str">
        <f>"E000403478"</f>
        <v>E000403478</v>
      </c>
      <c r="C2945" t="str">
        <f>"לאישור הסוכן"</f>
        <v>לאישור הסוכן</v>
      </c>
      <c r="E2945" s="3">
        <v>45189</v>
      </c>
      <c r="F2945" s="3">
        <v>45356</v>
      </c>
      <c r="G2945" t="str">
        <f>"700065"</f>
        <v>700065</v>
      </c>
      <c r="H2945" t="str">
        <f>"אלתא מערכות בע""מ"</f>
        <v>אלתא מערכות בע"מ</v>
      </c>
      <c r="I2945" t="str">
        <f>"רחמים זרוק"</f>
        <v>רחמים זרוק</v>
      </c>
      <c r="J2945" t="str">
        <f>"OP-AR03939"</f>
        <v>OP-AR03939</v>
      </c>
      <c r="K2945" s="1" t="str">
        <f>"1037R602-001     WC1 (EL/M 2106 ATAR) ANT COMM CABLE"</f>
        <v>1037R602-001     WC1 (EL/M 2106 ATAR) ANT COMM CABLE</v>
      </c>
      <c r="L2945">
        <v>2</v>
      </c>
      <c r="M2945" t="str">
        <f>"PR23000723"</f>
        <v>PR23000723</v>
      </c>
      <c r="N2945" t="str">
        <f>"E000403478"</f>
        <v>E000403478</v>
      </c>
      <c r="O2945">
        <v>953.7</v>
      </c>
      <c r="P2945" t="str">
        <f>"$"</f>
        <v>$</v>
      </c>
      <c r="Q2945" t="str">
        <f>"117"</f>
        <v>117</v>
      </c>
      <c r="R2945" t="str">
        <f>"רתמות"</f>
        <v>רתמות</v>
      </c>
      <c r="S2945" t="str">
        <f>"040"</f>
        <v>040</v>
      </c>
      <c r="T2945" t="str">
        <f>"עמר ליגל"</f>
        <v>עמר ליגל</v>
      </c>
      <c r="U2945">
        <v>0</v>
      </c>
      <c r="V2945">
        <v>0</v>
      </c>
      <c r="W2945">
        <v>953.7</v>
      </c>
      <c r="X2945" s="2">
        <v>1907.4</v>
      </c>
      <c r="AA2945">
        <v>2</v>
      </c>
      <c r="AC2945">
        <v>0</v>
      </c>
      <c r="AE2945">
        <v>0</v>
      </c>
      <c r="AF2945">
        <v>0</v>
      </c>
      <c r="AG2945" s="2">
        <v>3633.6</v>
      </c>
      <c r="AH2945">
        <v>0</v>
      </c>
      <c r="AI2945" s="2">
        <v>7267.19</v>
      </c>
      <c r="AJ2945" s="2">
        <v>1907.4</v>
      </c>
      <c r="AK2945" s="2">
        <v>1907.4</v>
      </c>
      <c r="AL2945" t="str">
        <f>"$"</f>
        <v>$</v>
      </c>
    </row>
    <row r="2946" spans="1:38" x14ac:dyDescent="0.3">
      <c r="A2946" t="str">
        <f>"SO23000465"</f>
        <v>SO23000465</v>
      </c>
      <c r="B2946" t="str">
        <f>"E000403478"</f>
        <v>E000403478</v>
      </c>
      <c r="C2946" t="str">
        <f>"לאישור הסוכן"</f>
        <v>לאישור הסוכן</v>
      </c>
      <c r="E2946" s="3">
        <v>45189</v>
      </c>
      <c r="F2946" s="3">
        <v>45356</v>
      </c>
      <c r="G2946" t="str">
        <f>"700065"</f>
        <v>700065</v>
      </c>
      <c r="H2946" t="str">
        <f>"אלתא מערכות בע""מ"</f>
        <v>אלתא מערכות בע"מ</v>
      </c>
      <c r="I2946" t="str">
        <f>"רחמים זרוק"</f>
        <v>רחמים זרוק</v>
      </c>
      <c r="J2946" t="str">
        <f>"OP-AR03940"</f>
        <v>OP-AR03940</v>
      </c>
      <c r="K2946" s="1" t="str">
        <f>"6930B404-001     HARNESS WK004 - INTERFACE BOX TO PEDESTA"</f>
        <v>6930B404-001     HARNESS WK004 - INTERFACE BOX TO PEDESTA</v>
      </c>
      <c r="L2946">
        <v>4</v>
      </c>
      <c r="M2946" t="str">
        <f>"PR23000723"</f>
        <v>PR23000723</v>
      </c>
      <c r="N2946" t="str">
        <f>"E000403478"</f>
        <v>E000403478</v>
      </c>
      <c r="O2946">
        <v>491.12</v>
      </c>
      <c r="P2946" t="str">
        <f>"$"</f>
        <v>$</v>
      </c>
      <c r="Q2946" t="str">
        <f>"117"</f>
        <v>117</v>
      </c>
      <c r="R2946" t="str">
        <f>"רתמות"</f>
        <v>רתמות</v>
      </c>
      <c r="S2946" t="str">
        <f>"040"</f>
        <v>040</v>
      </c>
      <c r="T2946" t="str">
        <f>"עמר ליגל"</f>
        <v>עמר ליגל</v>
      </c>
      <c r="U2946">
        <v>0</v>
      </c>
      <c r="V2946">
        <v>0</v>
      </c>
      <c r="W2946">
        <v>491.12</v>
      </c>
      <c r="X2946" s="2">
        <v>1964.48</v>
      </c>
      <c r="AA2946">
        <v>4</v>
      </c>
      <c r="AC2946">
        <v>0</v>
      </c>
      <c r="AE2946">
        <v>0</v>
      </c>
      <c r="AF2946">
        <v>0</v>
      </c>
      <c r="AG2946" s="2">
        <v>1871.17</v>
      </c>
      <c r="AH2946">
        <v>0</v>
      </c>
      <c r="AI2946" s="2">
        <v>7484.67</v>
      </c>
      <c r="AJ2946" s="2">
        <v>1964.48</v>
      </c>
      <c r="AK2946" s="2">
        <v>1964.48</v>
      </c>
      <c r="AL2946" t="str">
        <f>"$"</f>
        <v>$</v>
      </c>
    </row>
    <row r="2947" spans="1:38" x14ac:dyDescent="0.3">
      <c r="A2947" t="str">
        <f>"SO23000465"</f>
        <v>SO23000465</v>
      </c>
      <c r="B2947" t="str">
        <f>"E000403478"</f>
        <v>E000403478</v>
      </c>
      <c r="C2947" t="str">
        <f>"לאישור הסוכן"</f>
        <v>לאישור הסוכן</v>
      </c>
      <c r="E2947" s="3">
        <v>45189</v>
      </c>
      <c r="F2947" s="3">
        <v>45356</v>
      </c>
      <c r="G2947" t="str">
        <f>"700065"</f>
        <v>700065</v>
      </c>
      <c r="H2947" t="str">
        <f>"אלתא מערכות בע""מ"</f>
        <v>אלתא מערכות בע"מ</v>
      </c>
      <c r="I2947" t="str">
        <f>"רחמים זרוק"</f>
        <v>רחמים זרוק</v>
      </c>
      <c r="J2947" t="str">
        <f>"OP-AR03941"</f>
        <v>OP-AR03941</v>
      </c>
      <c r="K2947" s="1" t="str">
        <f>"6930B409-001    HARNESS WK009 - POWER"</f>
        <v>6930B409-001    HARNESS WK009 - POWER</v>
      </c>
      <c r="L2947">
        <v>3</v>
      </c>
      <c r="M2947" t="str">
        <f>"PR23000723"</f>
        <v>PR23000723</v>
      </c>
      <c r="N2947" t="str">
        <f>"E000403478"</f>
        <v>E000403478</v>
      </c>
      <c r="O2947" s="2">
        <v>1333.47</v>
      </c>
      <c r="P2947" t="str">
        <f>"$"</f>
        <v>$</v>
      </c>
      <c r="Q2947" t="str">
        <f>"117"</f>
        <v>117</v>
      </c>
      <c r="R2947" t="str">
        <f>"רתמות"</f>
        <v>רתמות</v>
      </c>
      <c r="S2947" t="str">
        <f>"040"</f>
        <v>040</v>
      </c>
      <c r="T2947" t="str">
        <f>"עמר ליגל"</f>
        <v>עמר ליגל</v>
      </c>
      <c r="U2947">
        <v>0</v>
      </c>
      <c r="V2947">
        <v>0</v>
      </c>
      <c r="W2947" s="2">
        <v>1333.47</v>
      </c>
      <c r="X2947" s="2">
        <v>4000.41</v>
      </c>
      <c r="AA2947">
        <v>3</v>
      </c>
      <c r="AC2947">
        <v>0</v>
      </c>
      <c r="AE2947">
        <v>0</v>
      </c>
      <c r="AF2947">
        <v>0</v>
      </c>
      <c r="AG2947" s="2">
        <v>5080.5200000000004</v>
      </c>
      <c r="AH2947">
        <v>0</v>
      </c>
      <c r="AI2947" s="2">
        <v>15241.56</v>
      </c>
      <c r="AJ2947" s="2">
        <v>4000.41</v>
      </c>
      <c r="AK2947" s="2">
        <v>4000.41</v>
      </c>
      <c r="AL2947" t="str">
        <f>"$"</f>
        <v>$</v>
      </c>
    </row>
    <row r="2948" spans="1:38" x14ac:dyDescent="0.3">
      <c r="A2948" t="str">
        <f>"SO23000465"</f>
        <v>SO23000465</v>
      </c>
      <c r="B2948" t="str">
        <f>"E000403478"</f>
        <v>E000403478</v>
      </c>
      <c r="C2948" t="str">
        <f>"לאישור הסוכן"</f>
        <v>לאישור הסוכן</v>
      </c>
      <c r="E2948" s="3">
        <v>45189</v>
      </c>
      <c r="F2948" s="3">
        <v>45395</v>
      </c>
      <c r="G2948" t="str">
        <f>"700065"</f>
        <v>700065</v>
      </c>
      <c r="H2948" t="str">
        <f>"אלתא מערכות בע""מ"</f>
        <v>אלתא מערכות בע"מ</v>
      </c>
      <c r="I2948" t="str">
        <f>"רחמים זרוק"</f>
        <v>רחמים זרוק</v>
      </c>
      <c r="J2948" t="str">
        <f>"OP-AR03942"</f>
        <v>OP-AR03942</v>
      </c>
      <c r="K2948" s="1" t="str">
        <f>"CABLE ASSY EICD - WM12_2"</f>
        <v>CABLE ASSY EICD - WM12_2</v>
      </c>
      <c r="L2948">
        <v>2</v>
      </c>
      <c r="M2948" t="str">
        <f>"PR23000723"</f>
        <v>PR23000723</v>
      </c>
      <c r="N2948" t="str">
        <f>"E000403478"</f>
        <v>E000403478</v>
      </c>
      <c r="O2948" s="2">
        <v>1153.07</v>
      </c>
      <c r="P2948" t="str">
        <f>"$"</f>
        <v>$</v>
      </c>
      <c r="Q2948" t="str">
        <f>"117"</f>
        <v>117</v>
      </c>
      <c r="R2948" t="str">
        <f>"רתמות"</f>
        <v>רתמות</v>
      </c>
      <c r="S2948" t="str">
        <f>"040"</f>
        <v>040</v>
      </c>
      <c r="T2948" t="str">
        <f>"עמר ליגל"</f>
        <v>עמר ליגל</v>
      </c>
      <c r="U2948">
        <v>0</v>
      </c>
      <c r="V2948">
        <v>0</v>
      </c>
      <c r="W2948" s="2">
        <v>1153.07</v>
      </c>
      <c r="X2948" s="2">
        <v>2306.14</v>
      </c>
      <c r="AA2948">
        <v>2</v>
      </c>
      <c r="AC2948">
        <v>0</v>
      </c>
      <c r="AE2948">
        <v>0</v>
      </c>
      <c r="AF2948">
        <v>0</v>
      </c>
      <c r="AG2948" s="2">
        <v>4393.2</v>
      </c>
      <c r="AH2948">
        <v>0</v>
      </c>
      <c r="AI2948" s="2">
        <v>8786.39</v>
      </c>
      <c r="AJ2948" s="2">
        <v>2306.14</v>
      </c>
      <c r="AK2948" s="2">
        <v>2306.14</v>
      </c>
      <c r="AL2948" t="str">
        <f>"$"</f>
        <v>$</v>
      </c>
    </row>
    <row r="2949" spans="1:38" x14ac:dyDescent="0.3">
      <c r="A2949" t="str">
        <f>"SO23000467"</f>
        <v>SO23000467</v>
      </c>
      <c r="B2949" t="str">
        <f>"E000398293"</f>
        <v>E000398293</v>
      </c>
      <c r="C2949" t="str">
        <f>"מאושרת לחיוב"</f>
        <v>מאושרת לחיוב</v>
      </c>
      <c r="E2949" s="3">
        <v>45189</v>
      </c>
      <c r="F2949" s="3">
        <v>45190</v>
      </c>
      <c r="G2949" t="str">
        <f>"700065"</f>
        <v>700065</v>
      </c>
      <c r="H2949" t="str">
        <f>"אלתא מערכות בע""מ"</f>
        <v>אלתא מערכות בע"מ</v>
      </c>
      <c r="J2949" t="str">
        <f>"cust001530"</f>
        <v>cust001530</v>
      </c>
      <c r="K2949" s="1" t="str">
        <f>"ELTA 1038N158-001"</f>
        <v>ELTA 1038N158-001</v>
      </c>
      <c r="L2949">
        <v>10</v>
      </c>
      <c r="O2949">
        <v>0</v>
      </c>
      <c r="P2949" t="str">
        <f>"$"</f>
        <v>$</v>
      </c>
      <c r="Q2949" t="str">
        <f>"117"</f>
        <v>117</v>
      </c>
      <c r="R2949" t="str">
        <f>"רתמות"</f>
        <v>רתמות</v>
      </c>
      <c r="T2949" t="str">
        <f>"חן בזק"</f>
        <v>חן בזק</v>
      </c>
      <c r="U2949">
        <v>0</v>
      </c>
      <c r="V2949">
        <v>0</v>
      </c>
      <c r="W2949">
        <v>0</v>
      </c>
      <c r="X2949">
        <v>0</v>
      </c>
      <c r="Z2949" t="str">
        <f>"Y"</f>
        <v>Y</v>
      </c>
      <c r="AA2949">
        <v>0</v>
      </c>
      <c r="AC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 t="str">
        <f>"$"</f>
        <v>$</v>
      </c>
    </row>
    <row r="2950" spans="1:38" x14ac:dyDescent="0.3">
      <c r="A2950" t="str">
        <f>"SO23000467"</f>
        <v>SO23000467</v>
      </c>
      <c r="B2950" t="str">
        <f>"E000398293"</f>
        <v>E000398293</v>
      </c>
      <c r="C2950" t="str">
        <f>"מאושרת לחיוב"</f>
        <v>מאושרת לחיוב</v>
      </c>
      <c r="E2950" s="3">
        <v>45189</v>
      </c>
      <c r="F2950" s="3">
        <v>45189</v>
      </c>
      <c r="G2950" t="str">
        <f>"700065"</f>
        <v>700065</v>
      </c>
      <c r="H2950" t="str">
        <f>"אלתא מערכות בע""מ"</f>
        <v>אלתא מערכות בע"מ</v>
      </c>
      <c r="J2950" t="str">
        <f>"000"</f>
        <v>000</v>
      </c>
      <c r="K2950" s="1" t="str">
        <f>"כבלים לא ניתנים לשדרוג - מוחזר ללקוח"</f>
        <v>כבלים לא ניתנים לשדרוג - מוחזר ללקוח</v>
      </c>
      <c r="L2950">
        <v>0</v>
      </c>
      <c r="O2950">
        <v>0</v>
      </c>
      <c r="P2950" t="str">
        <f>"$"</f>
        <v>$</v>
      </c>
      <c r="Q2950" t="str">
        <f>"117"</f>
        <v>117</v>
      </c>
      <c r="R2950" t="str">
        <f>"רתמות"</f>
        <v>רתמות</v>
      </c>
      <c r="T2950" t="str">
        <f>"חן בזק"</f>
        <v>חן בזק</v>
      </c>
      <c r="U2950">
        <v>0</v>
      </c>
      <c r="V2950">
        <v>0</v>
      </c>
      <c r="W2950">
        <v>0</v>
      </c>
      <c r="X2950">
        <v>0</v>
      </c>
      <c r="AA2950">
        <v>0</v>
      </c>
      <c r="AC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 t="str">
        <f>"$"</f>
        <v>$</v>
      </c>
    </row>
    <row r="2951" spans="1:38" x14ac:dyDescent="0.3">
      <c r="A2951" t="str">
        <f>"SO23000473"</f>
        <v>SO23000473</v>
      </c>
      <c r="B2951" t="str">
        <f>"E000405300"</f>
        <v>E000405300</v>
      </c>
      <c r="C2951" t="str">
        <f>"טיוטא"</f>
        <v>טיוטא</v>
      </c>
      <c r="E2951" s="3">
        <v>45195</v>
      </c>
      <c r="F2951" s="3">
        <v>45371</v>
      </c>
      <c r="G2951" t="str">
        <f>"700065"</f>
        <v>700065</v>
      </c>
      <c r="H2951" t="str">
        <f>"אלתא מערכות בע""מ"</f>
        <v>אלתא מערכות בע"מ</v>
      </c>
      <c r="I2951" t="str">
        <f>"רחמים זרוק"</f>
        <v>רחמים זרוק</v>
      </c>
      <c r="J2951" t="str">
        <f>"OP-AR02131"</f>
        <v>OP-AR02131</v>
      </c>
      <c r="K2951" s="1" t="str">
        <f>"1032F947-001   HARNESS MFR-W947 - TBU1 TO SENS"</f>
        <v>1032F947-001   HARNESS MFR-W947 - TBU1 TO SENS</v>
      </c>
      <c r="L2951">
        <v>2</v>
      </c>
      <c r="O2951">
        <v>276.83</v>
      </c>
      <c r="P2951" t="str">
        <f>"$"</f>
        <v>$</v>
      </c>
      <c r="Q2951" t="str">
        <f>"117"</f>
        <v>117</v>
      </c>
      <c r="R2951" t="str">
        <f>"רתמות"</f>
        <v>רתמות</v>
      </c>
      <c r="S2951" t="str">
        <f>"040"</f>
        <v>040</v>
      </c>
      <c r="T2951" t="str">
        <f>"עמר ליגל"</f>
        <v>עמר ליגל</v>
      </c>
      <c r="U2951">
        <v>0</v>
      </c>
      <c r="V2951">
        <v>0</v>
      </c>
      <c r="W2951">
        <v>276.83</v>
      </c>
      <c r="X2951">
        <v>553.66</v>
      </c>
      <c r="AA2951">
        <v>2</v>
      </c>
      <c r="AC2951">
        <v>0</v>
      </c>
      <c r="AE2951">
        <v>0</v>
      </c>
      <c r="AF2951">
        <v>0</v>
      </c>
      <c r="AG2951" s="2">
        <v>1057.21</v>
      </c>
      <c r="AH2951">
        <v>0</v>
      </c>
      <c r="AI2951" s="2">
        <v>2114.4299999999998</v>
      </c>
      <c r="AJ2951">
        <v>553.66</v>
      </c>
      <c r="AK2951">
        <v>553.66</v>
      </c>
      <c r="AL2951" t="str">
        <f>"$"</f>
        <v>$</v>
      </c>
    </row>
    <row r="2952" spans="1:38" x14ac:dyDescent="0.3">
      <c r="A2952" t="str">
        <f>"SO23000473"</f>
        <v>SO23000473</v>
      </c>
      <c r="B2952" t="str">
        <f>"E000405300"</f>
        <v>E000405300</v>
      </c>
      <c r="C2952" t="str">
        <f>"טיוטא"</f>
        <v>טיוטא</v>
      </c>
      <c r="E2952" s="3">
        <v>45195</v>
      </c>
      <c r="F2952" s="3">
        <v>45371</v>
      </c>
      <c r="G2952" t="str">
        <f>"700065"</f>
        <v>700065</v>
      </c>
      <c r="H2952" t="str">
        <f>"אלתא מערכות בע""מ"</f>
        <v>אלתא מערכות בע"מ</v>
      </c>
      <c r="I2952" t="str">
        <f>"רחמים זרוק"</f>
        <v>רחמים זרוק</v>
      </c>
      <c r="J2952" t="str">
        <f>"OP-AR03974"</f>
        <v>OP-AR03974</v>
      </c>
      <c r="K2952" s="1" t="str">
        <f>"1033M592-002    HARNESS 1W101 - FAN"</f>
        <v>1033M592-002    HARNESS 1W101 - FAN</v>
      </c>
      <c r="L2952">
        <v>2</v>
      </c>
      <c r="O2952">
        <v>475.97</v>
      </c>
      <c r="P2952" t="str">
        <f>"$"</f>
        <v>$</v>
      </c>
      <c r="Q2952" t="str">
        <f>"117"</f>
        <v>117</v>
      </c>
      <c r="R2952" t="str">
        <f>"רתמות"</f>
        <v>רתמות</v>
      </c>
      <c r="S2952" t="str">
        <f>"040"</f>
        <v>040</v>
      </c>
      <c r="T2952" t="str">
        <f>"עמר ליגל"</f>
        <v>עמר ליגל</v>
      </c>
      <c r="U2952">
        <v>0</v>
      </c>
      <c r="V2952">
        <v>0</v>
      </c>
      <c r="W2952">
        <v>475.97</v>
      </c>
      <c r="X2952">
        <v>951.94</v>
      </c>
      <c r="AA2952">
        <v>2</v>
      </c>
      <c r="AC2952">
        <v>0</v>
      </c>
      <c r="AE2952">
        <v>0</v>
      </c>
      <c r="AF2952">
        <v>0</v>
      </c>
      <c r="AG2952" s="2">
        <v>1817.73</v>
      </c>
      <c r="AH2952">
        <v>0</v>
      </c>
      <c r="AI2952" s="2">
        <v>3635.46</v>
      </c>
      <c r="AJ2952">
        <v>951.94</v>
      </c>
      <c r="AK2952">
        <v>951.94</v>
      </c>
      <c r="AL2952" t="str">
        <f>"$"</f>
        <v>$</v>
      </c>
    </row>
    <row r="2953" spans="1:38" x14ac:dyDescent="0.3">
      <c r="A2953" t="str">
        <f>"SO23000473"</f>
        <v>SO23000473</v>
      </c>
      <c r="B2953" t="str">
        <f>"E000405300"</f>
        <v>E000405300</v>
      </c>
      <c r="C2953" t="str">
        <f>"טיוטא"</f>
        <v>טיוטא</v>
      </c>
      <c r="E2953" s="3">
        <v>45195</v>
      </c>
      <c r="F2953" s="3">
        <v>45371</v>
      </c>
      <c r="G2953" t="str">
        <f>"700065"</f>
        <v>700065</v>
      </c>
      <c r="H2953" t="str">
        <f>"אלתא מערכות בע""מ"</f>
        <v>אלתא מערכות בע"מ</v>
      </c>
      <c r="I2953" t="str">
        <f>"רחמים זרוק"</f>
        <v>רחמים זרוק</v>
      </c>
      <c r="J2953" t="str">
        <f>"OP-AR03399"</f>
        <v>OP-AR03399</v>
      </c>
      <c r="K2953" s="1" t="str">
        <f>"1035C193-001    HARNESS 1W093-GND RU"</f>
        <v>1035C193-001    HARNESS 1W093-GND RU</v>
      </c>
      <c r="L2953">
        <v>2</v>
      </c>
      <c r="O2953">
        <v>54.32</v>
      </c>
      <c r="P2953" t="str">
        <f>"$"</f>
        <v>$</v>
      </c>
      <c r="Q2953" t="str">
        <f>"117"</f>
        <v>117</v>
      </c>
      <c r="R2953" t="str">
        <f>"רתמות"</f>
        <v>רתמות</v>
      </c>
      <c r="S2953" t="str">
        <f>"040"</f>
        <v>040</v>
      </c>
      <c r="T2953" t="str">
        <f>"עמר ליגל"</f>
        <v>עמר ליגל</v>
      </c>
      <c r="U2953">
        <v>0</v>
      </c>
      <c r="V2953">
        <v>0</v>
      </c>
      <c r="W2953">
        <v>54.32</v>
      </c>
      <c r="X2953">
        <v>108.64</v>
      </c>
      <c r="AA2953">
        <v>2</v>
      </c>
      <c r="AC2953">
        <v>0</v>
      </c>
      <c r="AE2953">
        <v>0</v>
      </c>
      <c r="AF2953">
        <v>0</v>
      </c>
      <c r="AG2953">
        <v>207.45</v>
      </c>
      <c r="AH2953">
        <v>0</v>
      </c>
      <c r="AI2953">
        <v>414.9</v>
      </c>
      <c r="AJ2953">
        <v>108.64</v>
      </c>
      <c r="AK2953">
        <v>108.64</v>
      </c>
      <c r="AL2953" t="str">
        <f>"$"</f>
        <v>$</v>
      </c>
    </row>
    <row r="2954" spans="1:38" x14ac:dyDescent="0.3">
      <c r="A2954" t="str">
        <f>"SO23000473"</f>
        <v>SO23000473</v>
      </c>
      <c r="B2954" t="str">
        <f>"E000405300"</f>
        <v>E000405300</v>
      </c>
      <c r="C2954" t="str">
        <f>"טיוטא"</f>
        <v>טיוטא</v>
      </c>
      <c r="E2954" s="3">
        <v>45195</v>
      </c>
      <c r="F2954" s="3">
        <v>45371</v>
      </c>
      <c r="G2954" t="str">
        <f>"700065"</f>
        <v>700065</v>
      </c>
      <c r="H2954" t="str">
        <f>"אלתא מערכות בע""מ"</f>
        <v>אלתא מערכות בע"מ</v>
      </c>
      <c r="I2954" t="str">
        <f>"רחמים זרוק"</f>
        <v>רחמים זרוק</v>
      </c>
      <c r="J2954" t="str">
        <f>"OP-AR03277"</f>
        <v>OP-AR03277</v>
      </c>
      <c r="K2954" s="1" t="str">
        <f>"1035C301-001    HARNESS 3W001 - POWER IN 220VAC/60HZ 3 P"</f>
        <v>1035C301-001    HARNESS 3W001 - POWER IN 220VAC/60HZ 3 P</v>
      </c>
      <c r="L2954">
        <v>2</v>
      </c>
      <c r="O2954">
        <v>242.68</v>
      </c>
      <c r="P2954" t="str">
        <f>"$"</f>
        <v>$</v>
      </c>
      <c r="Q2954" t="str">
        <f>"117"</f>
        <v>117</v>
      </c>
      <c r="R2954" t="str">
        <f>"רתמות"</f>
        <v>רתמות</v>
      </c>
      <c r="S2954" t="str">
        <f>"040"</f>
        <v>040</v>
      </c>
      <c r="T2954" t="str">
        <f>"עמר ליגל"</f>
        <v>עמר ליגל</v>
      </c>
      <c r="U2954">
        <v>0</v>
      </c>
      <c r="V2954">
        <v>0</v>
      </c>
      <c r="W2954">
        <v>242.68</v>
      </c>
      <c r="X2954">
        <v>485.36</v>
      </c>
      <c r="AA2954">
        <v>2</v>
      </c>
      <c r="AC2954">
        <v>0</v>
      </c>
      <c r="AE2954">
        <v>0</v>
      </c>
      <c r="AF2954">
        <v>0</v>
      </c>
      <c r="AG2954">
        <v>926.79</v>
      </c>
      <c r="AH2954">
        <v>0</v>
      </c>
      <c r="AI2954" s="2">
        <v>1853.59</v>
      </c>
      <c r="AJ2954">
        <v>485.36</v>
      </c>
      <c r="AK2954">
        <v>485.36</v>
      </c>
      <c r="AL2954" t="str">
        <f>"$"</f>
        <v>$</v>
      </c>
    </row>
    <row r="2955" spans="1:38" x14ac:dyDescent="0.3">
      <c r="A2955" t="str">
        <f>"SO23000473"</f>
        <v>SO23000473</v>
      </c>
      <c r="B2955" t="str">
        <f>"E000405300"</f>
        <v>E000405300</v>
      </c>
      <c r="C2955" t="str">
        <f>"טיוטא"</f>
        <v>טיוטא</v>
      </c>
      <c r="E2955" s="3">
        <v>45195</v>
      </c>
      <c r="F2955" s="3">
        <v>45371</v>
      </c>
      <c r="G2955" t="str">
        <f>"700065"</f>
        <v>700065</v>
      </c>
      <c r="H2955" t="str">
        <f>"אלתא מערכות בע""מ"</f>
        <v>אלתא מערכות בע"מ</v>
      </c>
      <c r="I2955" t="str">
        <f>"רחמים זרוק"</f>
        <v>רחמים זרוק</v>
      </c>
      <c r="J2955" t="str">
        <f>"OP-AR03278"</f>
        <v>OP-AR03278</v>
      </c>
      <c r="K2955" s="1" t="str">
        <f>"1035C302-001    HARNESS 3W002 - 220VAC/60HZ 3 PH FROM F"</f>
        <v>1035C302-001    HARNESS 3W002 - 220VAC/60HZ 3 PH FROM F</v>
      </c>
      <c r="L2955">
        <v>2</v>
      </c>
      <c r="O2955">
        <v>318.08999999999997</v>
      </c>
      <c r="P2955" t="str">
        <f>"$"</f>
        <v>$</v>
      </c>
      <c r="Q2955" t="str">
        <f>"117"</f>
        <v>117</v>
      </c>
      <c r="R2955" t="str">
        <f>"רתמות"</f>
        <v>רתמות</v>
      </c>
      <c r="S2955" t="str">
        <f>"040"</f>
        <v>040</v>
      </c>
      <c r="T2955" t="str">
        <f>"עמר ליגל"</f>
        <v>עמר ליגל</v>
      </c>
      <c r="U2955">
        <v>0</v>
      </c>
      <c r="V2955">
        <v>0</v>
      </c>
      <c r="W2955">
        <v>318.08999999999997</v>
      </c>
      <c r="X2955">
        <v>636.17999999999995</v>
      </c>
      <c r="AA2955">
        <v>2</v>
      </c>
      <c r="AC2955">
        <v>0</v>
      </c>
      <c r="AE2955">
        <v>0</v>
      </c>
      <c r="AF2955">
        <v>0</v>
      </c>
      <c r="AG2955" s="2">
        <v>1214.79</v>
      </c>
      <c r="AH2955">
        <v>0</v>
      </c>
      <c r="AI2955" s="2">
        <v>2429.5700000000002</v>
      </c>
      <c r="AJ2955">
        <v>636.17999999999995</v>
      </c>
      <c r="AK2955">
        <v>636.17999999999995</v>
      </c>
      <c r="AL2955" t="str">
        <f>"$"</f>
        <v>$</v>
      </c>
    </row>
    <row r="2956" spans="1:38" x14ac:dyDescent="0.3">
      <c r="A2956" t="str">
        <f>"SO23000473"</f>
        <v>SO23000473</v>
      </c>
      <c r="B2956" t="str">
        <f>"E000405300"</f>
        <v>E000405300</v>
      </c>
      <c r="C2956" t="str">
        <f>"טיוטא"</f>
        <v>טיוטא</v>
      </c>
      <c r="E2956" s="3">
        <v>45195</v>
      </c>
      <c r="F2956" s="3">
        <v>45371</v>
      </c>
      <c r="G2956" t="str">
        <f>"700065"</f>
        <v>700065</v>
      </c>
      <c r="H2956" t="str">
        <f>"אלתא מערכות בע""מ"</f>
        <v>אלתא מערכות בע"מ</v>
      </c>
      <c r="I2956" t="str">
        <f>"רחמים זרוק"</f>
        <v>רחמים זרוק</v>
      </c>
      <c r="J2956" t="str">
        <f>"OP-AR03279"</f>
        <v>OP-AR03279</v>
      </c>
      <c r="K2956" s="1" t="str">
        <f>"1035C303-001    HARNESS 3W003 - 220VAC/60HZ FROM PDU TO"</f>
        <v>1035C303-001    HARNESS 3W003 - 220VAC/60HZ FROM PDU TO</v>
      </c>
      <c r="L2956">
        <v>2</v>
      </c>
      <c r="O2956">
        <v>366.86</v>
      </c>
      <c r="P2956" t="str">
        <f>"$"</f>
        <v>$</v>
      </c>
      <c r="Q2956" t="str">
        <f>"117"</f>
        <v>117</v>
      </c>
      <c r="R2956" t="str">
        <f>"רתמות"</f>
        <v>רתמות</v>
      </c>
      <c r="S2956" t="str">
        <f>"040"</f>
        <v>040</v>
      </c>
      <c r="T2956" t="str">
        <f>"עמר ליגל"</f>
        <v>עמר ליגל</v>
      </c>
      <c r="U2956">
        <v>0</v>
      </c>
      <c r="V2956">
        <v>0</v>
      </c>
      <c r="W2956">
        <v>366.86</v>
      </c>
      <c r="X2956">
        <v>733.72</v>
      </c>
      <c r="AA2956">
        <v>2</v>
      </c>
      <c r="AC2956">
        <v>0</v>
      </c>
      <c r="AE2956">
        <v>0</v>
      </c>
      <c r="AF2956">
        <v>0</v>
      </c>
      <c r="AG2956" s="2">
        <v>1401.04</v>
      </c>
      <c r="AH2956">
        <v>0</v>
      </c>
      <c r="AI2956" s="2">
        <v>2802.08</v>
      </c>
      <c r="AJ2956">
        <v>733.72</v>
      </c>
      <c r="AK2956">
        <v>733.72</v>
      </c>
      <c r="AL2956" t="str">
        <f>"$"</f>
        <v>$</v>
      </c>
    </row>
    <row r="2957" spans="1:38" x14ac:dyDescent="0.3">
      <c r="A2957" t="str">
        <f>"SO23000473"</f>
        <v>SO23000473</v>
      </c>
      <c r="B2957" t="str">
        <f>"E000405300"</f>
        <v>E000405300</v>
      </c>
      <c r="C2957" t="str">
        <f>"טיוטא"</f>
        <v>טיוטא</v>
      </c>
      <c r="E2957" s="3">
        <v>45195</v>
      </c>
      <c r="F2957" s="3">
        <v>45371</v>
      </c>
      <c r="G2957" t="str">
        <f>"700065"</f>
        <v>700065</v>
      </c>
      <c r="H2957" t="str">
        <f>"אלתא מערכות בע""מ"</f>
        <v>אלתא מערכות בע"מ</v>
      </c>
      <c r="I2957" t="str">
        <f>"רחמים זרוק"</f>
        <v>רחמים זרוק</v>
      </c>
      <c r="J2957" t="str">
        <f>"OP-AR03280"</f>
        <v>OP-AR03280</v>
      </c>
      <c r="K2957" s="1" t="str">
        <f>"1035C304-001    HARNESS 3W004 - 220VAC/60HZ FROM PDU TO"</f>
        <v>1035C304-001    HARNESS 3W004 - 220VAC/60HZ FROM PDU TO</v>
      </c>
      <c r="L2957">
        <v>2</v>
      </c>
      <c r="O2957">
        <v>621.64</v>
      </c>
      <c r="P2957" t="str">
        <f>"$"</f>
        <v>$</v>
      </c>
      <c r="Q2957" t="str">
        <f>"117"</f>
        <v>117</v>
      </c>
      <c r="R2957" t="str">
        <f>"רתמות"</f>
        <v>רתמות</v>
      </c>
      <c r="S2957" t="str">
        <f>"040"</f>
        <v>040</v>
      </c>
      <c r="T2957" t="str">
        <f>"עמר ליגל"</f>
        <v>עמר ליגל</v>
      </c>
      <c r="U2957">
        <v>0</v>
      </c>
      <c r="V2957">
        <v>0</v>
      </c>
      <c r="W2957">
        <v>621.64</v>
      </c>
      <c r="X2957" s="2">
        <v>1243.28</v>
      </c>
      <c r="AA2957">
        <v>2</v>
      </c>
      <c r="AC2957">
        <v>0</v>
      </c>
      <c r="AE2957">
        <v>0</v>
      </c>
      <c r="AF2957">
        <v>0</v>
      </c>
      <c r="AG2957" s="2">
        <v>2374.04</v>
      </c>
      <c r="AH2957">
        <v>0</v>
      </c>
      <c r="AI2957" s="2">
        <v>4748.09</v>
      </c>
      <c r="AJ2957" s="2">
        <v>1243.28</v>
      </c>
      <c r="AK2957" s="2">
        <v>1243.28</v>
      </c>
      <c r="AL2957" t="str">
        <f>"$"</f>
        <v>$</v>
      </c>
    </row>
    <row r="2958" spans="1:38" x14ac:dyDescent="0.3">
      <c r="A2958" t="str">
        <f>"SO23000473"</f>
        <v>SO23000473</v>
      </c>
      <c r="B2958" t="str">
        <f>"E000405300"</f>
        <v>E000405300</v>
      </c>
      <c r="C2958" t="str">
        <f>"טיוטא"</f>
        <v>טיוטא</v>
      </c>
      <c r="E2958" s="3">
        <v>45195</v>
      </c>
      <c r="F2958" s="3">
        <v>45371</v>
      </c>
      <c r="G2958" t="str">
        <f>"700065"</f>
        <v>700065</v>
      </c>
      <c r="H2958" t="str">
        <f>"אלתא מערכות בע""מ"</f>
        <v>אלתא מערכות בע"מ</v>
      </c>
      <c r="I2958" t="str">
        <f>"רחמים זרוק"</f>
        <v>רחמים זרוק</v>
      </c>
      <c r="J2958" t="str">
        <f>"OP-AR03281"</f>
        <v>OP-AR03281</v>
      </c>
      <c r="K2958" s="1" t="str">
        <f>"1035C305-001    HARNESS 3W005 -28VDC and DATA FROM PDU T"</f>
        <v>1035C305-001    HARNESS 3W005 -28VDC and DATA FROM PDU T</v>
      </c>
      <c r="L2958">
        <v>2</v>
      </c>
      <c r="O2958">
        <v>613.48</v>
      </c>
      <c r="P2958" t="str">
        <f>"$"</f>
        <v>$</v>
      </c>
      <c r="Q2958" t="str">
        <f>"117"</f>
        <v>117</v>
      </c>
      <c r="R2958" t="str">
        <f>"רתמות"</f>
        <v>רתמות</v>
      </c>
      <c r="S2958" t="str">
        <f>"040"</f>
        <v>040</v>
      </c>
      <c r="T2958" t="str">
        <f>"עמר ליגל"</f>
        <v>עמר ליגל</v>
      </c>
      <c r="U2958">
        <v>0</v>
      </c>
      <c r="V2958">
        <v>0</v>
      </c>
      <c r="W2958">
        <v>613.48</v>
      </c>
      <c r="X2958" s="2">
        <v>1226.96</v>
      </c>
      <c r="AA2958">
        <v>2</v>
      </c>
      <c r="AC2958">
        <v>0</v>
      </c>
      <c r="AE2958">
        <v>0</v>
      </c>
      <c r="AF2958">
        <v>0</v>
      </c>
      <c r="AG2958" s="2">
        <v>2342.88</v>
      </c>
      <c r="AH2958">
        <v>0</v>
      </c>
      <c r="AI2958" s="2">
        <v>4685.76</v>
      </c>
      <c r="AJ2958" s="2">
        <v>1226.96</v>
      </c>
      <c r="AK2958" s="2">
        <v>1226.96</v>
      </c>
      <c r="AL2958" t="str">
        <f>"$"</f>
        <v>$</v>
      </c>
    </row>
    <row r="2959" spans="1:38" x14ac:dyDescent="0.3">
      <c r="A2959" t="str">
        <f>"SO23000473"</f>
        <v>SO23000473</v>
      </c>
      <c r="B2959" t="str">
        <f>"E000405300"</f>
        <v>E000405300</v>
      </c>
      <c r="C2959" t="str">
        <f>"טיוטא"</f>
        <v>טיוטא</v>
      </c>
      <c r="E2959" s="3">
        <v>45195</v>
      </c>
      <c r="F2959" s="3">
        <v>45371</v>
      </c>
      <c r="G2959" t="str">
        <f>"700065"</f>
        <v>700065</v>
      </c>
      <c r="H2959" t="str">
        <f>"אלתא מערכות בע""מ"</f>
        <v>אלתא מערכות בע"מ</v>
      </c>
      <c r="I2959" t="str">
        <f>"רחמים זרוק"</f>
        <v>רחמים זרוק</v>
      </c>
      <c r="J2959" t="str">
        <f>"OP-AR03282"</f>
        <v>OP-AR03282</v>
      </c>
      <c r="K2959" s="1" t="str">
        <f>"1035C306-001    HARNESS 3W006 - POWER OUT 28VDC FROM PDU"</f>
        <v>1035C306-001    HARNESS 3W006 - POWER OUT 28VDC FROM PDU</v>
      </c>
      <c r="L2959">
        <v>2</v>
      </c>
      <c r="O2959">
        <v>437.47</v>
      </c>
      <c r="P2959" t="str">
        <f>"$"</f>
        <v>$</v>
      </c>
      <c r="Q2959" t="str">
        <f>"117"</f>
        <v>117</v>
      </c>
      <c r="R2959" t="str">
        <f>"רתמות"</f>
        <v>רתמות</v>
      </c>
      <c r="S2959" t="str">
        <f>"040"</f>
        <v>040</v>
      </c>
      <c r="T2959" t="str">
        <f>"עמר ליגל"</f>
        <v>עמר ליגל</v>
      </c>
      <c r="U2959">
        <v>0</v>
      </c>
      <c r="V2959">
        <v>0</v>
      </c>
      <c r="W2959">
        <v>437.47</v>
      </c>
      <c r="X2959">
        <v>874.94</v>
      </c>
      <c r="AA2959">
        <v>2</v>
      </c>
      <c r="AC2959">
        <v>0</v>
      </c>
      <c r="AE2959">
        <v>0</v>
      </c>
      <c r="AF2959">
        <v>0</v>
      </c>
      <c r="AG2959" s="2">
        <v>1670.7</v>
      </c>
      <c r="AH2959">
        <v>0</v>
      </c>
      <c r="AI2959" s="2">
        <v>3341.4</v>
      </c>
      <c r="AJ2959">
        <v>874.94</v>
      </c>
      <c r="AK2959">
        <v>874.94</v>
      </c>
      <c r="AL2959" t="str">
        <f>"$"</f>
        <v>$</v>
      </c>
    </row>
    <row r="2960" spans="1:38" x14ac:dyDescent="0.3">
      <c r="A2960" t="str">
        <f>"SO23000473"</f>
        <v>SO23000473</v>
      </c>
      <c r="B2960" t="str">
        <f>"E000405300"</f>
        <v>E000405300</v>
      </c>
      <c r="C2960" t="str">
        <f>"טיוטא"</f>
        <v>טיוטא</v>
      </c>
      <c r="E2960" s="3">
        <v>45195</v>
      </c>
      <c r="F2960" s="3">
        <v>45371</v>
      </c>
      <c r="G2960" t="str">
        <f>"700065"</f>
        <v>700065</v>
      </c>
      <c r="H2960" t="str">
        <f>"אלתא מערכות בע""מ"</f>
        <v>אלתא מערכות בע"מ</v>
      </c>
      <c r="I2960" t="str">
        <f>"רחמים זרוק"</f>
        <v>רחמים זרוק</v>
      </c>
      <c r="J2960" t="str">
        <f>"OP-AR03283"</f>
        <v>OP-AR03283</v>
      </c>
      <c r="K2960" s="1" t="str">
        <f>"1035C307-001    HARNESS 3W007 - POWER OUT 28VDC FROM PDU"</f>
        <v>1035C307-001    HARNESS 3W007 - POWER OUT 28VDC FROM PDU</v>
      </c>
      <c r="L2960">
        <v>2</v>
      </c>
      <c r="O2960">
        <v>345.14</v>
      </c>
      <c r="P2960" t="str">
        <f>"$"</f>
        <v>$</v>
      </c>
      <c r="Q2960" t="str">
        <f>"117"</f>
        <v>117</v>
      </c>
      <c r="R2960" t="str">
        <f>"רתמות"</f>
        <v>רתמות</v>
      </c>
      <c r="S2960" t="str">
        <f>"040"</f>
        <v>040</v>
      </c>
      <c r="T2960" t="str">
        <f>"עמר ליגל"</f>
        <v>עמר ליגל</v>
      </c>
      <c r="U2960">
        <v>0</v>
      </c>
      <c r="V2960">
        <v>0</v>
      </c>
      <c r="W2960">
        <v>345.14</v>
      </c>
      <c r="X2960">
        <v>690.28</v>
      </c>
      <c r="AA2960">
        <v>2</v>
      </c>
      <c r="AC2960">
        <v>0</v>
      </c>
      <c r="AE2960">
        <v>0</v>
      </c>
      <c r="AF2960">
        <v>0</v>
      </c>
      <c r="AG2960" s="2">
        <v>1318.09</v>
      </c>
      <c r="AH2960">
        <v>0</v>
      </c>
      <c r="AI2960" s="2">
        <v>2636.18</v>
      </c>
      <c r="AJ2960">
        <v>690.28</v>
      </c>
      <c r="AK2960">
        <v>690.28</v>
      </c>
      <c r="AL2960" t="str">
        <f>"$"</f>
        <v>$</v>
      </c>
    </row>
    <row r="2961" spans="1:38" x14ac:dyDescent="0.3">
      <c r="A2961" t="str">
        <f>"SO23000473"</f>
        <v>SO23000473</v>
      </c>
      <c r="B2961" t="str">
        <f>"E000405300"</f>
        <v>E000405300</v>
      </c>
      <c r="C2961" t="str">
        <f>"טיוטא"</f>
        <v>טיוטא</v>
      </c>
      <c r="E2961" s="3">
        <v>45195</v>
      </c>
      <c r="F2961" s="3">
        <v>45371</v>
      </c>
      <c r="G2961" t="str">
        <f>"700065"</f>
        <v>700065</v>
      </c>
      <c r="H2961" t="str">
        <f>"אלתא מערכות בע""מ"</f>
        <v>אלתא מערכות בע"מ</v>
      </c>
      <c r="I2961" t="str">
        <f>"רחמים זרוק"</f>
        <v>רחמים זרוק</v>
      </c>
      <c r="J2961" t="str">
        <f>"OP-AR03284"</f>
        <v>OP-AR03284</v>
      </c>
      <c r="K2961" s="1" t="str">
        <f>"1035C308-001    HARNESS 3W008 - POWER OUT 220VAC/60HZ an"</f>
        <v>1035C308-001    HARNESS 3W008 - POWER OUT 220VAC/60HZ an</v>
      </c>
      <c r="L2961">
        <v>2</v>
      </c>
      <c r="O2961">
        <v>556.62</v>
      </c>
      <c r="P2961" t="str">
        <f>"$"</f>
        <v>$</v>
      </c>
      <c r="Q2961" t="str">
        <f>"117"</f>
        <v>117</v>
      </c>
      <c r="R2961" t="str">
        <f>"רתמות"</f>
        <v>רתמות</v>
      </c>
      <c r="S2961" t="str">
        <f>"040"</f>
        <v>040</v>
      </c>
      <c r="T2961" t="str">
        <f>"עמר ליגל"</f>
        <v>עמר ליגל</v>
      </c>
      <c r="U2961">
        <v>0</v>
      </c>
      <c r="V2961">
        <v>0</v>
      </c>
      <c r="W2961">
        <v>556.62</v>
      </c>
      <c r="X2961" s="2">
        <v>1113.24</v>
      </c>
      <c r="AA2961">
        <v>2</v>
      </c>
      <c r="AC2961">
        <v>0</v>
      </c>
      <c r="AE2961">
        <v>0</v>
      </c>
      <c r="AF2961">
        <v>0</v>
      </c>
      <c r="AG2961" s="2">
        <v>2125.73</v>
      </c>
      <c r="AH2961">
        <v>0</v>
      </c>
      <c r="AI2961" s="2">
        <v>4251.46</v>
      </c>
      <c r="AJ2961" s="2">
        <v>1113.24</v>
      </c>
      <c r="AK2961" s="2">
        <v>1113.24</v>
      </c>
      <c r="AL2961" t="str">
        <f>"$"</f>
        <v>$</v>
      </c>
    </row>
    <row r="2962" spans="1:38" x14ac:dyDescent="0.3">
      <c r="A2962" t="str">
        <f>"SO23000473"</f>
        <v>SO23000473</v>
      </c>
      <c r="B2962" t="str">
        <f>"E000405300"</f>
        <v>E000405300</v>
      </c>
      <c r="C2962" t="str">
        <f>"טיוטא"</f>
        <v>טיוטא</v>
      </c>
      <c r="E2962" s="3">
        <v>45195</v>
      </c>
      <c r="F2962" s="3">
        <v>45371</v>
      </c>
      <c r="G2962" t="str">
        <f>"700065"</f>
        <v>700065</v>
      </c>
      <c r="H2962" t="str">
        <f>"אלתא מערכות בע""מ"</f>
        <v>אלתא מערכות בע"מ</v>
      </c>
      <c r="I2962" t="str">
        <f>"רחמים זרוק"</f>
        <v>רחמים זרוק</v>
      </c>
      <c r="J2962" t="str">
        <f>"OP-AR03285"</f>
        <v>OP-AR03285</v>
      </c>
      <c r="K2962" s="1" t="str">
        <f>"1035C309-001    HARNESS 3W009 - 28VDC FROM PDU TO OTXU"</f>
        <v>1035C309-001    HARNESS 3W009 - 28VDC FROM PDU TO OTXU</v>
      </c>
      <c r="L2962">
        <v>2</v>
      </c>
      <c r="O2962">
        <v>292.47000000000003</v>
      </c>
      <c r="P2962" t="str">
        <f>"$"</f>
        <v>$</v>
      </c>
      <c r="Q2962" t="str">
        <f>"117"</f>
        <v>117</v>
      </c>
      <c r="R2962" t="str">
        <f>"רתמות"</f>
        <v>רתמות</v>
      </c>
      <c r="S2962" t="str">
        <f>"040"</f>
        <v>040</v>
      </c>
      <c r="T2962" t="str">
        <f>"עמר ליגל"</f>
        <v>עמר ליגל</v>
      </c>
      <c r="U2962">
        <v>0</v>
      </c>
      <c r="V2962">
        <v>0</v>
      </c>
      <c r="W2962">
        <v>292.47000000000003</v>
      </c>
      <c r="X2962">
        <v>584.94000000000005</v>
      </c>
      <c r="AA2962">
        <v>2</v>
      </c>
      <c r="AC2962">
        <v>0</v>
      </c>
      <c r="AE2962">
        <v>0</v>
      </c>
      <c r="AF2962">
        <v>0</v>
      </c>
      <c r="AG2962" s="2">
        <v>1116.94</v>
      </c>
      <c r="AH2962">
        <v>0</v>
      </c>
      <c r="AI2962" s="2">
        <v>2233.89</v>
      </c>
      <c r="AJ2962">
        <v>584.94000000000005</v>
      </c>
      <c r="AK2962">
        <v>584.94000000000005</v>
      </c>
      <c r="AL2962" t="str">
        <f>"$"</f>
        <v>$</v>
      </c>
    </row>
    <row r="2963" spans="1:38" x14ac:dyDescent="0.3">
      <c r="A2963" t="str">
        <f>"SO23000473"</f>
        <v>SO23000473</v>
      </c>
      <c r="B2963" t="str">
        <f>"E000405300"</f>
        <v>E000405300</v>
      </c>
      <c r="C2963" t="str">
        <f>"טיוטא"</f>
        <v>טיוטא</v>
      </c>
      <c r="E2963" s="3">
        <v>45195</v>
      </c>
      <c r="F2963" s="3">
        <v>45371</v>
      </c>
      <c r="G2963" t="str">
        <f>"700065"</f>
        <v>700065</v>
      </c>
      <c r="H2963" t="str">
        <f>"אלתא מערכות בע""מ"</f>
        <v>אלתא מערכות בע"מ</v>
      </c>
      <c r="I2963" t="str">
        <f>"רחמים זרוק"</f>
        <v>רחמים זרוק</v>
      </c>
      <c r="J2963" t="str">
        <f>"OP-AR03286"</f>
        <v>OP-AR03286</v>
      </c>
      <c r="K2963" s="1" t="str">
        <f>"1035C310-001    HARNESS 3W010 - POWER IN 440VAC/60HZ TO"</f>
        <v>1035C310-001    HARNESS 3W010 - POWER IN 440VAC/60HZ TO</v>
      </c>
      <c r="L2963">
        <v>2</v>
      </c>
      <c r="O2963">
        <v>965.97</v>
      </c>
      <c r="P2963" t="str">
        <f>"$"</f>
        <v>$</v>
      </c>
      <c r="Q2963" t="str">
        <f>"117"</f>
        <v>117</v>
      </c>
      <c r="R2963" t="str">
        <f>"רתמות"</f>
        <v>רתמות</v>
      </c>
      <c r="S2963" t="str">
        <f>"040"</f>
        <v>040</v>
      </c>
      <c r="T2963" t="str">
        <f>"עמר ליגל"</f>
        <v>עמר ליגל</v>
      </c>
      <c r="U2963">
        <v>0</v>
      </c>
      <c r="V2963">
        <v>0</v>
      </c>
      <c r="W2963">
        <v>965.97</v>
      </c>
      <c r="X2963" s="2">
        <v>1931.94</v>
      </c>
      <c r="AA2963">
        <v>2</v>
      </c>
      <c r="AC2963">
        <v>0</v>
      </c>
      <c r="AE2963">
        <v>0</v>
      </c>
      <c r="AF2963">
        <v>0</v>
      </c>
      <c r="AG2963" s="2">
        <v>3689.04</v>
      </c>
      <c r="AH2963">
        <v>0</v>
      </c>
      <c r="AI2963" s="2">
        <v>7378.08</v>
      </c>
      <c r="AJ2963" s="2">
        <v>1931.94</v>
      </c>
      <c r="AK2963" s="2">
        <v>1931.94</v>
      </c>
      <c r="AL2963" t="str">
        <f>"$"</f>
        <v>$</v>
      </c>
    </row>
    <row r="2964" spans="1:38" x14ac:dyDescent="0.3">
      <c r="A2964" t="str">
        <f>"SO23000473"</f>
        <v>SO23000473</v>
      </c>
      <c r="B2964" t="str">
        <f>"E000405300"</f>
        <v>E000405300</v>
      </c>
      <c r="C2964" t="str">
        <f>"טיוטא"</f>
        <v>טיוטא</v>
      </c>
      <c r="E2964" s="3">
        <v>45195</v>
      </c>
      <c r="F2964" s="3">
        <v>45371</v>
      </c>
      <c r="G2964" t="str">
        <f>"700065"</f>
        <v>700065</v>
      </c>
      <c r="H2964" t="str">
        <f>"אלתא מערכות בע""מ"</f>
        <v>אלתא מערכות בע"מ</v>
      </c>
      <c r="I2964" t="str">
        <f>"רחמים זרוק"</f>
        <v>רחמים זרוק</v>
      </c>
      <c r="J2964" t="str">
        <f>"OP-AR03287"</f>
        <v>OP-AR03287</v>
      </c>
      <c r="K2964" s="1" t="str">
        <f>"1035C311-001    HARNESS 3W011 - POWER IN 440VAC/60HZ TO"</f>
        <v>1035C311-001    HARNESS 3W011 - POWER IN 440VAC/60HZ TO</v>
      </c>
      <c r="L2964">
        <v>2</v>
      </c>
      <c r="O2964">
        <v>497.57</v>
      </c>
      <c r="P2964" t="str">
        <f>"$"</f>
        <v>$</v>
      </c>
      <c r="Q2964" t="str">
        <f>"117"</f>
        <v>117</v>
      </c>
      <c r="R2964" t="str">
        <f>"רתמות"</f>
        <v>רתמות</v>
      </c>
      <c r="S2964" t="str">
        <f>"040"</f>
        <v>040</v>
      </c>
      <c r="T2964" t="str">
        <f>"עמר ליגל"</f>
        <v>עמר ליגל</v>
      </c>
      <c r="U2964">
        <v>0</v>
      </c>
      <c r="V2964">
        <v>0</v>
      </c>
      <c r="W2964">
        <v>497.57</v>
      </c>
      <c r="X2964">
        <v>995.14</v>
      </c>
      <c r="AA2964">
        <v>2</v>
      </c>
      <c r="AC2964">
        <v>0</v>
      </c>
      <c r="AE2964">
        <v>0</v>
      </c>
      <c r="AF2964">
        <v>0</v>
      </c>
      <c r="AG2964" s="2">
        <v>1900.22</v>
      </c>
      <c r="AH2964">
        <v>0</v>
      </c>
      <c r="AI2964" s="2">
        <v>3800.44</v>
      </c>
      <c r="AJ2964">
        <v>995.14</v>
      </c>
      <c r="AK2964">
        <v>995.14</v>
      </c>
      <c r="AL2964" t="str">
        <f>"$"</f>
        <v>$</v>
      </c>
    </row>
    <row r="2965" spans="1:38" x14ac:dyDescent="0.3">
      <c r="A2965" t="str">
        <f>"SO23000473"</f>
        <v>SO23000473</v>
      </c>
      <c r="B2965" t="str">
        <f>"E000405300"</f>
        <v>E000405300</v>
      </c>
      <c r="C2965" t="str">
        <f>"טיוטא"</f>
        <v>טיוטא</v>
      </c>
      <c r="E2965" s="3">
        <v>45195</v>
      </c>
      <c r="F2965" s="3">
        <v>45371</v>
      </c>
      <c r="G2965" t="str">
        <f>"700065"</f>
        <v>700065</v>
      </c>
      <c r="H2965" t="str">
        <f>"אלתא מערכות בע""מ"</f>
        <v>אלתא מערכות בע"מ</v>
      </c>
      <c r="I2965" t="str">
        <f>"רחמים זרוק"</f>
        <v>רחמים זרוק</v>
      </c>
      <c r="J2965" t="str">
        <f>"OP-AR03288"</f>
        <v>OP-AR03288</v>
      </c>
      <c r="K2965" s="1" t="str">
        <f>"1035C312-001    HARNESS 3W012 - 440VAC/60HZ FROM PSU TO"</f>
        <v>1035C312-001    HARNESS 3W012 - 440VAC/60HZ FROM PSU TO</v>
      </c>
      <c r="L2965">
        <v>2</v>
      </c>
      <c r="O2965">
        <v>606.59</v>
      </c>
      <c r="P2965" t="str">
        <f>"$"</f>
        <v>$</v>
      </c>
      <c r="Q2965" t="str">
        <f>"117"</f>
        <v>117</v>
      </c>
      <c r="R2965" t="str">
        <f>"רתמות"</f>
        <v>רתמות</v>
      </c>
      <c r="S2965" t="str">
        <f>"040"</f>
        <v>040</v>
      </c>
      <c r="T2965" t="str">
        <f>"עמר ליגל"</f>
        <v>עמר ליגל</v>
      </c>
      <c r="U2965">
        <v>0</v>
      </c>
      <c r="V2965">
        <v>0</v>
      </c>
      <c r="W2965">
        <v>606.59</v>
      </c>
      <c r="X2965" s="2">
        <v>1213.18</v>
      </c>
      <c r="AA2965">
        <v>2</v>
      </c>
      <c r="AC2965">
        <v>0</v>
      </c>
      <c r="AE2965">
        <v>0</v>
      </c>
      <c r="AF2965">
        <v>0</v>
      </c>
      <c r="AG2965" s="2">
        <v>2316.5700000000002</v>
      </c>
      <c r="AH2965">
        <v>0</v>
      </c>
      <c r="AI2965" s="2">
        <v>4633.13</v>
      </c>
      <c r="AJ2965" s="2">
        <v>1213.18</v>
      </c>
      <c r="AK2965" s="2">
        <v>1213.18</v>
      </c>
      <c r="AL2965" t="str">
        <f>"$"</f>
        <v>$</v>
      </c>
    </row>
    <row r="2966" spans="1:38" x14ac:dyDescent="0.3">
      <c r="A2966" t="str">
        <f>"SO23000473"</f>
        <v>SO23000473</v>
      </c>
      <c r="B2966" t="str">
        <f>"E000405300"</f>
        <v>E000405300</v>
      </c>
      <c r="C2966" t="str">
        <f>"טיוטא"</f>
        <v>טיוטא</v>
      </c>
      <c r="E2966" s="3">
        <v>45195</v>
      </c>
      <c r="F2966" s="3">
        <v>45371</v>
      </c>
      <c r="G2966" t="str">
        <f>"700065"</f>
        <v>700065</v>
      </c>
      <c r="H2966" t="str">
        <f>"אלתא מערכות בע""מ"</f>
        <v>אלתא מערכות בע"מ</v>
      </c>
      <c r="I2966" t="str">
        <f>"רחמים זרוק"</f>
        <v>רחמים זרוק</v>
      </c>
      <c r="J2966" t="str">
        <f>"OP-AR03289"</f>
        <v>OP-AR03289</v>
      </c>
      <c r="K2966" s="1" t="str">
        <f>"1035C313-001    HARNESS 3W013 - 320VDC FROM HVPS1 TO PSU"</f>
        <v>1035C313-001    HARNESS 3W013 - 320VDC FROM HVPS1 TO PSU</v>
      </c>
      <c r="L2966">
        <v>2</v>
      </c>
      <c r="O2966">
        <v>598.89</v>
      </c>
      <c r="P2966" t="str">
        <f>"$"</f>
        <v>$</v>
      </c>
      <c r="Q2966" t="str">
        <f>"117"</f>
        <v>117</v>
      </c>
      <c r="R2966" t="str">
        <f>"רתמות"</f>
        <v>רתמות</v>
      </c>
      <c r="S2966" t="str">
        <f>"040"</f>
        <v>040</v>
      </c>
      <c r="T2966" t="str">
        <f>"עמר ליגל"</f>
        <v>עמר ליגל</v>
      </c>
      <c r="U2966">
        <v>0</v>
      </c>
      <c r="V2966">
        <v>0</v>
      </c>
      <c r="W2966">
        <v>598.89</v>
      </c>
      <c r="X2966" s="2">
        <v>1197.78</v>
      </c>
      <c r="AA2966">
        <v>2</v>
      </c>
      <c r="AC2966">
        <v>0</v>
      </c>
      <c r="AE2966">
        <v>0</v>
      </c>
      <c r="AF2966">
        <v>0</v>
      </c>
      <c r="AG2966" s="2">
        <v>2287.16</v>
      </c>
      <c r="AH2966">
        <v>0</v>
      </c>
      <c r="AI2966" s="2">
        <v>4574.32</v>
      </c>
      <c r="AJ2966" s="2">
        <v>1197.78</v>
      </c>
      <c r="AK2966" s="2">
        <v>1197.78</v>
      </c>
      <c r="AL2966" t="str">
        <f>"$"</f>
        <v>$</v>
      </c>
    </row>
    <row r="2967" spans="1:38" x14ac:dyDescent="0.3">
      <c r="A2967" t="str">
        <f>"SO23000473"</f>
        <v>SO23000473</v>
      </c>
      <c r="B2967" t="str">
        <f>"E000405300"</f>
        <v>E000405300</v>
      </c>
      <c r="C2967" t="str">
        <f>"טיוטא"</f>
        <v>טיוטא</v>
      </c>
      <c r="E2967" s="3">
        <v>45195</v>
      </c>
      <c r="F2967" s="3">
        <v>45371</v>
      </c>
      <c r="G2967" t="str">
        <f>"700065"</f>
        <v>700065</v>
      </c>
      <c r="H2967" t="str">
        <f>"אלתא מערכות בע""מ"</f>
        <v>אלתא מערכות בע"מ</v>
      </c>
      <c r="I2967" t="str">
        <f>"רחמים זרוק"</f>
        <v>רחמים זרוק</v>
      </c>
      <c r="J2967" t="str">
        <f>"OP-AR03290"</f>
        <v>OP-AR03290</v>
      </c>
      <c r="K2967" s="1" t="str">
        <f>"1035C314-001    HARNESS 3W014 - 440VAC/60HZ FROM PSU TO"</f>
        <v>1035C314-001    HARNESS 3W014 - 440VAC/60HZ FROM PSU TO</v>
      </c>
      <c r="L2967">
        <v>2</v>
      </c>
      <c r="O2967">
        <v>656.06</v>
      </c>
      <c r="P2967" t="str">
        <f>"$"</f>
        <v>$</v>
      </c>
      <c r="Q2967" t="str">
        <f>"117"</f>
        <v>117</v>
      </c>
      <c r="R2967" t="str">
        <f>"רתמות"</f>
        <v>רתמות</v>
      </c>
      <c r="S2967" t="str">
        <f>"040"</f>
        <v>040</v>
      </c>
      <c r="T2967" t="str">
        <f>"עמר ליגל"</f>
        <v>עמר ליגל</v>
      </c>
      <c r="U2967">
        <v>0</v>
      </c>
      <c r="V2967">
        <v>0</v>
      </c>
      <c r="W2967">
        <v>656.06</v>
      </c>
      <c r="X2967" s="2">
        <v>1312.12</v>
      </c>
      <c r="AA2967">
        <v>2</v>
      </c>
      <c r="AC2967">
        <v>0</v>
      </c>
      <c r="AE2967">
        <v>0</v>
      </c>
      <c r="AF2967">
        <v>0</v>
      </c>
      <c r="AG2967" s="2">
        <v>2505.4899999999998</v>
      </c>
      <c r="AH2967">
        <v>0</v>
      </c>
      <c r="AI2967" s="2">
        <v>5010.99</v>
      </c>
      <c r="AJ2967" s="2">
        <v>1312.12</v>
      </c>
      <c r="AK2967" s="2">
        <v>1312.12</v>
      </c>
      <c r="AL2967" t="str">
        <f>"$"</f>
        <v>$</v>
      </c>
    </row>
    <row r="2968" spans="1:38" x14ac:dyDescent="0.3">
      <c r="A2968" t="str">
        <f>"SO23000473"</f>
        <v>SO23000473</v>
      </c>
      <c r="B2968" t="str">
        <f>"E000405300"</f>
        <v>E000405300</v>
      </c>
      <c r="C2968" t="str">
        <f>"טיוטא"</f>
        <v>טיוטא</v>
      </c>
      <c r="E2968" s="3">
        <v>45195</v>
      </c>
      <c r="F2968" s="3">
        <v>45371</v>
      </c>
      <c r="G2968" t="str">
        <f>"700065"</f>
        <v>700065</v>
      </c>
      <c r="H2968" t="str">
        <f>"אלתא מערכות בע""מ"</f>
        <v>אלתא מערכות בע"מ</v>
      </c>
      <c r="I2968" t="str">
        <f>"רחמים זרוק"</f>
        <v>רחמים זרוק</v>
      </c>
      <c r="J2968" t="str">
        <f>"OP-AR03291"</f>
        <v>OP-AR03291</v>
      </c>
      <c r="K2968" s="1" t="str">
        <f>"1035C315-001    HARNESS 3W015 - 320VDC FROM HVPS2 TO PSU"</f>
        <v>1035C315-001    HARNESS 3W015 - 320VDC FROM HVPS2 TO PSU</v>
      </c>
      <c r="L2968">
        <v>2</v>
      </c>
      <c r="O2968">
        <v>622.95000000000005</v>
      </c>
      <c r="P2968" t="str">
        <f>"$"</f>
        <v>$</v>
      </c>
      <c r="Q2968" t="str">
        <f>"117"</f>
        <v>117</v>
      </c>
      <c r="R2968" t="str">
        <f>"רתמות"</f>
        <v>רתמות</v>
      </c>
      <c r="S2968" t="str">
        <f>"040"</f>
        <v>040</v>
      </c>
      <c r="T2968" t="str">
        <f>"עמר ליגל"</f>
        <v>עמר ליגל</v>
      </c>
      <c r="U2968">
        <v>0</v>
      </c>
      <c r="V2968">
        <v>0</v>
      </c>
      <c r="W2968">
        <v>622.95000000000005</v>
      </c>
      <c r="X2968" s="2">
        <v>1245.9000000000001</v>
      </c>
      <c r="AA2968">
        <v>2</v>
      </c>
      <c r="AC2968">
        <v>0</v>
      </c>
      <c r="AE2968">
        <v>0</v>
      </c>
      <c r="AF2968">
        <v>0</v>
      </c>
      <c r="AG2968" s="2">
        <v>2379.0500000000002</v>
      </c>
      <c r="AH2968">
        <v>0</v>
      </c>
      <c r="AI2968" s="2">
        <v>4758.09</v>
      </c>
      <c r="AJ2968" s="2">
        <v>1245.9000000000001</v>
      </c>
      <c r="AK2968" s="2">
        <v>1245.9000000000001</v>
      </c>
      <c r="AL2968" t="str">
        <f>"$"</f>
        <v>$</v>
      </c>
    </row>
    <row r="2969" spans="1:38" x14ac:dyDescent="0.3">
      <c r="A2969" t="str">
        <f>"SO23000473"</f>
        <v>SO23000473</v>
      </c>
      <c r="B2969" t="str">
        <f>"E000405300"</f>
        <v>E000405300</v>
      </c>
      <c r="C2969" t="str">
        <f>"טיוטא"</f>
        <v>טיוטא</v>
      </c>
      <c r="E2969" s="3">
        <v>45195</v>
      </c>
      <c r="F2969" s="3">
        <v>45371</v>
      </c>
      <c r="G2969" t="str">
        <f>"700065"</f>
        <v>700065</v>
      </c>
      <c r="H2969" t="str">
        <f>"אלתא מערכות בע""מ"</f>
        <v>אלתא מערכות בע"מ</v>
      </c>
      <c r="I2969" t="str">
        <f>"רחמים זרוק"</f>
        <v>רחמים זרוק</v>
      </c>
      <c r="J2969" t="str">
        <f>"OP-AR03292"</f>
        <v>OP-AR03292</v>
      </c>
      <c r="K2969" s="1" t="str">
        <f>"1035C316-001    HARNESS 3W016 - POWER OUT 320VDC FROM PS"</f>
        <v>1035C316-001    HARNESS 3W016 - POWER OUT 320VDC FROM PS</v>
      </c>
      <c r="L2969">
        <v>2</v>
      </c>
      <c r="O2969" s="2">
        <v>1224.0999999999999</v>
      </c>
      <c r="P2969" t="str">
        <f>"$"</f>
        <v>$</v>
      </c>
      <c r="Q2969" t="str">
        <f>"117"</f>
        <v>117</v>
      </c>
      <c r="R2969" t="str">
        <f>"רתמות"</f>
        <v>רתמות</v>
      </c>
      <c r="S2969" t="str">
        <f>"040"</f>
        <v>040</v>
      </c>
      <c r="T2969" t="str">
        <f>"עמר ליגל"</f>
        <v>עמר ליגל</v>
      </c>
      <c r="U2969">
        <v>0</v>
      </c>
      <c r="V2969">
        <v>0</v>
      </c>
      <c r="W2969" s="2">
        <v>1224.0999999999999</v>
      </c>
      <c r="X2969" s="2">
        <v>2448.1999999999998</v>
      </c>
      <c r="AA2969">
        <v>2</v>
      </c>
      <c r="AC2969">
        <v>0</v>
      </c>
      <c r="AE2969">
        <v>0</v>
      </c>
      <c r="AF2969">
        <v>0</v>
      </c>
      <c r="AG2969" s="2">
        <v>4674.84</v>
      </c>
      <c r="AH2969">
        <v>0</v>
      </c>
      <c r="AI2969" s="2">
        <v>9349.68</v>
      </c>
      <c r="AJ2969" s="2">
        <v>2448.1999999999998</v>
      </c>
      <c r="AK2969" s="2">
        <v>2448.1999999999998</v>
      </c>
      <c r="AL2969" t="str">
        <f>"$"</f>
        <v>$</v>
      </c>
    </row>
    <row r="2970" spans="1:38" x14ac:dyDescent="0.3">
      <c r="A2970" t="str">
        <f>"SO23000473"</f>
        <v>SO23000473</v>
      </c>
      <c r="B2970" t="str">
        <f>"E000405300"</f>
        <v>E000405300</v>
      </c>
      <c r="C2970" t="str">
        <f>"טיוטא"</f>
        <v>טיוטא</v>
      </c>
      <c r="E2970" s="3">
        <v>45195</v>
      </c>
      <c r="F2970" s="3">
        <v>45371</v>
      </c>
      <c r="G2970" t="str">
        <f>"700065"</f>
        <v>700065</v>
      </c>
      <c r="H2970" t="str">
        <f>"אלתא מערכות בע""מ"</f>
        <v>אלתא מערכות בע"מ</v>
      </c>
      <c r="I2970" t="str">
        <f>"רחמים זרוק"</f>
        <v>רחמים זרוק</v>
      </c>
      <c r="J2970" t="str">
        <f>"OP-AR03293"</f>
        <v>OP-AR03293</v>
      </c>
      <c r="K2970" s="1" t="str">
        <f>"1035C317-001    HARNESS 3W017 - 440VAC/60HZ FROM PSU TO"</f>
        <v>1035C317-001    HARNESS 3W017 - 440VAC/60HZ FROM PSU TO</v>
      </c>
      <c r="L2970">
        <v>2</v>
      </c>
      <c r="O2970">
        <v>340.1</v>
      </c>
      <c r="P2970" t="str">
        <f>"$"</f>
        <v>$</v>
      </c>
      <c r="Q2970" t="str">
        <f>"117"</f>
        <v>117</v>
      </c>
      <c r="R2970" t="str">
        <f>"רתמות"</f>
        <v>רתמות</v>
      </c>
      <c r="S2970" t="str">
        <f>"040"</f>
        <v>040</v>
      </c>
      <c r="T2970" t="str">
        <f>"עמר ליגל"</f>
        <v>עמר ליגל</v>
      </c>
      <c r="U2970">
        <v>0</v>
      </c>
      <c r="V2970">
        <v>0</v>
      </c>
      <c r="W2970">
        <v>340.1</v>
      </c>
      <c r="X2970">
        <v>680.2</v>
      </c>
      <c r="AA2970">
        <v>2</v>
      </c>
      <c r="AC2970">
        <v>0</v>
      </c>
      <c r="AE2970">
        <v>0</v>
      </c>
      <c r="AF2970">
        <v>0</v>
      </c>
      <c r="AG2970" s="2">
        <v>1298.8399999999999</v>
      </c>
      <c r="AH2970">
        <v>0</v>
      </c>
      <c r="AI2970" s="2">
        <v>2597.6799999999998</v>
      </c>
      <c r="AJ2970">
        <v>680.2</v>
      </c>
      <c r="AK2970">
        <v>680.2</v>
      </c>
      <c r="AL2970" t="str">
        <f>"$"</f>
        <v>$</v>
      </c>
    </row>
    <row r="2971" spans="1:38" x14ac:dyDescent="0.3">
      <c r="A2971" t="str">
        <f>"SO23000473"</f>
        <v>SO23000473</v>
      </c>
      <c r="B2971" t="str">
        <f>"E000405300"</f>
        <v>E000405300</v>
      </c>
      <c r="C2971" t="str">
        <f>"טיוטא"</f>
        <v>טיוטא</v>
      </c>
      <c r="E2971" s="3">
        <v>45195</v>
      </c>
      <c r="F2971" s="3">
        <v>45371</v>
      </c>
      <c r="G2971" t="str">
        <f>"700065"</f>
        <v>700065</v>
      </c>
      <c r="H2971" t="str">
        <f>"אלתא מערכות בע""מ"</f>
        <v>אלתא מערכות בע"מ</v>
      </c>
      <c r="I2971" t="str">
        <f>"רחמים זרוק"</f>
        <v>רחמים זרוק</v>
      </c>
      <c r="J2971" t="str">
        <f>"OP-AR03975"</f>
        <v>OP-AR03975</v>
      </c>
      <c r="K2971" s="1" t="str">
        <f>"1035C318-002    HARNESS 3W018 - POWER OUT FROM ACB TO MO"</f>
        <v>1035C318-002    HARNESS 3W018 - POWER OUT FROM ACB TO MO</v>
      </c>
      <c r="L2971">
        <v>2</v>
      </c>
      <c r="O2971">
        <v>431.72</v>
      </c>
      <c r="P2971" t="str">
        <f>"$"</f>
        <v>$</v>
      </c>
      <c r="Q2971" t="str">
        <f>"117"</f>
        <v>117</v>
      </c>
      <c r="R2971" t="str">
        <f>"רתמות"</f>
        <v>רתמות</v>
      </c>
      <c r="S2971" t="str">
        <f>"040"</f>
        <v>040</v>
      </c>
      <c r="T2971" t="str">
        <f>"עמר ליגל"</f>
        <v>עמר ליגל</v>
      </c>
      <c r="U2971">
        <v>0</v>
      </c>
      <c r="V2971">
        <v>0</v>
      </c>
      <c r="W2971">
        <v>431.72</v>
      </c>
      <c r="X2971">
        <v>863.44</v>
      </c>
      <c r="AA2971">
        <v>2</v>
      </c>
      <c r="AC2971">
        <v>0</v>
      </c>
      <c r="AE2971">
        <v>0</v>
      </c>
      <c r="AF2971">
        <v>0</v>
      </c>
      <c r="AG2971" s="2">
        <v>1648.74</v>
      </c>
      <c r="AH2971">
        <v>0</v>
      </c>
      <c r="AI2971" s="2">
        <v>3297.48</v>
      </c>
      <c r="AJ2971">
        <v>863.44</v>
      </c>
      <c r="AK2971">
        <v>863.44</v>
      </c>
      <c r="AL2971" t="str">
        <f>"$"</f>
        <v>$</v>
      </c>
    </row>
    <row r="2972" spans="1:38" x14ac:dyDescent="0.3">
      <c r="A2972" t="str">
        <f>"SO23000473"</f>
        <v>SO23000473</v>
      </c>
      <c r="B2972" t="str">
        <f>"E000405300"</f>
        <v>E000405300</v>
      </c>
      <c r="C2972" t="str">
        <f>"טיוטא"</f>
        <v>טיוטא</v>
      </c>
      <c r="E2972" s="3">
        <v>45195</v>
      </c>
      <c r="F2972" s="3">
        <v>45371</v>
      </c>
      <c r="G2972" t="str">
        <f>"700065"</f>
        <v>700065</v>
      </c>
      <c r="H2972" t="str">
        <f>"אלתא מערכות בע""מ"</f>
        <v>אלתא מערכות בע"מ</v>
      </c>
      <c r="I2972" t="str">
        <f>"רחמים זרוק"</f>
        <v>רחמים זרוק</v>
      </c>
      <c r="J2972" t="str">
        <f>"OP-AR03294"</f>
        <v>OP-AR03294</v>
      </c>
      <c r="K2972" s="1" t="str">
        <f>"1035C330-001    HARNESS 3W030 - STATUS, CONTROL and ETHE"</f>
        <v>1035C330-001    HARNESS 3W030 - STATUS, CONTROL and ETHE</v>
      </c>
      <c r="L2972">
        <v>2</v>
      </c>
      <c r="O2972">
        <v>986.69</v>
      </c>
      <c r="P2972" t="str">
        <f>"$"</f>
        <v>$</v>
      </c>
      <c r="Q2972" t="str">
        <f>"117"</f>
        <v>117</v>
      </c>
      <c r="R2972" t="str">
        <f>"רתמות"</f>
        <v>רתמות</v>
      </c>
      <c r="S2972" t="str">
        <f>"040"</f>
        <v>040</v>
      </c>
      <c r="T2972" t="str">
        <f>"עמר ליגל"</f>
        <v>עמר ליגל</v>
      </c>
      <c r="U2972">
        <v>0</v>
      </c>
      <c r="V2972">
        <v>0</v>
      </c>
      <c r="W2972">
        <v>986.69</v>
      </c>
      <c r="X2972" s="2">
        <v>1973.38</v>
      </c>
      <c r="AA2972">
        <v>2</v>
      </c>
      <c r="AC2972">
        <v>0</v>
      </c>
      <c r="AE2972">
        <v>0</v>
      </c>
      <c r="AF2972">
        <v>0</v>
      </c>
      <c r="AG2972" s="2">
        <v>3768.17</v>
      </c>
      <c r="AH2972">
        <v>0</v>
      </c>
      <c r="AI2972" s="2">
        <v>7536.34</v>
      </c>
      <c r="AJ2972" s="2">
        <v>1973.38</v>
      </c>
      <c r="AK2972" s="2">
        <v>1973.38</v>
      </c>
      <c r="AL2972" t="str">
        <f>"$"</f>
        <v>$</v>
      </c>
    </row>
    <row r="2973" spans="1:38" x14ac:dyDescent="0.3">
      <c r="A2973" t="str">
        <f>"SO23000473"</f>
        <v>SO23000473</v>
      </c>
      <c r="B2973" t="str">
        <f>"E000405300"</f>
        <v>E000405300</v>
      </c>
      <c r="C2973" t="str">
        <f>"טיוטא"</f>
        <v>טיוטא</v>
      </c>
      <c r="E2973" s="3">
        <v>45195</v>
      </c>
      <c r="F2973" s="3">
        <v>45371</v>
      </c>
      <c r="G2973" t="str">
        <f>"700065"</f>
        <v>700065</v>
      </c>
      <c r="H2973" t="str">
        <f>"אלתא מערכות בע""מ"</f>
        <v>אלתא מערכות בע"מ</v>
      </c>
      <c r="I2973" t="str">
        <f>"רחמים זרוק"</f>
        <v>רחמים זרוק</v>
      </c>
      <c r="J2973" t="str">
        <f>"OP-AR03295"</f>
        <v>OP-AR03295</v>
      </c>
      <c r="K2973" s="1" t="str">
        <f>"1035C331-001    HARNESS 3W031 - CONTROL and COMM. FROM R"</f>
        <v>1035C331-001    HARNESS 3W031 - CONTROL and COMM. FROM R</v>
      </c>
      <c r="L2973">
        <v>2</v>
      </c>
      <c r="O2973">
        <v>690.32</v>
      </c>
      <c r="P2973" t="str">
        <f>"$"</f>
        <v>$</v>
      </c>
      <c r="Q2973" t="str">
        <f>"117"</f>
        <v>117</v>
      </c>
      <c r="R2973" t="str">
        <f>"רתמות"</f>
        <v>רתמות</v>
      </c>
      <c r="S2973" t="str">
        <f>"040"</f>
        <v>040</v>
      </c>
      <c r="T2973" t="str">
        <f>"עמר ליגל"</f>
        <v>עמר ליגל</v>
      </c>
      <c r="U2973">
        <v>0</v>
      </c>
      <c r="V2973">
        <v>0</v>
      </c>
      <c r="W2973">
        <v>690.32</v>
      </c>
      <c r="X2973" s="2">
        <v>1380.64</v>
      </c>
      <c r="AA2973">
        <v>2</v>
      </c>
      <c r="AC2973">
        <v>0</v>
      </c>
      <c r="AE2973">
        <v>0</v>
      </c>
      <c r="AF2973">
        <v>0</v>
      </c>
      <c r="AG2973" s="2">
        <v>2636.33</v>
      </c>
      <c r="AH2973">
        <v>0</v>
      </c>
      <c r="AI2973" s="2">
        <v>5272.66</v>
      </c>
      <c r="AJ2973" s="2">
        <v>1380.64</v>
      </c>
      <c r="AK2973" s="2">
        <v>1380.64</v>
      </c>
      <c r="AL2973" t="str">
        <f>"$"</f>
        <v>$</v>
      </c>
    </row>
    <row r="2974" spans="1:38" x14ac:dyDescent="0.3">
      <c r="A2974" t="str">
        <f>"SO23000473"</f>
        <v>SO23000473</v>
      </c>
      <c r="B2974" t="str">
        <f>"E000405300"</f>
        <v>E000405300</v>
      </c>
      <c r="C2974" t="str">
        <f>"טיוטא"</f>
        <v>טיוטא</v>
      </c>
      <c r="E2974" s="3">
        <v>45195</v>
      </c>
      <c r="F2974" s="3">
        <v>45371</v>
      </c>
      <c r="G2974" t="str">
        <f>"700065"</f>
        <v>700065</v>
      </c>
      <c r="H2974" t="str">
        <f>"אלתא מערכות בע""מ"</f>
        <v>אלתא מערכות בע"מ</v>
      </c>
      <c r="I2974" t="str">
        <f>"רחמים זרוק"</f>
        <v>רחמים זרוק</v>
      </c>
      <c r="J2974" t="str">
        <f>"OP-AR03297"</f>
        <v>OP-AR03297</v>
      </c>
      <c r="K2974" s="1" t="str">
        <f>"1035C333-001    HARNESS 3W033 - DATA FROM EXTERNAL SYST"</f>
        <v>1035C333-001    HARNESS 3W033 - DATA FROM EXTERNAL SYST</v>
      </c>
      <c r="L2974">
        <v>2</v>
      </c>
      <c r="O2974" s="2">
        <v>1094.98</v>
      </c>
      <c r="P2974" t="str">
        <f>"$"</f>
        <v>$</v>
      </c>
      <c r="Q2974" t="str">
        <f>"117"</f>
        <v>117</v>
      </c>
      <c r="R2974" t="str">
        <f>"רתמות"</f>
        <v>רתמות</v>
      </c>
      <c r="S2974" t="str">
        <f>"040"</f>
        <v>040</v>
      </c>
      <c r="T2974" t="str">
        <f>"עמר ליגל"</f>
        <v>עמר ליגל</v>
      </c>
      <c r="U2974">
        <v>0</v>
      </c>
      <c r="V2974">
        <v>0</v>
      </c>
      <c r="W2974" s="2">
        <v>1094.98</v>
      </c>
      <c r="X2974" s="2">
        <v>2189.96</v>
      </c>
      <c r="AA2974">
        <v>2</v>
      </c>
      <c r="AC2974">
        <v>0</v>
      </c>
      <c r="AE2974">
        <v>0</v>
      </c>
      <c r="AF2974">
        <v>0</v>
      </c>
      <c r="AG2974" s="2">
        <v>4181.7299999999996</v>
      </c>
      <c r="AH2974">
        <v>0</v>
      </c>
      <c r="AI2974" s="2">
        <v>8363.4599999999991</v>
      </c>
      <c r="AJ2974" s="2">
        <v>2189.96</v>
      </c>
      <c r="AK2974" s="2">
        <v>2189.96</v>
      </c>
      <c r="AL2974" t="str">
        <f>"$"</f>
        <v>$</v>
      </c>
    </row>
    <row r="2975" spans="1:38" x14ac:dyDescent="0.3">
      <c r="A2975" t="str">
        <f>"SO23000473"</f>
        <v>SO23000473</v>
      </c>
      <c r="B2975" t="str">
        <f>"E000405300"</f>
        <v>E000405300</v>
      </c>
      <c r="C2975" t="str">
        <f>"טיוטא"</f>
        <v>טיוטא</v>
      </c>
      <c r="E2975" s="3">
        <v>45195</v>
      </c>
      <c r="F2975" s="3">
        <v>45371</v>
      </c>
      <c r="G2975" t="str">
        <f>"700065"</f>
        <v>700065</v>
      </c>
      <c r="H2975" t="str">
        <f>"אלתא מערכות בע""מ"</f>
        <v>אלתא מערכות בע"מ</v>
      </c>
      <c r="I2975" t="str">
        <f>"רחמים זרוק"</f>
        <v>רחמים זרוק</v>
      </c>
      <c r="J2975" t="str">
        <f>"OP-AR03298"</f>
        <v>OP-AR03298</v>
      </c>
      <c r="K2975" s="1" t="str">
        <f>"1035C334-001    HARNESS 3W034 - DISCRETE FROM ANTENNA TO"</f>
        <v>1035C334-001    HARNESS 3W034 - DISCRETE FROM ANTENNA TO</v>
      </c>
      <c r="L2975">
        <v>2</v>
      </c>
      <c r="O2975">
        <v>336.84</v>
      </c>
      <c r="P2975" t="str">
        <f>"$"</f>
        <v>$</v>
      </c>
      <c r="Q2975" t="str">
        <f>"117"</f>
        <v>117</v>
      </c>
      <c r="R2975" t="str">
        <f>"רתמות"</f>
        <v>רתמות</v>
      </c>
      <c r="S2975" t="str">
        <f>"040"</f>
        <v>040</v>
      </c>
      <c r="T2975" t="str">
        <f>"עמר ליגל"</f>
        <v>עמר ליגל</v>
      </c>
      <c r="U2975">
        <v>0</v>
      </c>
      <c r="V2975">
        <v>0</v>
      </c>
      <c r="W2975">
        <v>336.84</v>
      </c>
      <c r="X2975">
        <v>673.68</v>
      </c>
      <c r="AA2975">
        <v>2</v>
      </c>
      <c r="AC2975">
        <v>0</v>
      </c>
      <c r="AE2975">
        <v>0</v>
      </c>
      <c r="AF2975">
        <v>0</v>
      </c>
      <c r="AG2975" s="2">
        <v>1286.3900000000001</v>
      </c>
      <c r="AH2975">
        <v>0</v>
      </c>
      <c r="AI2975" s="2">
        <v>2572.7800000000002</v>
      </c>
      <c r="AJ2975">
        <v>673.68</v>
      </c>
      <c r="AK2975">
        <v>673.68</v>
      </c>
      <c r="AL2975" t="str">
        <f>"$"</f>
        <v>$</v>
      </c>
    </row>
    <row r="2976" spans="1:38" x14ac:dyDescent="0.3">
      <c r="A2976" t="str">
        <f>"SO23000473"</f>
        <v>SO23000473</v>
      </c>
      <c r="B2976" t="str">
        <f>"E000405300"</f>
        <v>E000405300</v>
      </c>
      <c r="C2976" t="str">
        <f>"טיוטא"</f>
        <v>טיוטא</v>
      </c>
      <c r="E2976" s="3">
        <v>45195</v>
      </c>
      <c r="F2976" s="3">
        <v>45371</v>
      </c>
      <c r="G2976" t="str">
        <f>"700065"</f>
        <v>700065</v>
      </c>
      <c r="H2976" t="str">
        <f>"אלתא מערכות בע""מ"</f>
        <v>אלתא מערכות בע"מ</v>
      </c>
      <c r="I2976" t="str">
        <f>"רחמים זרוק"</f>
        <v>רחמים זרוק</v>
      </c>
      <c r="J2976" t="str">
        <f>"OP-AR03300"</f>
        <v>OP-AR03300</v>
      </c>
      <c r="K2976" s="1" t="str">
        <f>"1035C336-001    HARNESS 3W036 - DATA FROM MAS TO PSU"</f>
        <v>1035C336-001    HARNESS 3W036 - DATA FROM MAS TO PSU</v>
      </c>
      <c r="L2976">
        <v>2</v>
      </c>
      <c r="O2976">
        <v>293.58999999999997</v>
      </c>
      <c r="P2976" t="str">
        <f>"$"</f>
        <v>$</v>
      </c>
      <c r="Q2976" t="str">
        <f>"117"</f>
        <v>117</v>
      </c>
      <c r="R2976" t="str">
        <f>"רתמות"</f>
        <v>רתמות</v>
      </c>
      <c r="S2976" t="str">
        <f>"040"</f>
        <v>040</v>
      </c>
      <c r="T2976" t="str">
        <f>"עמר ליגל"</f>
        <v>עמר ליגל</v>
      </c>
      <c r="U2976">
        <v>0</v>
      </c>
      <c r="V2976">
        <v>0</v>
      </c>
      <c r="W2976">
        <v>293.58999999999997</v>
      </c>
      <c r="X2976">
        <v>587.17999999999995</v>
      </c>
      <c r="AA2976">
        <v>2</v>
      </c>
      <c r="AC2976">
        <v>0</v>
      </c>
      <c r="AE2976">
        <v>0</v>
      </c>
      <c r="AF2976">
        <v>0</v>
      </c>
      <c r="AG2976" s="2">
        <v>1121.22</v>
      </c>
      <c r="AH2976">
        <v>0</v>
      </c>
      <c r="AI2976" s="2">
        <v>2242.44</v>
      </c>
      <c r="AJ2976">
        <v>587.17999999999995</v>
      </c>
      <c r="AK2976">
        <v>587.17999999999995</v>
      </c>
      <c r="AL2976" t="str">
        <f>"$"</f>
        <v>$</v>
      </c>
    </row>
    <row r="2977" spans="1:38" x14ac:dyDescent="0.3">
      <c r="A2977" t="str">
        <f>"SO23000473"</f>
        <v>SO23000473</v>
      </c>
      <c r="B2977" t="str">
        <f>"E000405300"</f>
        <v>E000405300</v>
      </c>
      <c r="C2977" t="str">
        <f>"טיוטא"</f>
        <v>טיוטא</v>
      </c>
      <c r="E2977" s="3">
        <v>45195</v>
      </c>
      <c r="F2977" s="3">
        <v>45371</v>
      </c>
      <c r="G2977" t="str">
        <f>"700065"</f>
        <v>700065</v>
      </c>
      <c r="H2977" t="str">
        <f>"אלתא מערכות בע""מ"</f>
        <v>אלתא מערכות בע"מ</v>
      </c>
      <c r="I2977" t="str">
        <f>"רחמים זרוק"</f>
        <v>רחמים זרוק</v>
      </c>
      <c r="J2977" t="str">
        <f>"OP-AR03301"</f>
        <v>OP-AR03301</v>
      </c>
      <c r="K2977" s="1" t="str">
        <f>"1035C337-001    HARNESS 3W037 - CONTROL and ETHERNET FRO"</f>
        <v>1035C337-001    HARNESS 3W037 - CONTROL and ETHERNET FRO</v>
      </c>
      <c r="L2977">
        <v>2</v>
      </c>
      <c r="O2977">
        <v>360.91</v>
      </c>
      <c r="P2977" t="str">
        <f>"$"</f>
        <v>$</v>
      </c>
      <c r="Q2977" t="str">
        <f>"117"</f>
        <v>117</v>
      </c>
      <c r="R2977" t="str">
        <f>"רתמות"</f>
        <v>רתמות</v>
      </c>
      <c r="S2977" t="str">
        <f>"040"</f>
        <v>040</v>
      </c>
      <c r="T2977" t="str">
        <f>"עמר ליגל"</f>
        <v>עמר ליגל</v>
      </c>
      <c r="U2977">
        <v>0</v>
      </c>
      <c r="V2977">
        <v>0</v>
      </c>
      <c r="W2977">
        <v>360.91</v>
      </c>
      <c r="X2977">
        <v>721.82</v>
      </c>
      <c r="AA2977">
        <v>2</v>
      </c>
      <c r="AC2977">
        <v>0</v>
      </c>
      <c r="AE2977">
        <v>0</v>
      </c>
      <c r="AF2977">
        <v>0</v>
      </c>
      <c r="AG2977" s="2">
        <v>1378.32</v>
      </c>
      <c r="AH2977">
        <v>0</v>
      </c>
      <c r="AI2977" s="2">
        <v>2756.63</v>
      </c>
      <c r="AJ2977">
        <v>721.82</v>
      </c>
      <c r="AK2977">
        <v>721.82</v>
      </c>
      <c r="AL2977" t="str">
        <f>"$"</f>
        <v>$</v>
      </c>
    </row>
    <row r="2978" spans="1:38" x14ac:dyDescent="0.3">
      <c r="A2978" t="str">
        <f>"SO23000473"</f>
        <v>SO23000473</v>
      </c>
      <c r="B2978" t="str">
        <f>"E000405300"</f>
        <v>E000405300</v>
      </c>
      <c r="C2978" t="str">
        <f>"טיוטא"</f>
        <v>טיוטא</v>
      </c>
      <c r="E2978" s="3">
        <v>45195</v>
      </c>
      <c r="F2978" s="3">
        <v>45371</v>
      </c>
      <c r="G2978" t="str">
        <f>"700065"</f>
        <v>700065</v>
      </c>
      <c r="H2978" t="str">
        <f>"אלתא מערכות בע""מ"</f>
        <v>אלתא מערכות בע"מ</v>
      </c>
      <c r="I2978" t="str">
        <f>"רחמים זרוק"</f>
        <v>רחמים זרוק</v>
      </c>
      <c r="J2978" t="str">
        <f>"OP-AR03302"</f>
        <v>OP-AR03302</v>
      </c>
      <c r="K2978" s="1" t="str">
        <f>"1035C338-001    HARNESS 3W038 - CONTROL and ETHERNET FRO"</f>
        <v>1035C338-001    HARNESS 3W038 - CONTROL and ETHERNET FRO</v>
      </c>
      <c r="L2978">
        <v>2</v>
      </c>
      <c r="O2978">
        <v>369.7</v>
      </c>
      <c r="P2978" t="str">
        <f>"$"</f>
        <v>$</v>
      </c>
      <c r="Q2978" t="str">
        <f>"117"</f>
        <v>117</v>
      </c>
      <c r="R2978" t="str">
        <f>"רתמות"</f>
        <v>רתמות</v>
      </c>
      <c r="S2978" t="str">
        <f>"040"</f>
        <v>040</v>
      </c>
      <c r="T2978" t="str">
        <f>"עמר ליגל"</f>
        <v>עמר ליגל</v>
      </c>
      <c r="U2978">
        <v>0</v>
      </c>
      <c r="V2978">
        <v>0</v>
      </c>
      <c r="W2978">
        <v>369.7</v>
      </c>
      <c r="X2978">
        <v>739.4</v>
      </c>
      <c r="AA2978">
        <v>2</v>
      </c>
      <c r="AC2978">
        <v>0</v>
      </c>
      <c r="AE2978">
        <v>0</v>
      </c>
      <c r="AF2978">
        <v>0</v>
      </c>
      <c r="AG2978" s="2">
        <v>1411.88</v>
      </c>
      <c r="AH2978">
        <v>0</v>
      </c>
      <c r="AI2978" s="2">
        <v>2823.77</v>
      </c>
      <c r="AJ2978">
        <v>739.4</v>
      </c>
      <c r="AK2978">
        <v>739.4</v>
      </c>
      <c r="AL2978" t="str">
        <f>"$"</f>
        <v>$</v>
      </c>
    </row>
    <row r="2979" spans="1:38" x14ac:dyDescent="0.3">
      <c r="A2979" t="str">
        <f>"SO23000473"</f>
        <v>SO23000473</v>
      </c>
      <c r="B2979" t="str">
        <f>"E000405300"</f>
        <v>E000405300</v>
      </c>
      <c r="C2979" t="str">
        <f>"טיוטא"</f>
        <v>טיוטא</v>
      </c>
      <c r="E2979" s="3">
        <v>45195</v>
      </c>
      <c r="F2979" s="3">
        <v>45371</v>
      </c>
      <c r="G2979" t="str">
        <f>"700065"</f>
        <v>700065</v>
      </c>
      <c r="H2979" t="str">
        <f>"אלתא מערכות בע""מ"</f>
        <v>אלתא מערכות בע"מ</v>
      </c>
      <c r="I2979" t="str">
        <f>"רחמים זרוק"</f>
        <v>רחמים זרוק</v>
      </c>
      <c r="J2979" t="str">
        <f>"OP-AR03303"</f>
        <v>OP-AR03303</v>
      </c>
      <c r="K2979" s="1" t="str">
        <f>"1035C339-001    HARNESS 3W039 - STATUS and CONTROL FROM/"</f>
        <v>1035C339-001    HARNESS 3W039 - STATUS and CONTROL FROM/</v>
      </c>
      <c r="L2979">
        <v>2</v>
      </c>
      <c r="O2979">
        <v>533.76</v>
      </c>
      <c r="P2979" t="str">
        <f>"$"</f>
        <v>$</v>
      </c>
      <c r="Q2979" t="str">
        <f>"117"</f>
        <v>117</v>
      </c>
      <c r="R2979" t="str">
        <f>"רתמות"</f>
        <v>רתמות</v>
      </c>
      <c r="S2979" t="str">
        <f>"040"</f>
        <v>040</v>
      </c>
      <c r="T2979" t="str">
        <f>"עמר ליגל"</f>
        <v>עמר ליגל</v>
      </c>
      <c r="U2979">
        <v>0</v>
      </c>
      <c r="V2979">
        <v>0</v>
      </c>
      <c r="W2979">
        <v>533.76</v>
      </c>
      <c r="X2979" s="2">
        <v>1067.52</v>
      </c>
      <c r="AA2979">
        <v>2</v>
      </c>
      <c r="AC2979">
        <v>0</v>
      </c>
      <c r="AE2979">
        <v>0</v>
      </c>
      <c r="AF2979">
        <v>0</v>
      </c>
      <c r="AG2979" s="2">
        <v>2038.43</v>
      </c>
      <c r="AH2979">
        <v>0</v>
      </c>
      <c r="AI2979" s="2">
        <v>4076.86</v>
      </c>
      <c r="AJ2979" s="2">
        <v>1067.52</v>
      </c>
      <c r="AK2979" s="2">
        <v>1067.52</v>
      </c>
      <c r="AL2979" t="str">
        <f>"$"</f>
        <v>$</v>
      </c>
    </row>
    <row r="2980" spans="1:38" x14ac:dyDescent="0.3">
      <c r="A2980" t="str">
        <f>"SO23000473"</f>
        <v>SO23000473</v>
      </c>
      <c r="B2980" t="str">
        <f>"E000405300"</f>
        <v>E000405300</v>
      </c>
      <c r="C2980" t="str">
        <f>"טיוטא"</f>
        <v>טיוטא</v>
      </c>
      <c r="E2980" s="3">
        <v>45195</v>
      </c>
      <c r="F2980" s="3">
        <v>45371</v>
      </c>
      <c r="G2980" t="str">
        <f>"700065"</f>
        <v>700065</v>
      </c>
      <c r="H2980" t="str">
        <f>"אלתא מערכות בע""מ"</f>
        <v>אלתא מערכות בע"מ</v>
      </c>
      <c r="I2980" t="str">
        <f>"רחמים זרוק"</f>
        <v>רחמים זרוק</v>
      </c>
      <c r="J2980" t="str">
        <f>"OP-AR03304"</f>
        <v>OP-AR03304</v>
      </c>
      <c r="K2980" s="1" t="str">
        <f>"1035C340-001    HARNESS 3W040 - STATUS FROM MOTOR TO SPR"</f>
        <v>1035C340-001    HARNESS 3W040 - STATUS FROM MOTOR TO SPR</v>
      </c>
      <c r="L2980">
        <v>2</v>
      </c>
      <c r="O2980">
        <v>367.82</v>
      </c>
      <c r="P2980" t="str">
        <f>"$"</f>
        <v>$</v>
      </c>
      <c r="Q2980" t="str">
        <f>"117"</f>
        <v>117</v>
      </c>
      <c r="R2980" t="str">
        <f>"רתמות"</f>
        <v>רתמות</v>
      </c>
      <c r="S2980" t="str">
        <f>"040"</f>
        <v>040</v>
      </c>
      <c r="T2980" t="str">
        <f>"עמר ליגל"</f>
        <v>עמר ליגל</v>
      </c>
      <c r="U2980">
        <v>0</v>
      </c>
      <c r="V2980">
        <v>0</v>
      </c>
      <c r="W2980">
        <v>367.82</v>
      </c>
      <c r="X2980">
        <v>735.64</v>
      </c>
      <c r="AA2980">
        <v>2</v>
      </c>
      <c r="AC2980">
        <v>0</v>
      </c>
      <c r="AE2980">
        <v>0</v>
      </c>
      <c r="AF2980">
        <v>0</v>
      </c>
      <c r="AG2980" s="2">
        <v>1404.7</v>
      </c>
      <c r="AH2980">
        <v>0</v>
      </c>
      <c r="AI2980" s="2">
        <v>2809.41</v>
      </c>
      <c r="AJ2980">
        <v>735.64</v>
      </c>
      <c r="AK2980">
        <v>735.64</v>
      </c>
      <c r="AL2980" t="str">
        <f>"$"</f>
        <v>$</v>
      </c>
    </row>
    <row r="2981" spans="1:38" x14ac:dyDescent="0.3">
      <c r="A2981" t="str">
        <f>"SO23000473"</f>
        <v>SO23000473</v>
      </c>
      <c r="B2981" t="str">
        <f>"E000405300"</f>
        <v>E000405300</v>
      </c>
      <c r="C2981" t="str">
        <f>"טיוטא"</f>
        <v>טיוטא</v>
      </c>
      <c r="E2981" s="3">
        <v>45195</v>
      </c>
      <c r="F2981" s="3">
        <v>45371</v>
      </c>
      <c r="G2981" t="str">
        <f>"700065"</f>
        <v>700065</v>
      </c>
      <c r="H2981" t="str">
        <f>"אלתא מערכות בע""מ"</f>
        <v>אלתא מערכות בע"מ</v>
      </c>
      <c r="I2981" t="str">
        <f>"רחמים זרוק"</f>
        <v>רחמים זרוק</v>
      </c>
      <c r="J2981" t="str">
        <f>"OP-AR03305"</f>
        <v>OP-AR03305</v>
      </c>
      <c r="K2981" s="1" t="str">
        <f>"1035C341-001    HARNESS 3W041 - STATUS FROM SPR (PDU) TO"</f>
        <v>1035C341-001    HARNESS 3W041 - STATUS FROM SPR (PDU) TO</v>
      </c>
      <c r="L2981">
        <v>2</v>
      </c>
      <c r="O2981">
        <v>328.67</v>
      </c>
      <c r="P2981" t="str">
        <f>"$"</f>
        <v>$</v>
      </c>
      <c r="Q2981" t="str">
        <f>"117"</f>
        <v>117</v>
      </c>
      <c r="R2981" t="str">
        <f>"רתמות"</f>
        <v>רתמות</v>
      </c>
      <c r="S2981" t="str">
        <f>"040"</f>
        <v>040</v>
      </c>
      <c r="T2981" t="str">
        <f>"עמר ליגל"</f>
        <v>עמר ליגל</v>
      </c>
      <c r="U2981">
        <v>0</v>
      </c>
      <c r="V2981">
        <v>0</v>
      </c>
      <c r="W2981">
        <v>328.67</v>
      </c>
      <c r="X2981">
        <v>657.34</v>
      </c>
      <c r="AA2981">
        <v>2</v>
      </c>
      <c r="AC2981">
        <v>0</v>
      </c>
      <c r="AE2981">
        <v>0</v>
      </c>
      <c r="AF2981">
        <v>0</v>
      </c>
      <c r="AG2981" s="2">
        <v>1255.19</v>
      </c>
      <c r="AH2981">
        <v>0</v>
      </c>
      <c r="AI2981" s="2">
        <v>2510.38</v>
      </c>
      <c r="AJ2981">
        <v>657.34</v>
      </c>
      <c r="AK2981">
        <v>657.34</v>
      </c>
      <c r="AL2981" t="str">
        <f>"$"</f>
        <v>$</v>
      </c>
    </row>
    <row r="2982" spans="1:38" x14ac:dyDescent="0.3">
      <c r="A2982" t="str">
        <f>"SO23000473"</f>
        <v>SO23000473</v>
      </c>
      <c r="B2982" t="str">
        <f>"E000405300"</f>
        <v>E000405300</v>
      </c>
      <c r="C2982" t="str">
        <f>"טיוטא"</f>
        <v>טיוטא</v>
      </c>
      <c r="E2982" s="3">
        <v>45195</v>
      </c>
      <c r="F2982" s="3">
        <v>45371</v>
      </c>
      <c r="G2982" t="str">
        <f>"700065"</f>
        <v>700065</v>
      </c>
      <c r="H2982" t="str">
        <f>"אלתא מערכות בע""מ"</f>
        <v>אלתא מערכות בע"מ</v>
      </c>
      <c r="I2982" t="str">
        <f>"רחמים זרוק"</f>
        <v>רחמים זרוק</v>
      </c>
      <c r="J2982" t="str">
        <f>"OP-AR03306"</f>
        <v>OP-AR03306</v>
      </c>
      <c r="K2982" s="1" t="str">
        <f>"1035C343-001    HARNESS 3W043 - COMMUNICATION and ETHERN"</f>
        <v>1035C343-001    HARNESS 3W043 - COMMUNICATION and ETHERN</v>
      </c>
      <c r="L2982">
        <v>2</v>
      </c>
      <c r="O2982">
        <v>758.8</v>
      </c>
      <c r="P2982" t="str">
        <f>"$"</f>
        <v>$</v>
      </c>
      <c r="Q2982" t="str">
        <f>"117"</f>
        <v>117</v>
      </c>
      <c r="R2982" t="str">
        <f>"רתמות"</f>
        <v>רתמות</v>
      </c>
      <c r="S2982" t="str">
        <f>"040"</f>
        <v>040</v>
      </c>
      <c r="T2982" t="str">
        <f>"עמר ליגל"</f>
        <v>עמר ליגל</v>
      </c>
      <c r="U2982">
        <v>0</v>
      </c>
      <c r="V2982">
        <v>0</v>
      </c>
      <c r="W2982">
        <v>758.8</v>
      </c>
      <c r="X2982" s="2">
        <v>1517.6</v>
      </c>
      <c r="AA2982">
        <v>2</v>
      </c>
      <c r="AC2982">
        <v>0</v>
      </c>
      <c r="AE2982">
        <v>0</v>
      </c>
      <c r="AF2982">
        <v>0</v>
      </c>
      <c r="AG2982" s="2">
        <v>2897.86</v>
      </c>
      <c r="AH2982">
        <v>0</v>
      </c>
      <c r="AI2982" s="2">
        <v>5795.71</v>
      </c>
      <c r="AJ2982" s="2">
        <v>1517.6</v>
      </c>
      <c r="AK2982" s="2">
        <v>1517.6</v>
      </c>
      <c r="AL2982" t="str">
        <f>"$"</f>
        <v>$</v>
      </c>
    </row>
    <row r="2983" spans="1:38" x14ac:dyDescent="0.3">
      <c r="A2983" t="str">
        <f>"SO23000473"</f>
        <v>SO23000473</v>
      </c>
      <c r="B2983" t="str">
        <f>"E000405300"</f>
        <v>E000405300</v>
      </c>
      <c r="C2983" t="str">
        <f>"טיוטא"</f>
        <v>טיוטא</v>
      </c>
      <c r="E2983" s="3">
        <v>45195</v>
      </c>
      <c r="F2983" s="3">
        <v>45371</v>
      </c>
      <c r="G2983" t="str">
        <f>"700065"</f>
        <v>700065</v>
      </c>
      <c r="H2983" t="str">
        <f>"אלתא מערכות בע""מ"</f>
        <v>אלתא מערכות בע"מ</v>
      </c>
      <c r="I2983" t="str">
        <f>"רחמים זרוק"</f>
        <v>רחמים זרוק</v>
      </c>
      <c r="J2983" t="str">
        <f>"OP-AR03307"</f>
        <v>OP-AR03307</v>
      </c>
      <c r="K2983" s="1" t="str">
        <f>"1035C344-001    HARNESS 3W044 - DATA FROM ENCODER TO ACB"</f>
        <v>1035C344-001    HARNESS 3W044 - DATA FROM ENCODER TO ACB</v>
      </c>
      <c r="L2983">
        <v>2</v>
      </c>
      <c r="O2983">
        <v>360.37</v>
      </c>
      <c r="P2983" t="str">
        <f>"$"</f>
        <v>$</v>
      </c>
      <c r="Q2983" t="str">
        <f>"117"</f>
        <v>117</v>
      </c>
      <c r="R2983" t="str">
        <f>"רתמות"</f>
        <v>רתמות</v>
      </c>
      <c r="S2983" t="str">
        <f>"040"</f>
        <v>040</v>
      </c>
      <c r="T2983" t="str">
        <f>"עמר ליגל"</f>
        <v>עמר ליגל</v>
      </c>
      <c r="U2983">
        <v>0</v>
      </c>
      <c r="V2983">
        <v>0</v>
      </c>
      <c r="W2983">
        <v>360.37</v>
      </c>
      <c r="X2983">
        <v>720.74</v>
      </c>
      <c r="AA2983">
        <v>2</v>
      </c>
      <c r="AC2983">
        <v>0</v>
      </c>
      <c r="AE2983">
        <v>0</v>
      </c>
      <c r="AF2983">
        <v>0</v>
      </c>
      <c r="AG2983" s="2">
        <v>1376.25</v>
      </c>
      <c r="AH2983">
        <v>0</v>
      </c>
      <c r="AI2983" s="2">
        <v>2752.51</v>
      </c>
      <c r="AJ2983">
        <v>720.74</v>
      </c>
      <c r="AK2983">
        <v>720.74</v>
      </c>
      <c r="AL2983" t="str">
        <f>"$"</f>
        <v>$</v>
      </c>
    </row>
    <row r="2984" spans="1:38" x14ac:dyDescent="0.3">
      <c r="A2984" t="str">
        <f>"SO23000473"</f>
        <v>SO23000473</v>
      </c>
      <c r="B2984" t="str">
        <f>"E000405300"</f>
        <v>E000405300</v>
      </c>
      <c r="C2984" t="str">
        <f>"טיוטא"</f>
        <v>טיוטא</v>
      </c>
      <c r="E2984" s="3">
        <v>45195</v>
      </c>
      <c r="F2984" s="3">
        <v>45371</v>
      </c>
      <c r="G2984" t="str">
        <f>"700065"</f>
        <v>700065</v>
      </c>
      <c r="H2984" t="str">
        <f>"אלתא מערכות בע""מ"</f>
        <v>אלתא מערכות בע"מ</v>
      </c>
      <c r="I2984" t="str">
        <f>"רחמים זרוק"</f>
        <v>רחמים זרוק</v>
      </c>
      <c r="J2984" t="str">
        <f>"OP-AR03309"</f>
        <v>OP-AR03309</v>
      </c>
      <c r="K2984" s="1" t="str">
        <f>"1035C350-001    HARNESS 3W050 - ETHERNET FROM/TO PDU TO/"</f>
        <v>1035C350-001    HARNESS 3W050 - ETHERNET FROM/TO PDU TO/</v>
      </c>
      <c r="L2984">
        <v>2</v>
      </c>
      <c r="O2984">
        <v>597.21</v>
      </c>
      <c r="P2984" t="str">
        <f>"$"</f>
        <v>$</v>
      </c>
      <c r="Q2984" t="str">
        <f>"117"</f>
        <v>117</v>
      </c>
      <c r="R2984" t="str">
        <f>"רתמות"</f>
        <v>רתמות</v>
      </c>
      <c r="S2984" t="str">
        <f>"040"</f>
        <v>040</v>
      </c>
      <c r="T2984" t="str">
        <f>"עמר ליגל"</f>
        <v>עמר ליגל</v>
      </c>
      <c r="U2984">
        <v>0</v>
      </c>
      <c r="V2984">
        <v>0</v>
      </c>
      <c r="W2984">
        <v>597.21</v>
      </c>
      <c r="X2984" s="2">
        <v>1194.42</v>
      </c>
      <c r="AA2984">
        <v>2</v>
      </c>
      <c r="AC2984">
        <v>0</v>
      </c>
      <c r="AE2984">
        <v>0</v>
      </c>
      <c r="AF2984">
        <v>0</v>
      </c>
      <c r="AG2984" s="2">
        <v>2280.7399999999998</v>
      </c>
      <c r="AH2984">
        <v>0</v>
      </c>
      <c r="AI2984" s="2">
        <v>4561.49</v>
      </c>
      <c r="AJ2984" s="2">
        <v>1194.42</v>
      </c>
      <c r="AK2984" s="2">
        <v>1194.42</v>
      </c>
      <c r="AL2984" t="str">
        <f>"$"</f>
        <v>$</v>
      </c>
    </row>
    <row r="2985" spans="1:38" x14ac:dyDescent="0.3">
      <c r="A2985" t="str">
        <f>"SO23000473"</f>
        <v>SO23000473</v>
      </c>
      <c r="B2985" t="str">
        <f>"E000405300"</f>
        <v>E000405300</v>
      </c>
      <c r="C2985" t="str">
        <f>"טיוטא"</f>
        <v>טיוטא</v>
      </c>
      <c r="E2985" s="3">
        <v>45195</v>
      </c>
      <c r="F2985" s="3">
        <v>45371</v>
      </c>
      <c r="G2985" t="str">
        <f>"700065"</f>
        <v>700065</v>
      </c>
      <c r="H2985" t="str">
        <f>"אלתא מערכות בע""מ"</f>
        <v>אלתא מערכות בע"מ</v>
      </c>
      <c r="I2985" t="str">
        <f>"רחמים זרוק"</f>
        <v>רחמים זרוק</v>
      </c>
      <c r="J2985" t="str">
        <f>"OP-AR03310"</f>
        <v>OP-AR03310</v>
      </c>
      <c r="K2985" s="1" t="str">
        <f>"1035C351-001    HARNESS 3W051 - ETHERNET FROM/TO RSU TO/"</f>
        <v>1035C351-001    HARNESS 3W051 - ETHERNET FROM/TO RSU TO/</v>
      </c>
      <c r="L2985">
        <v>2</v>
      </c>
      <c r="O2985">
        <v>426.45</v>
      </c>
      <c r="P2985" t="str">
        <f>"$"</f>
        <v>$</v>
      </c>
      <c r="Q2985" t="str">
        <f>"117"</f>
        <v>117</v>
      </c>
      <c r="R2985" t="str">
        <f>"רתמות"</f>
        <v>רתמות</v>
      </c>
      <c r="S2985" t="str">
        <f>"040"</f>
        <v>040</v>
      </c>
      <c r="T2985" t="str">
        <f>"עמר ליגל"</f>
        <v>עמר ליגל</v>
      </c>
      <c r="U2985">
        <v>0</v>
      </c>
      <c r="V2985">
        <v>0</v>
      </c>
      <c r="W2985">
        <v>426.45</v>
      </c>
      <c r="X2985">
        <v>852.9</v>
      </c>
      <c r="AA2985">
        <v>2</v>
      </c>
      <c r="AC2985">
        <v>0</v>
      </c>
      <c r="AE2985">
        <v>0</v>
      </c>
      <c r="AF2985">
        <v>0</v>
      </c>
      <c r="AG2985" s="2">
        <v>1628.61</v>
      </c>
      <c r="AH2985">
        <v>0</v>
      </c>
      <c r="AI2985" s="2">
        <v>3257.23</v>
      </c>
      <c r="AJ2985">
        <v>852.9</v>
      </c>
      <c r="AK2985">
        <v>852.9</v>
      </c>
      <c r="AL2985" t="str">
        <f>"$"</f>
        <v>$</v>
      </c>
    </row>
    <row r="2986" spans="1:38" x14ac:dyDescent="0.3">
      <c r="A2986" t="str">
        <f>"SO23000473"</f>
        <v>SO23000473</v>
      </c>
      <c r="B2986" t="str">
        <f>"E000405300"</f>
        <v>E000405300</v>
      </c>
      <c r="C2986" t="str">
        <f>"טיוטא"</f>
        <v>טיוטא</v>
      </c>
      <c r="E2986" s="3">
        <v>45195</v>
      </c>
      <c r="F2986" s="3">
        <v>45371</v>
      </c>
      <c r="G2986" t="str">
        <f>"700065"</f>
        <v>700065</v>
      </c>
      <c r="H2986" t="str">
        <f>"אלתא מערכות בע""מ"</f>
        <v>אלתא מערכות בע"מ</v>
      </c>
      <c r="I2986" t="str">
        <f>"רחמים זרוק"</f>
        <v>רחמים זרוק</v>
      </c>
      <c r="J2986" t="str">
        <f>"OP-AR03311"</f>
        <v>OP-AR03311</v>
      </c>
      <c r="K2986" s="1" t="str">
        <f>"1035C352-001    HARNESS 3W052 - ETHERNET FROM/TO RSU TO/"</f>
        <v>1035C352-001    HARNESS 3W052 - ETHERNET FROM/TO RSU TO/</v>
      </c>
      <c r="L2986">
        <v>2</v>
      </c>
      <c r="O2986">
        <v>935.92</v>
      </c>
      <c r="P2986" t="str">
        <f>"$"</f>
        <v>$</v>
      </c>
      <c r="Q2986" t="str">
        <f>"117"</f>
        <v>117</v>
      </c>
      <c r="R2986" t="str">
        <f>"רתמות"</f>
        <v>רתמות</v>
      </c>
      <c r="S2986" t="str">
        <f>"040"</f>
        <v>040</v>
      </c>
      <c r="T2986" t="str">
        <f>"עמר ליגל"</f>
        <v>עמר ליגל</v>
      </c>
      <c r="U2986">
        <v>0</v>
      </c>
      <c r="V2986">
        <v>0</v>
      </c>
      <c r="W2986">
        <v>935.92</v>
      </c>
      <c r="X2986" s="2">
        <v>1871.84</v>
      </c>
      <c r="AA2986">
        <v>2</v>
      </c>
      <c r="AC2986">
        <v>0</v>
      </c>
      <c r="AE2986">
        <v>0</v>
      </c>
      <c r="AF2986">
        <v>0</v>
      </c>
      <c r="AG2986" s="2">
        <v>3574.28</v>
      </c>
      <c r="AH2986">
        <v>0</v>
      </c>
      <c r="AI2986" s="2">
        <v>7148.56</v>
      </c>
      <c r="AJ2986" s="2">
        <v>1871.84</v>
      </c>
      <c r="AK2986" s="2">
        <v>1871.84</v>
      </c>
      <c r="AL2986" t="str">
        <f>"$"</f>
        <v>$</v>
      </c>
    </row>
    <row r="2987" spans="1:38" x14ac:dyDescent="0.3">
      <c r="A2987" t="str">
        <f>"SO23000473"</f>
        <v>SO23000473</v>
      </c>
      <c r="B2987" t="str">
        <f>"E000405300"</f>
        <v>E000405300</v>
      </c>
      <c r="C2987" t="str">
        <f>"טיוטא"</f>
        <v>טיוטא</v>
      </c>
      <c r="E2987" s="3">
        <v>45195</v>
      </c>
      <c r="F2987" s="3">
        <v>45371</v>
      </c>
      <c r="G2987" t="str">
        <f>"700065"</f>
        <v>700065</v>
      </c>
      <c r="H2987" t="str">
        <f>"אלתא מערכות בע""מ"</f>
        <v>אלתא מערכות בע"מ</v>
      </c>
      <c r="I2987" t="str">
        <f>"רחמים זרוק"</f>
        <v>רחמים זרוק</v>
      </c>
      <c r="J2987" t="str">
        <f>"OP-AR03312"</f>
        <v>OP-AR03312</v>
      </c>
      <c r="K2987" s="1" t="str">
        <f>"1035C353-001    HARNESS 3W053 - RS422 SIGNALS and ETHERN"</f>
        <v>1035C353-001    HARNESS 3W053 - RS422 SIGNALS and ETHERN</v>
      </c>
      <c r="L2987">
        <v>2</v>
      </c>
      <c r="O2987">
        <v>983.63</v>
      </c>
      <c r="P2987" t="str">
        <f>"$"</f>
        <v>$</v>
      </c>
      <c r="Q2987" t="str">
        <f>"117"</f>
        <v>117</v>
      </c>
      <c r="R2987" t="str">
        <f>"רתמות"</f>
        <v>רתמות</v>
      </c>
      <c r="S2987" t="str">
        <f>"040"</f>
        <v>040</v>
      </c>
      <c r="T2987" t="str">
        <f>"עמר ליגל"</f>
        <v>עמר ליגל</v>
      </c>
      <c r="U2987">
        <v>0</v>
      </c>
      <c r="V2987">
        <v>0</v>
      </c>
      <c r="W2987">
        <v>983.63</v>
      </c>
      <c r="X2987" s="2">
        <v>1967.26</v>
      </c>
      <c r="AA2987">
        <v>2</v>
      </c>
      <c r="AC2987">
        <v>0</v>
      </c>
      <c r="AE2987">
        <v>0</v>
      </c>
      <c r="AF2987">
        <v>0</v>
      </c>
      <c r="AG2987" s="2">
        <v>3756.48</v>
      </c>
      <c r="AH2987">
        <v>0</v>
      </c>
      <c r="AI2987" s="2">
        <v>7512.97</v>
      </c>
      <c r="AJ2987" s="2">
        <v>1967.26</v>
      </c>
      <c r="AK2987" s="2">
        <v>1967.26</v>
      </c>
      <c r="AL2987" t="str">
        <f>"$"</f>
        <v>$</v>
      </c>
    </row>
    <row r="2988" spans="1:38" x14ac:dyDescent="0.3">
      <c r="A2988" t="str">
        <f>"SO23000473"</f>
        <v>SO23000473</v>
      </c>
      <c r="B2988" t="str">
        <f>"E000405300"</f>
        <v>E000405300</v>
      </c>
      <c r="C2988" t="str">
        <f>"טיוטא"</f>
        <v>טיוטא</v>
      </c>
      <c r="E2988" s="3">
        <v>45195</v>
      </c>
      <c r="F2988" s="3">
        <v>45371</v>
      </c>
      <c r="G2988" t="str">
        <f>"700065"</f>
        <v>700065</v>
      </c>
      <c r="H2988" t="str">
        <f>"אלתא מערכות בע""מ"</f>
        <v>אלתא מערכות בע"מ</v>
      </c>
      <c r="I2988" t="str">
        <f>"רחמים זרוק"</f>
        <v>רחמים זרוק</v>
      </c>
      <c r="J2988" t="str">
        <f>"OP-AR03313"</f>
        <v>OP-AR03313</v>
      </c>
      <c r="K2988" s="1" t="str">
        <f>"1035C354-001    HARNESS 3W054 - ETHERNET FROM/TO PDU TO"</f>
        <v>1035C354-001    HARNESS 3W054 - ETHERNET FROM/TO PDU TO</v>
      </c>
      <c r="L2988">
        <v>2</v>
      </c>
      <c r="O2988">
        <v>392.35</v>
      </c>
      <c r="P2988" t="str">
        <f>"$"</f>
        <v>$</v>
      </c>
      <c r="Q2988" t="str">
        <f>"117"</f>
        <v>117</v>
      </c>
      <c r="R2988" t="str">
        <f>"רתמות"</f>
        <v>רתמות</v>
      </c>
      <c r="S2988" t="str">
        <f>"040"</f>
        <v>040</v>
      </c>
      <c r="T2988" t="str">
        <f>"עמר ליגל"</f>
        <v>עמר ליגל</v>
      </c>
      <c r="U2988">
        <v>0</v>
      </c>
      <c r="V2988">
        <v>0</v>
      </c>
      <c r="W2988">
        <v>392.35</v>
      </c>
      <c r="X2988">
        <v>784.7</v>
      </c>
      <c r="AA2988">
        <v>2</v>
      </c>
      <c r="AC2988">
        <v>0</v>
      </c>
      <c r="AE2988">
        <v>0</v>
      </c>
      <c r="AF2988">
        <v>0</v>
      </c>
      <c r="AG2988" s="2">
        <v>1498.38</v>
      </c>
      <c r="AH2988">
        <v>0</v>
      </c>
      <c r="AI2988" s="2">
        <v>2996.77</v>
      </c>
      <c r="AJ2988">
        <v>784.7</v>
      </c>
      <c r="AK2988">
        <v>784.7</v>
      </c>
      <c r="AL2988" t="str">
        <f>"$"</f>
        <v>$</v>
      </c>
    </row>
    <row r="2989" spans="1:38" x14ac:dyDescent="0.3">
      <c r="A2989" t="str">
        <f>"SO23000473"</f>
        <v>SO23000473</v>
      </c>
      <c r="B2989" t="str">
        <f>"E000405300"</f>
        <v>E000405300</v>
      </c>
      <c r="C2989" t="str">
        <f>"טיוטא"</f>
        <v>טיוטא</v>
      </c>
      <c r="E2989" s="3">
        <v>45195</v>
      </c>
      <c r="F2989" s="3">
        <v>45371</v>
      </c>
      <c r="G2989" t="str">
        <f>"700065"</f>
        <v>700065</v>
      </c>
      <c r="H2989" t="str">
        <f>"אלתא מערכות בע""מ"</f>
        <v>אלתא מערכות בע"מ</v>
      </c>
      <c r="I2989" t="str">
        <f>"רחמים זרוק"</f>
        <v>רחמים זרוק</v>
      </c>
      <c r="J2989" t="str">
        <f>"OP-AR03263"</f>
        <v>OP-AR03263</v>
      </c>
      <c r="K2989" s="1" t="str">
        <f>"1035C390-001    GROUND CABLE 3W090 - UNIT TO RACK-GND"</f>
        <v>1035C390-001    GROUND CABLE 3W090 - UNIT TO RACK-GND</v>
      </c>
      <c r="L2989">
        <v>2</v>
      </c>
      <c r="O2989">
        <v>55.66</v>
      </c>
      <c r="P2989" t="str">
        <f>"$"</f>
        <v>$</v>
      </c>
      <c r="Q2989" t="str">
        <f>"117"</f>
        <v>117</v>
      </c>
      <c r="R2989" t="str">
        <f>"רתמות"</f>
        <v>רתמות</v>
      </c>
      <c r="S2989" t="str">
        <f>"040"</f>
        <v>040</v>
      </c>
      <c r="T2989" t="str">
        <f>"עמר ליגל"</f>
        <v>עמר ליגל</v>
      </c>
      <c r="U2989">
        <v>0</v>
      </c>
      <c r="V2989">
        <v>0</v>
      </c>
      <c r="W2989">
        <v>55.66</v>
      </c>
      <c r="X2989">
        <v>111.32</v>
      </c>
      <c r="AA2989">
        <v>2</v>
      </c>
      <c r="AC2989">
        <v>0</v>
      </c>
      <c r="AE2989">
        <v>0</v>
      </c>
      <c r="AF2989">
        <v>0</v>
      </c>
      <c r="AG2989">
        <v>212.57</v>
      </c>
      <c r="AH2989">
        <v>0</v>
      </c>
      <c r="AI2989">
        <v>425.13</v>
      </c>
      <c r="AJ2989">
        <v>111.32</v>
      </c>
      <c r="AK2989">
        <v>111.32</v>
      </c>
      <c r="AL2989" t="str">
        <f>"$"</f>
        <v>$</v>
      </c>
    </row>
    <row r="2990" spans="1:38" x14ac:dyDescent="0.3">
      <c r="A2990" t="str">
        <f>"SO23000473"</f>
        <v>SO23000473</v>
      </c>
      <c r="B2990" t="str">
        <f>"E000405300"</f>
        <v>E000405300</v>
      </c>
      <c r="C2990" t="str">
        <f>"טיוטא"</f>
        <v>טיוטא</v>
      </c>
      <c r="E2990" s="3">
        <v>45195</v>
      </c>
      <c r="F2990" s="3">
        <v>45371</v>
      </c>
      <c r="G2990" t="str">
        <f>"700065"</f>
        <v>700065</v>
      </c>
      <c r="H2990" t="str">
        <f>"אלתא מערכות בע""מ"</f>
        <v>אלתא מערכות בע"מ</v>
      </c>
      <c r="I2990" t="str">
        <f>"רחמים זרוק"</f>
        <v>רחמים זרוק</v>
      </c>
      <c r="J2990" t="str">
        <f>"OP-AR03976"</f>
        <v>OP-AR03976</v>
      </c>
      <c r="K2990" s="1" t="str">
        <f>"1035C392-001     GROUND CABLE 3W092 - RSU TO RACK - GND"</f>
        <v>1035C392-001     GROUND CABLE 3W092 - RSU TO RACK - GND</v>
      </c>
      <c r="L2990">
        <v>2</v>
      </c>
      <c r="O2990">
        <v>101.69</v>
      </c>
      <c r="P2990" t="str">
        <f>"$"</f>
        <v>$</v>
      </c>
      <c r="Q2990" t="str">
        <f>"117"</f>
        <v>117</v>
      </c>
      <c r="R2990" t="str">
        <f>"רתמות"</f>
        <v>רתמות</v>
      </c>
      <c r="S2990" t="str">
        <f>"040"</f>
        <v>040</v>
      </c>
      <c r="T2990" t="str">
        <f>"עמר ליגל"</f>
        <v>עמר ליגל</v>
      </c>
      <c r="U2990">
        <v>0</v>
      </c>
      <c r="V2990">
        <v>0</v>
      </c>
      <c r="W2990">
        <v>101.69</v>
      </c>
      <c r="X2990">
        <v>203.38</v>
      </c>
      <c r="AA2990">
        <v>2</v>
      </c>
      <c r="AC2990">
        <v>0</v>
      </c>
      <c r="AE2990">
        <v>0</v>
      </c>
      <c r="AF2990">
        <v>0</v>
      </c>
      <c r="AG2990">
        <v>388.35</v>
      </c>
      <c r="AH2990">
        <v>0</v>
      </c>
      <c r="AI2990">
        <v>776.71</v>
      </c>
      <c r="AJ2990">
        <v>203.38</v>
      </c>
      <c r="AK2990">
        <v>203.38</v>
      </c>
      <c r="AL2990" t="str">
        <f>"$"</f>
        <v>$</v>
      </c>
    </row>
    <row r="2991" spans="1:38" x14ac:dyDescent="0.3">
      <c r="A2991" t="str">
        <f>"SO23000474"</f>
        <v>SO23000474</v>
      </c>
      <c r="B2991" t="str">
        <f>"E000405631"</f>
        <v>E000405631</v>
      </c>
      <c r="C2991" t="str">
        <f>"טיוטא"</f>
        <v>טיוטא</v>
      </c>
      <c r="E2991" s="3">
        <v>45195</v>
      </c>
      <c r="F2991" s="3">
        <v>45352</v>
      </c>
      <c r="G2991" t="str">
        <f>"700065"</f>
        <v>700065</v>
      </c>
      <c r="H2991" t="str">
        <f>"אלתא מערכות בע""מ"</f>
        <v>אלתא מערכות בע"מ</v>
      </c>
      <c r="I2991" t="str">
        <f>"רחמים זרוק"</f>
        <v>רחמים זרוק</v>
      </c>
      <c r="J2991" t="str">
        <f>"OP-AR01897"</f>
        <v>OP-AR01897</v>
      </c>
      <c r="K2991" s="1" t="str">
        <f>"1027L251-001 - CABLE ASSY WR001"</f>
        <v>1027L251-001 - CABLE ASSY WR001</v>
      </c>
      <c r="L2991">
        <v>1</v>
      </c>
      <c r="M2991" t="str">
        <f>"PR23000746"</f>
        <v>PR23000746</v>
      </c>
      <c r="N2991" t="str">
        <f>"E000405631"</f>
        <v>E000405631</v>
      </c>
      <c r="O2991" s="2">
        <v>1446.4</v>
      </c>
      <c r="P2991" t="str">
        <f>"$"</f>
        <v>$</v>
      </c>
      <c r="Q2991" t="str">
        <f>"117"</f>
        <v>117</v>
      </c>
      <c r="R2991" t="str">
        <f>"רתמות"</f>
        <v>רתמות</v>
      </c>
      <c r="S2991" t="str">
        <f>"040"</f>
        <v>040</v>
      </c>
      <c r="T2991" t="str">
        <f>"עמר ליגל"</f>
        <v>עמר ליגל</v>
      </c>
      <c r="U2991">
        <v>0</v>
      </c>
      <c r="V2991">
        <v>0</v>
      </c>
      <c r="W2991" s="2">
        <v>1446.4</v>
      </c>
      <c r="X2991" s="2">
        <v>1446.4</v>
      </c>
      <c r="AA2991">
        <v>1</v>
      </c>
      <c r="AC2991">
        <v>0</v>
      </c>
      <c r="AE2991">
        <v>0</v>
      </c>
      <c r="AF2991">
        <v>0</v>
      </c>
      <c r="AG2991" s="2">
        <v>5523.8</v>
      </c>
      <c r="AH2991">
        <v>0</v>
      </c>
      <c r="AI2991" s="2">
        <v>5523.8</v>
      </c>
      <c r="AJ2991" s="2">
        <v>1446.4</v>
      </c>
      <c r="AK2991" s="2">
        <v>1446.4</v>
      </c>
      <c r="AL2991" t="str">
        <f>"$"</f>
        <v>$</v>
      </c>
    </row>
    <row r="2992" spans="1:38" x14ac:dyDescent="0.3">
      <c r="A2992" t="str">
        <f>"SO23000474"</f>
        <v>SO23000474</v>
      </c>
      <c r="B2992" t="str">
        <f>"E000405631"</f>
        <v>E000405631</v>
      </c>
      <c r="C2992" t="str">
        <f>"טיוטא"</f>
        <v>טיוטא</v>
      </c>
      <c r="E2992" s="3">
        <v>45195</v>
      </c>
      <c r="F2992" s="3">
        <v>45352</v>
      </c>
      <c r="G2992" t="str">
        <f>"700065"</f>
        <v>700065</v>
      </c>
      <c r="H2992" t="str">
        <f>"אלתא מערכות בע""מ"</f>
        <v>אלתא מערכות בע"מ</v>
      </c>
      <c r="I2992" t="str">
        <f>"רחמים זרוק"</f>
        <v>רחמים זרוק</v>
      </c>
      <c r="J2992" t="str">
        <f>"OP-AR03977"</f>
        <v>OP-AR03977</v>
      </c>
      <c r="K2992" s="1" t="str">
        <f>"1038C379-001     HARNESS WC379 - CUG - TO RCU/ PCU/IFF T"</f>
        <v>1038C379-001     HARNESS WC379 - CUG - TO RCU/ PCU/IFF T</v>
      </c>
      <c r="L2992">
        <v>1</v>
      </c>
      <c r="M2992" t="str">
        <f>"PR23000746"</f>
        <v>PR23000746</v>
      </c>
      <c r="N2992" t="str">
        <f>"E000405631"</f>
        <v>E000405631</v>
      </c>
      <c r="O2992" s="2">
        <v>2110.1999999999998</v>
      </c>
      <c r="P2992" t="str">
        <f>"$"</f>
        <v>$</v>
      </c>
      <c r="Q2992" t="str">
        <f>"117"</f>
        <v>117</v>
      </c>
      <c r="R2992" t="str">
        <f>"רתמות"</f>
        <v>רתמות</v>
      </c>
      <c r="S2992" t="str">
        <f>"040"</f>
        <v>040</v>
      </c>
      <c r="T2992" t="str">
        <f>"עמר ליגל"</f>
        <v>עמר ליגל</v>
      </c>
      <c r="U2992">
        <v>0</v>
      </c>
      <c r="V2992">
        <v>0</v>
      </c>
      <c r="W2992" s="2">
        <v>2110.1999999999998</v>
      </c>
      <c r="X2992" s="2">
        <v>2110.1999999999998</v>
      </c>
      <c r="AA2992">
        <v>1</v>
      </c>
      <c r="AC2992">
        <v>0</v>
      </c>
      <c r="AE2992">
        <v>0</v>
      </c>
      <c r="AF2992">
        <v>0</v>
      </c>
      <c r="AG2992" s="2">
        <v>8058.85</v>
      </c>
      <c r="AH2992">
        <v>0</v>
      </c>
      <c r="AI2992" s="2">
        <v>8058.85</v>
      </c>
      <c r="AJ2992" s="2">
        <v>2110.1999999999998</v>
      </c>
      <c r="AK2992" s="2">
        <v>2110.1999999999998</v>
      </c>
      <c r="AL2992" t="str">
        <f>"$"</f>
        <v>$</v>
      </c>
    </row>
    <row r="2993" spans="1:38" x14ac:dyDescent="0.3">
      <c r="A2993" t="str">
        <f>"SO23000474"</f>
        <v>SO23000474</v>
      </c>
      <c r="B2993" t="str">
        <f>"E000405631"</f>
        <v>E000405631</v>
      </c>
      <c r="C2993" t="str">
        <f>"טיוטא"</f>
        <v>טיוטא</v>
      </c>
      <c r="E2993" s="3">
        <v>45195</v>
      </c>
      <c r="F2993" s="3">
        <v>45352</v>
      </c>
      <c r="G2993" t="str">
        <f>"700065"</f>
        <v>700065</v>
      </c>
      <c r="H2993" t="str">
        <f>"אלתא מערכות בע""מ"</f>
        <v>אלתא מערכות בע"מ</v>
      </c>
      <c r="I2993" t="str">
        <f>"רחמים זרוק"</f>
        <v>רחמים זרוק</v>
      </c>
      <c r="J2993" t="str">
        <f>"OP-AR01897"</f>
        <v>OP-AR01897</v>
      </c>
      <c r="K2993" s="1" t="str">
        <f>"1027L251-001 - CABLE ASSY WR001"</f>
        <v>1027L251-001 - CABLE ASSY WR001</v>
      </c>
      <c r="L2993">
        <v>2</v>
      </c>
      <c r="M2993" t="str">
        <f>"PR23000746"</f>
        <v>PR23000746</v>
      </c>
      <c r="N2993" t="str">
        <f>"E000405631"</f>
        <v>E000405631</v>
      </c>
      <c r="O2993" s="2">
        <v>1446.4</v>
      </c>
      <c r="P2993" t="str">
        <f>"$"</f>
        <v>$</v>
      </c>
      <c r="Q2993" t="str">
        <f>"117"</f>
        <v>117</v>
      </c>
      <c r="R2993" t="str">
        <f>"רתמות"</f>
        <v>רתמות</v>
      </c>
      <c r="S2993" t="str">
        <f>"040"</f>
        <v>040</v>
      </c>
      <c r="T2993" t="str">
        <f>"עמר ליגל"</f>
        <v>עמר ליגל</v>
      </c>
      <c r="U2993">
        <v>0</v>
      </c>
      <c r="V2993">
        <v>0</v>
      </c>
      <c r="W2993" s="2">
        <v>1446.4</v>
      </c>
      <c r="X2993" s="2">
        <v>2892.8</v>
      </c>
      <c r="AA2993">
        <v>2</v>
      </c>
      <c r="AC2993">
        <v>0</v>
      </c>
      <c r="AE2993">
        <v>0</v>
      </c>
      <c r="AF2993">
        <v>0</v>
      </c>
      <c r="AG2993" s="2">
        <v>5523.8</v>
      </c>
      <c r="AH2993">
        <v>0</v>
      </c>
      <c r="AI2993" s="2">
        <v>11047.6</v>
      </c>
      <c r="AJ2993" s="2">
        <v>2892.8</v>
      </c>
      <c r="AK2993" s="2">
        <v>2892.8</v>
      </c>
      <c r="AL2993" t="str">
        <f>"$"</f>
        <v>$</v>
      </c>
    </row>
    <row r="2994" spans="1:38" x14ac:dyDescent="0.3">
      <c r="A2994" t="str">
        <f>"SO23000474"</f>
        <v>SO23000474</v>
      </c>
      <c r="B2994" t="str">
        <f>"E000405631"</f>
        <v>E000405631</v>
      </c>
      <c r="C2994" t="str">
        <f>"טיוטא"</f>
        <v>טיוטא</v>
      </c>
      <c r="E2994" s="3">
        <v>45195</v>
      </c>
      <c r="F2994" s="3">
        <v>45352</v>
      </c>
      <c r="G2994" t="str">
        <f>"700065"</f>
        <v>700065</v>
      </c>
      <c r="H2994" t="str">
        <f>"אלתא מערכות בע""מ"</f>
        <v>אלתא מערכות בע"מ</v>
      </c>
      <c r="I2994" t="str">
        <f>"רחמים זרוק"</f>
        <v>רחמים זרוק</v>
      </c>
      <c r="J2994" t="str">
        <f>"OP-AR01897"</f>
        <v>OP-AR01897</v>
      </c>
      <c r="K2994" s="1" t="str">
        <f>"1027L251-001 - CABLE ASSY WR001"</f>
        <v>1027L251-001 - CABLE ASSY WR001</v>
      </c>
      <c r="L2994">
        <v>2</v>
      </c>
      <c r="M2994" t="str">
        <f>"PR23000746"</f>
        <v>PR23000746</v>
      </c>
      <c r="N2994" t="str">
        <f>"E000405631"</f>
        <v>E000405631</v>
      </c>
      <c r="O2994" s="2">
        <v>1446.4</v>
      </c>
      <c r="P2994" t="str">
        <f>"$"</f>
        <v>$</v>
      </c>
      <c r="Q2994" t="str">
        <f>"117"</f>
        <v>117</v>
      </c>
      <c r="R2994" t="str">
        <f>"רתמות"</f>
        <v>רתמות</v>
      </c>
      <c r="S2994" t="str">
        <f>"040"</f>
        <v>040</v>
      </c>
      <c r="T2994" t="str">
        <f>"עמר ליגל"</f>
        <v>עמר ליגל</v>
      </c>
      <c r="U2994">
        <v>0</v>
      </c>
      <c r="V2994">
        <v>0</v>
      </c>
      <c r="W2994" s="2">
        <v>1446.4</v>
      </c>
      <c r="X2994" s="2">
        <v>2892.8</v>
      </c>
      <c r="AA2994">
        <v>2</v>
      </c>
      <c r="AC2994">
        <v>0</v>
      </c>
      <c r="AE2994">
        <v>0</v>
      </c>
      <c r="AF2994">
        <v>0</v>
      </c>
      <c r="AG2994" s="2">
        <v>5523.8</v>
      </c>
      <c r="AH2994">
        <v>0</v>
      </c>
      <c r="AI2994" s="2">
        <v>11047.6</v>
      </c>
      <c r="AJ2994" s="2">
        <v>2892.8</v>
      </c>
      <c r="AK2994" s="2">
        <v>2892.8</v>
      </c>
      <c r="AL2994" t="str">
        <f>"$"</f>
        <v>$</v>
      </c>
    </row>
    <row r="2995" spans="1:38" x14ac:dyDescent="0.3">
      <c r="A2995" t="str">
        <f>"SO23000475"</f>
        <v>SO23000475</v>
      </c>
      <c r="B2995" t="str">
        <f>"E000404638"</f>
        <v>E000404638</v>
      </c>
      <c r="C2995" t="str">
        <f>"טיוטא"</f>
        <v>טיוטא</v>
      </c>
      <c r="E2995" s="3">
        <v>45195</v>
      </c>
      <c r="F2995" s="3">
        <v>45356</v>
      </c>
      <c r="G2995" t="str">
        <f>"700065"</f>
        <v>700065</v>
      </c>
      <c r="H2995" t="str">
        <f>"אלתא מערכות בע""מ"</f>
        <v>אלתא מערכות בע"מ</v>
      </c>
      <c r="I2995" t="str">
        <f>"רחמים זרוק"</f>
        <v>רחמים זרוק</v>
      </c>
      <c r="J2995" t="str">
        <f>"OP-AR03964"</f>
        <v>OP-AR03964</v>
      </c>
      <c r="K2995" s="1" t="str">
        <f>"1032F348-001    HARNESS WB348 - LAB DEV - CSU JTAG"</f>
        <v>1032F348-001    HARNESS WB348 - LAB DEV - CSU JTAG</v>
      </c>
      <c r="L2995">
        <v>5</v>
      </c>
      <c r="O2995">
        <v>342.84</v>
      </c>
      <c r="P2995" t="str">
        <f>"$"</f>
        <v>$</v>
      </c>
      <c r="Q2995" t="str">
        <f>"117"</f>
        <v>117</v>
      </c>
      <c r="R2995" t="str">
        <f>"רתמות"</f>
        <v>רתמות</v>
      </c>
      <c r="S2995" t="str">
        <f>"040"</f>
        <v>040</v>
      </c>
      <c r="T2995" t="str">
        <f>"עמר ליגל"</f>
        <v>עמר ליגל</v>
      </c>
      <c r="U2995">
        <v>0</v>
      </c>
      <c r="V2995">
        <v>0</v>
      </c>
      <c r="W2995">
        <v>342.84</v>
      </c>
      <c r="X2995" s="2">
        <v>1714.2</v>
      </c>
      <c r="AA2995">
        <v>5</v>
      </c>
      <c r="AC2995">
        <v>0</v>
      </c>
      <c r="AE2995">
        <v>0</v>
      </c>
      <c r="AF2995">
        <v>0</v>
      </c>
      <c r="AG2995" s="2">
        <v>1309.31</v>
      </c>
      <c r="AH2995">
        <v>0</v>
      </c>
      <c r="AI2995" s="2">
        <v>6546.53</v>
      </c>
      <c r="AJ2995" s="2">
        <v>1714.2</v>
      </c>
      <c r="AK2995" s="2">
        <v>1714.2</v>
      </c>
      <c r="AL2995" t="str">
        <f>"$"</f>
        <v>$</v>
      </c>
    </row>
    <row r="2996" spans="1:38" x14ac:dyDescent="0.3">
      <c r="A2996" t="str">
        <f>"SO23000475"</f>
        <v>SO23000475</v>
      </c>
      <c r="B2996" t="str">
        <f>"E000404638"</f>
        <v>E000404638</v>
      </c>
      <c r="C2996" t="str">
        <f>"טיוטא"</f>
        <v>טיוטא</v>
      </c>
      <c r="E2996" s="3">
        <v>45195</v>
      </c>
      <c r="F2996" s="3">
        <v>45356</v>
      </c>
      <c r="G2996" t="str">
        <f>"700065"</f>
        <v>700065</v>
      </c>
      <c r="H2996" t="str">
        <f>"אלתא מערכות בע""מ"</f>
        <v>אלתא מערכות בע"מ</v>
      </c>
      <c r="I2996" t="str">
        <f>"רחמים זרוק"</f>
        <v>רחמים זרוק</v>
      </c>
      <c r="J2996" t="str">
        <f>"OP-AR03965"</f>
        <v>OP-AR03965</v>
      </c>
      <c r="K2996" s="1" t="str">
        <f>"1032F353-001    HARNESS WB353 - LAB DEV - FILTER POWER I"</f>
        <v>1032F353-001    HARNESS WB353 - LAB DEV - FILTER POWER I</v>
      </c>
      <c r="L2996">
        <v>5</v>
      </c>
      <c r="O2996">
        <v>261.41000000000003</v>
      </c>
      <c r="P2996" t="str">
        <f>"$"</f>
        <v>$</v>
      </c>
      <c r="Q2996" t="str">
        <f>"117"</f>
        <v>117</v>
      </c>
      <c r="R2996" t="str">
        <f>"רתמות"</f>
        <v>רתמות</v>
      </c>
      <c r="S2996" t="str">
        <f>"040"</f>
        <v>040</v>
      </c>
      <c r="T2996" t="str">
        <f>"עמר ליגל"</f>
        <v>עמר ליגל</v>
      </c>
      <c r="U2996">
        <v>0</v>
      </c>
      <c r="V2996">
        <v>0</v>
      </c>
      <c r="W2996">
        <v>261.41000000000003</v>
      </c>
      <c r="X2996" s="2">
        <v>1307.05</v>
      </c>
      <c r="AA2996">
        <v>5</v>
      </c>
      <c r="AC2996">
        <v>0</v>
      </c>
      <c r="AE2996">
        <v>0</v>
      </c>
      <c r="AF2996">
        <v>0</v>
      </c>
      <c r="AG2996">
        <v>998.32</v>
      </c>
      <c r="AH2996">
        <v>0</v>
      </c>
      <c r="AI2996" s="2">
        <v>4991.62</v>
      </c>
      <c r="AJ2996" s="2">
        <v>1307.05</v>
      </c>
      <c r="AK2996" s="2">
        <v>1307.05</v>
      </c>
      <c r="AL2996" t="str">
        <f>"$"</f>
        <v>$</v>
      </c>
    </row>
    <row r="2997" spans="1:38" x14ac:dyDescent="0.3">
      <c r="A2997" t="str">
        <f>"SO23000475"</f>
        <v>SO23000475</v>
      </c>
      <c r="B2997" t="str">
        <f>"E000404638"</f>
        <v>E000404638</v>
      </c>
      <c r="C2997" t="str">
        <f>"טיוטא"</f>
        <v>טיוטא</v>
      </c>
      <c r="E2997" s="3">
        <v>45195</v>
      </c>
      <c r="F2997" s="3">
        <v>45356</v>
      </c>
      <c r="G2997" t="str">
        <f>"700065"</f>
        <v>700065</v>
      </c>
      <c r="H2997" t="str">
        <f>"אלתא מערכות בע""מ"</f>
        <v>אלתא מערכות בע"מ</v>
      </c>
      <c r="I2997" t="str">
        <f>"רחמים זרוק"</f>
        <v>רחמים זרוק</v>
      </c>
      <c r="J2997" t="str">
        <f>"OP-AR03487"</f>
        <v>OP-AR03487</v>
      </c>
      <c r="K2997" s="1" t="str">
        <f>"1032F748-001    HARNESS W748 - RSU FRONT DEBUG"</f>
        <v>1032F748-001    HARNESS W748 - RSU FRONT DEBUG</v>
      </c>
      <c r="L2997">
        <v>2</v>
      </c>
      <c r="O2997">
        <v>926.49</v>
      </c>
      <c r="P2997" t="str">
        <f>"$"</f>
        <v>$</v>
      </c>
      <c r="Q2997" t="str">
        <f>"117"</f>
        <v>117</v>
      </c>
      <c r="R2997" t="str">
        <f>"רתמות"</f>
        <v>רתמות</v>
      </c>
      <c r="S2997" t="str">
        <f>"040"</f>
        <v>040</v>
      </c>
      <c r="T2997" t="str">
        <f>"עמר ליגל"</f>
        <v>עמר ליגל</v>
      </c>
      <c r="U2997">
        <v>0</v>
      </c>
      <c r="V2997">
        <v>0</v>
      </c>
      <c r="W2997">
        <v>926.49</v>
      </c>
      <c r="X2997" s="2">
        <v>1852.98</v>
      </c>
      <c r="AA2997">
        <v>2</v>
      </c>
      <c r="AC2997">
        <v>0</v>
      </c>
      <c r="AE2997">
        <v>0</v>
      </c>
      <c r="AF2997">
        <v>0</v>
      </c>
      <c r="AG2997" s="2">
        <v>3538.27</v>
      </c>
      <c r="AH2997">
        <v>0</v>
      </c>
      <c r="AI2997" s="2">
        <v>7076.53</v>
      </c>
      <c r="AJ2997" s="2">
        <v>1852.98</v>
      </c>
      <c r="AK2997" s="2">
        <v>1852.98</v>
      </c>
      <c r="AL2997" t="str">
        <f>"$"</f>
        <v>$</v>
      </c>
    </row>
    <row r="2998" spans="1:38" x14ac:dyDescent="0.3">
      <c r="A2998" t="str">
        <f>"SO23000475"</f>
        <v>SO23000475</v>
      </c>
      <c r="B2998" t="str">
        <f>"E000404638"</f>
        <v>E000404638</v>
      </c>
      <c r="C2998" t="str">
        <f>"טיוטא"</f>
        <v>טיוטא</v>
      </c>
      <c r="E2998" s="3">
        <v>45195</v>
      </c>
      <c r="F2998" s="3">
        <v>45356</v>
      </c>
      <c r="G2998" t="str">
        <f>"700065"</f>
        <v>700065</v>
      </c>
      <c r="H2998" t="str">
        <f>"אלתא מערכות בע""מ"</f>
        <v>אלתא מערכות בע"מ</v>
      </c>
      <c r="I2998" t="str">
        <f>"רחמים זרוק"</f>
        <v>רחמים זרוק</v>
      </c>
      <c r="J2998" t="str">
        <f>"OP-AR03966"</f>
        <v>OP-AR03966</v>
      </c>
      <c r="K2998" s="1" t="str">
        <f>"1032F961-001    ETHERNET CABLE WB961 - LAB MILTECH9012"</f>
        <v>1032F961-001    ETHERNET CABLE WB961 - LAB MILTECH9012</v>
      </c>
      <c r="L2998">
        <v>10</v>
      </c>
      <c r="O2998">
        <v>144.43</v>
      </c>
      <c r="P2998" t="str">
        <f>"$"</f>
        <v>$</v>
      </c>
      <c r="Q2998" t="str">
        <f>"117"</f>
        <v>117</v>
      </c>
      <c r="R2998" t="str">
        <f>"רתמות"</f>
        <v>רתמות</v>
      </c>
      <c r="S2998" t="str">
        <f>"040"</f>
        <v>040</v>
      </c>
      <c r="T2998" t="str">
        <f>"עמר ליגל"</f>
        <v>עמר ליגל</v>
      </c>
      <c r="U2998">
        <v>0</v>
      </c>
      <c r="V2998">
        <v>0</v>
      </c>
      <c r="W2998">
        <v>144.43</v>
      </c>
      <c r="X2998" s="2">
        <v>1444.3</v>
      </c>
      <c r="AA2998">
        <v>10</v>
      </c>
      <c r="AC2998">
        <v>0</v>
      </c>
      <c r="AE2998">
        <v>0</v>
      </c>
      <c r="AF2998">
        <v>0</v>
      </c>
      <c r="AG2998">
        <v>551.58000000000004</v>
      </c>
      <c r="AH2998">
        <v>0</v>
      </c>
      <c r="AI2998" s="2">
        <v>5515.78</v>
      </c>
      <c r="AJ2998" s="2">
        <v>1444.3</v>
      </c>
      <c r="AK2998" s="2">
        <v>1444.3</v>
      </c>
      <c r="AL2998" t="str">
        <f>"$"</f>
        <v>$</v>
      </c>
    </row>
    <row r="2999" spans="1:38" x14ac:dyDescent="0.3">
      <c r="A2999" t="str">
        <f>"SO23000475"</f>
        <v>SO23000475</v>
      </c>
      <c r="B2999" t="str">
        <f>"E000404638"</f>
        <v>E000404638</v>
      </c>
      <c r="C2999" t="str">
        <f>"טיוטא"</f>
        <v>טיוטא</v>
      </c>
      <c r="E2999" s="3">
        <v>45195</v>
      </c>
      <c r="F2999" s="3">
        <v>45356</v>
      </c>
      <c r="G2999" t="str">
        <f>"700065"</f>
        <v>700065</v>
      </c>
      <c r="H2999" t="str">
        <f>"אלתא מערכות בע""מ"</f>
        <v>אלתא מערכות בע"מ</v>
      </c>
      <c r="I2999" t="str">
        <f>"רחמים זרוק"</f>
        <v>רחמים זרוק</v>
      </c>
      <c r="J2999" t="str">
        <f>"OP-AR03967"</f>
        <v>OP-AR03967</v>
      </c>
      <c r="K2999" s="1" t="str">
        <f>"1032F962-001    ETHERNET CABLE WB962 - LAB MILTECH9028 A"</f>
        <v>1032F962-001    ETHERNET CABLE WB962 - LAB MILTECH9028 A</v>
      </c>
      <c r="L2999">
        <v>10</v>
      </c>
      <c r="O2999">
        <v>272.31</v>
      </c>
      <c r="P2999" t="str">
        <f>"$"</f>
        <v>$</v>
      </c>
      <c r="Q2999" t="str">
        <f>"117"</f>
        <v>117</v>
      </c>
      <c r="R2999" t="str">
        <f>"רתמות"</f>
        <v>רתמות</v>
      </c>
      <c r="S2999" t="str">
        <f>"040"</f>
        <v>040</v>
      </c>
      <c r="T2999" t="str">
        <f>"עמר ליגל"</f>
        <v>עמר ליגל</v>
      </c>
      <c r="U2999">
        <v>0</v>
      </c>
      <c r="V2999">
        <v>0</v>
      </c>
      <c r="W2999">
        <v>272.31</v>
      </c>
      <c r="X2999" s="2">
        <v>2723.1</v>
      </c>
      <c r="AA2999">
        <v>10</v>
      </c>
      <c r="AC2999">
        <v>0</v>
      </c>
      <c r="AE2999">
        <v>0</v>
      </c>
      <c r="AF2999">
        <v>0</v>
      </c>
      <c r="AG2999" s="2">
        <v>1039.95</v>
      </c>
      <c r="AH2999">
        <v>0</v>
      </c>
      <c r="AI2999" s="2">
        <v>10399.52</v>
      </c>
      <c r="AJ2999" s="2">
        <v>2723.1</v>
      </c>
      <c r="AK2999" s="2">
        <v>2723.1</v>
      </c>
      <c r="AL2999" t="str">
        <f>"$"</f>
        <v>$</v>
      </c>
    </row>
    <row r="3000" spans="1:38" x14ac:dyDescent="0.3">
      <c r="A3000" t="str">
        <f>"SO23000475"</f>
        <v>SO23000475</v>
      </c>
      <c r="B3000" t="str">
        <f>"E000404638"</f>
        <v>E000404638</v>
      </c>
      <c r="C3000" t="str">
        <f>"טיוטא"</f>
        <v>טיוטא</v>
      </c>
      <c r="E3000" s="3">
        <v>45195</v>
      </c>
      <c r="F3000" s="3">
        <v>45356</v>
      </c>
      <c r="G3000" t="str">
        <f>"700065"</f>
        <v>700065</v>
      </c>
      <c r="H3000" t="str">
        <f>"אלתא מערכות בע""מ"</f>
        <v>אלתא מערכות בע"מ</v>
      </c>
      <c r="I3000" t="str">
        <f>"רחמים זרוק"</f>
        <v>רחמים זרוק</v>
      </c>
      <c r="J3000" t="str">
        <f>"OP-AR03968"</f>
        <v>OP-AR03968</v>
      </c>
      <c r="K3000" s="1" t="str">
        <f>"1032F966-001    HARNESS WB966 - LAB - TBU1 - POWER AND C"</f>
        <v>1032F966-001    HARNESS WB966 - LAB - TBU1 - POWER AND C</v>
      </c>
      <c r="L3000">
        <v>1</v>
      </c>
      <c r="O3000">
        <v>394.15</v>
      </c>
      <c r="P3000" t="str">
        <f>"$"</f>
        <v>$</v>
      </c>
      <c r="Q3000" t="str">
        <f>"117"</f>
        <v>117</v>
      </c>
      <c r="R3000" t="str">
        <f>"רתמות"</f>
        <v>רתמות</v>
      </c>
      <c r="S3000" t="str">
        <f>"040"</f>
        <v>040</v>
      </c>
      <c r="T3000" t="str">
        <f>"עמר ליגל"</f>
        <v>עמר ליגל</v>
      </c>
      <c r="U3000">
        <v>0</v>
      </c>
      <c r="V3000">
        <v>0</v>
      </c>
      <c r="W3000">
        <v>394.15</v>
      </c>
      <c r="X3000">
        <v>394.15</v>
      </c>
      <c r="AA3000">
        <v>1</v>
      </c>
      <c r="AC3000">
        <v>0</v>
      </c>
      <c r="AE3000">
        <v>0</v>
      </c>
      <c r="AF3000">
        <v>0</v>
      </c>
      <c r="AG3000" s="2">
        <v>1505.26</v>
      </c>
      <c r="AH3000">
        <v>0</v>
      </c>
      <c r="AI3000" s="2">
        <v>1505.26</v>
      </c>
      <c r="AJ3000">
        <v>394.15</v>
      </c>
      <c r="AK3000">
        <v>394.15</v>
      </c>
      <c r="AL3000" t="str">
        <f>"$"</f>
        <v>$</v>
      </c>
    </row>
    <row r="3001" spans="1:38" x14ac:dyDescent="0.3">
      <c r="A3001" t="str">
        <f>"SO23000475"</f>
        <v>SO23000475</v>
      </c>
      <c r="B3001" t="str">
        <f>"E000404638"</f>
        <v>E000404638</v>
      </c>
      <c r="C3001" t="str">
        <f>"טיוטא"</f>
        <v>טיוטא</v>
      </c>
      <c r="E3001" s="3">
        <v>45195</v>
      </c>
      <c r="F3001" s="3">
        <v>45356</v>
      </c>
      <c r="G3001" t="str">
        <f>"700065"</f>
        <v>700065</v>
      </c>
      <c r="H3001" t="str">
        <f>"אלתא מערכות בע""מ"</f>
        <v>אלתא מערכות בע"מ</v>
      </c>
      <c r="I3001" t="str">
        <f>"רחמים זרוק"</f>
        <v>רחמים זרוק</v>
      </c>
      <c r="J3001" t="str">
        <f>"OP-AR03969"</f>
        <v>OP-AR03969</v>
      </c>
      <c r="K3001" s="1" t="str">
        <f>"1032F967-001    ETHERNET CABLE WB967 - LAB - FILTER P2 T"</f>
        <v>1032F967-001    ETHERNET CABLE WB967 - LAB - FILTER P2 T</v>
      </c>
      <c r="L3001">
        <v>5</v>
      </c>
      <c r="O3001">
        <v>143.30000000000001</v>
      </c>
      <c r="P3001" t="str">
        <f>"$"</f>
        <v>$</v>
      </c>
      <c r="Q3001" t="str">
        <f>"117"</f>
        <v>117</v>
      </c>
      <c r="R3001" t="str">
        <f>"רתמות"</f>
        <v>רתמות</v>
      </c>
      <c r="S3001" t="str">
        <f>"040"</f>
        <v>040</v>
      </c>
      <c r="T3001" t="str">
        <f>"עמר ליגל"</f>
        <v>עמר ליגל</v>
      </c>
      <c r="U3001">
        <v>0</v>
      </c>
      <c r="V3001">
        <v>0</v>
      </c>
      <c r="W3001">
        <v>143.30000000000001</v>
      </c>
      <c r="X3001">
        <v>716.5</v>
      </c>
      <c r="AA3001">
        <v>5</v>
      </c>
      <c r="AC3001">
        <v>0</v>
      </c>
      <c r="AE3001">
        <v>0</v>
      </c>
      <c r="AF3001">
        <v>0</v>
      </c>
      <c r="AG3001">
        <v>547.26</v>
      </c>
      <c r="AH3001">
        <v>0</v>
      </c>
      <c r="AI3001" s="2">
        <v>2736.31</v>
      </c>
      <c r="AJ3001">
        <v>716.5</v>
      </c>
      <c r="AK3001">
        <v>716.5</v>
      </c>
      <c r="AL3001" t="str">
        <f>"$"</f>
        <v>$</v>
      </c>
    </row>
    <row r="3002" spans="1:38" x14ac:dyDescent="0.3">
      <c r="A3002" t="str">
        <f>"SO23000475"</f>
        <v>SO23000475</v>
      </c>
      <c r="B3002" t="str">
        <f>"E000404638"</f>
        <v>E000404638</v>
      </c>
      <c r="C3002" t="str">
        <f>"טיוטא"</f>
        <v>טיוטא</v>
      </c>
      <c r="E3002" s="3">
        <v>45195</v>
      </c>
      <c r="F3002" s="3">
        <v>45356</v>
      </c>
      <c r="G3002" t="str">
        <f>"700065"</f>
        <v>700065</v>
      </c>
      <c r="H3002" t="str">
        <f>"אלתא מערכות בע""מ"</f>
        <v>אלתא מערכות בע"מ</v>
      </c>
      <c r="I3002" t="str">
        <f>"רחמים זרוק"</f>
        <v>רחמים זרוק</v>
      </c>
      <c r="J3002" t="str">
        <f>"OP-AR01690"</f>
        <v>OP-AR01690</v>
      </c>
      <c r="K3002" s="1" t="str">
        <f>"1032F971-001 HARNESS WB971 LAB RSU NG P7 DEBUG"</f>
        <v>1032F971-001 HARNESS WB971 LAB RSU NG P7 DEBUG</v>
      </c>
      <c r="L3002">
        <v>2</v>
      </c>
      <c r="O3002">
        <v>749.6</v>
      </c>
      <c r="P3002" t="str">
        <f>"$"</f>
        <v>$</v>
      </c>
      <c r="Q3002" t="str">
        <f>"117"</f>
        <v>117</v>
      </c>
      <c r="R3002" t="str">
        <f>"רתמות"</f>
        <v>רתמות</v>
      </c>
      <c r="S3002" t="str">
        <f>"040"</f>
        <v>040</v>
      </c>
      <c r="T3002" t="str">
        <f>"עמר ליגל"</f>
        <v>עמר ליגל</v>
      </c>
      <c r="U3002">
        <v>0</v>
      </c>
      <c r="V3002">
        <v>0</v>
      </c>
      <c r="W3002">
        <v>749.6</v>
      </c>
      <c r="X3002" s="2">
        <v>1499.2</v>
      </c>
      <c r="AA3002">
        <v>2</v>
      </c>
      <c r="AC3002">
        <v>0</v>
      </c>
      <c r="AE3002">
        <v>0</v>
      </c>
      <c r="AF3002">
        <v>0</v>
      </c>
      <c r="AG3002" s="2">
        <v>2862.72</v>
      </c>
      <c r="AH3002">
        <v>0</v>
      </c>
      <c r="AI3002" s="2">
        <v>5725.44</v>
      </c>
      <c r="AJ3002" s="2">
        <v>1499.2</v>
      </c>
      <c r="AK3002" s="2">
        <v>1499.2</v>
      </c>
      <c r="AL3002" t="str">
        <f>"$"</f>
        <v>$</v>
      </c>
    </row>
    <row r="3003" spans="1:38" x14ac:dyDescent="0.3">
      <c r="A3003" t="str">
        <f>"SO23000475"</f>
        <v>SO23000475</v>
      </c>
      <c r="B3003" t="str">
        <f>"E000404638"</f>
        <v>E000404638</v>
      </c>
      <c r="C3003" t="str">
        <f>"טיוטא"</f>
        <v>טיוטא</v>
      </c>
      <c r="E3003" s="3">
        <v>45195</v>
      </c>
      <c r="F3003" s="3">
        <v>45356</v>
      </c>
      <c r="G3003" t="str">
        <f>"700065"</f>
        <v>700065</v>
      </c>
      <c r="H3003" t="str">
        <f>"אלתא מערכות בע""מ"</f>
        <v>אלתא מערכות בע"מ</v>
      </c>
      <c r="I3003" t="str">
        <f>"רחמים זרוק"</f>
        <v>רחמים זרוק</v>
      </c>
      <c r="J3003" t="str">
        <f>"OP-AR03970"</f>
        <v>OP-AR03970</v>
      </c>
      <c r="K3003" s="1" t="str">
        <f>"1033M021-001    CABLE ASSY BURN PDI"</f>
        <v>1033M021-001    CABLE ASSY BURN PDI</v>
      </c>
      <c r="L3003">
        <v>5</v>
      </c>
      <c r="O3003">
        <v>278.08999999999997</v>
      </c>
      <c r="P3003" t="str">
        <f>"$"</f>
        <v>$</v>
      </c>
      <c r="Q3003" t="str">
        <f>"117"</f>
        <v>117</v>
      </c>
      <c r="R3003" t="str">
        <f>"רתמות"</f>
        <v>רתמות</v>
      </c>
      <c r="S3003" t="str">
        <f>"040"</f>
        <v>040</v>
      </c>
      <c r="T3003" t="str">
        <f>"עמר ליגל"</f>
        <v>עמר ליגל</v>
      </c>
      <c r="U3003">
        <v>0</v>
      </c>
      <c r="V3003">
        <v>0</v>
      </c>
      <c r="W3003">
        <v>278.08999999999997</v>
      </c>
      <c r="X3003" s="2">
        <v>1390.45</v>
      </c>
      <c r="AA3003">
        <v>5</v>
      </c>
      <c r="AC3003">
        <v>0</v>
      </c>
      <c r="AE3003">
        <v>0</v>
      </c>
      <c r="AF3003">
        <v>0</v>
      </c>
      <c r="AG3003" s="2">
        <v>1062.03</v>
      </c>
      <c r="AH3003">
        <v>0</v>
      </c>
      <c r="AI3003" s="2">
        <v>5310.13</v>
      </c>
      <c r="AJ3003" s="2">
        <v>1390.45</v>
      </c>
      <c r="AK3003" s="2">
        <v>1390.45</v>
      </c>
      <c r="AL3003" t="str">
        <f>"$"</f>
        <v>$</v>
      </c>
    </row>
    <row r="3004" spans="1:38" x14ac:dyDescent="0.3">
      <c r="A3004" t="str">
        <f>"SO23000475"</f>
        <v>SO23000475</v>
      </c>
      <c r="B3004" t="str">
        <f>"E000404638"</f>
        <v>E000404638</v>
      </c>
      <c r="C3004" t="str">
        <f>"טיוטא"</f>
        <v>טיוטא</v>
      </c>
      <c r="E3004" s="3">
        <v>45195</v>
      </c>
      <c r="F3004" s="3">
        <v>45356</v>
      </c>
      <c r="G3004" t="str">
        <f>"700065"</f>
        <v>700065</v>
      </c>
      <c r="H3004" t="str">
        <f>"אלתא מערכות בע""מ"</f>
        <v>אלתא מערכות בע"מ</v>
      </c>
      <c r="I3004" t="str">
        <f>"רחמים זרוק"</f>
        <v>רחמים זרוק</v>
      </c>
      <c r="J3004" t="str">
        <f>"OP-AR02697"</f>
        <v>OP-AR02697</v>
      </c>
      <c r="K3004" s="1" t="str">
        <f>"1093E125-001   CSU CABLE"</f>
        <v>1093E125-001   CSU CABLE</v>
      </c>
      <c r="L3004">
        <v>3</v>
      </c>
      <c r="O3004">
        <v>225.95</v>
      </c>
      <c r="P3004" t="str">
        <f>"$"</f>
        <v>$</v>
      </c>
      <c r="Q3004" t="str">
        <f>"117"</f>
        <v>117</v>
      </c>
      <c r="R3004" t="str">
        <f>"רתמות"</f>
        <v>רתמות</v>
      </c>
      <c r="S3004" t="str">
        <f>"040"</f>
        <v>040</v>
      </c>
      <c r="T3004" t="str">
        <f>"עמר ליגל"</f>
        <v>עמר ליגל</v>
      </c>
      <c r="U3004">
        <v>0</v>
      </c>
      <c r="V3004">
        <v>0</v>
      </c>
      <c r="W3004">
        <v>225.95</v>
      </c>
      <c r="X3004">
        <v>677.85</v>
      </c>
      <c r="AA3004">
        <v>3</v>
      </c>
      <c r="AC3004">
        <v>0</v>
      </c>
      <c r="AE3004">
        <v>0</v>
      </c>
      <c r="AF3004">
        <v>0</v>
      </c>
      <c r="AG3004">
        <v>862.9</v>
      </c>
      <c r="AH3004">
        <v>0</v>
      </c>
      <c r="AI3004" s="2">
        <v>2588.71</v>
      </c>
      <c r="AJ3004">
        <v>677.85</v>
      </c>
      <c r="AK3004">
        <v>677.85</v>
      </c>
      <c r="AL3004" t="str">
        <f>"$"</f>
        <v>$</v>
      </c>
    </row>
    <row r="3005" spans="1:38" x14ac:dyDescent="0.3">
      <c r="A3005" t="str">
        <f>"SO23000475"</f>
        <v>SO23000475</v>
      </c>
      <c r="B3005" t="str">
        <f>"E000404638"</f>
        <v>E000404638</v>
      </c>
      <c r="C3005" t="str">
        <f>"טיוטא"</f>
        <v>טיוטא</v>
      </c>
      <c r="E3005" s="3">
        <v>45195</v>
      </c>
      <c r="F3005" s="3">
        <v>45356</v>
      </c>
      <c r="G3005" t="str">
        <f>"700065"</f>
        <v>700065</v>
      </c>
      <c r="H3005" t="str">
        <f>"אלתא מערכות בע""מ"</f>
        <v>אלתא מערכות בע"מ</v>
      </c>
      <c r="I3005" t="str">
        <f>"רחמים זרוק"</f>
        <v>רחמים זרוק</v>
      </c>
      <c r="J3005" t="str">
        <f>"OP-AR03971"</f>
        <v>OP-AR03971</v>
      </c>
      <c r="K3005" s="1" t="str">
        <f>"2025E122-001    NOVA PE'S LAB CABLE"</f>
        <v>2025E122-001    NOVA PE'S LAB CABLE</v>
      </c>
      <c r="L3005">
        <v>6</v>
      </c>
      <c r="O3005">
        <v>923.06</v>
      </c>
      <c r="P3005" t="str">
        <f>"$"</f>
        <v>$</v>
      </c>
      <c r="Q3005" t="str">
        <f>"117"</f>
        <v>117</v>
      </c>
      <c r="R3005" t="str">
        <f>"רתמות"</f>
        <v>רתמות</v>
      </c>
      <c r="S3005" t="str">
        <f>"040"</f>
        <v>040</v>
      </c>
      <c r="T3005" t="str">
        <f>"עמר ליגל"</f>
        <v>עמר ליגל</v>
      </c>
      <c r="U3005">
        <v>0</v>
      </c>
      <c r="V3005">
        <v>0</v>
      </c>
      <c r="W3005">
        <v>923.06</v>
      </c>
      <c r="X3005" s="2">
        <v>5538.36</v>
      </c>
      <c r="AA3005">
        <v>6</v>
      </c>
      <c r="AC3005">
        <v>0</v>
      </c>
      <c r="AE3005">
        <v>0</v>
      </c>
      <c r="AF3005">
        <v>0</v>
      </c>
      <c r="AG3005" s="2">
        <v>3525.17</v>
      </c>
      <c r="AH3005">
        <v>0</v>
      </c>
      <c r="AI3005" s="2">
        <v>21151</v>
      </c>
      <c r="AJ3005" s="2">
        <v>5538.36</v>
      </c>
      <c r="AK3005" s="2">
        <v>5538.36</v>
      </c>
      <c r="AL3005" t="str">
        <f>"$"</f>
        <v>$</v>
      </c>
    </row>
    <row r="3006" spans="1:38" x14ac:dyDescent="0.3">
      <c r="A3006" t="str">
        <f>"SO23000475"</f>
        <v>SO23000475</v>
      </c>
      <c r="B3006" t="str">
        <f>"E000404638"</f>
        <v>E000404638</v>
      </c>
      <c r="C3006" t="str">
        <f>"טיוטא"</f>
        <v>טיוטא</v>
      </c>
      <c r="E3006" s="3">
        <v>45195</v>
      </c>
      <c r="F3006" s="3">
        <v>45356</v>
      </c>
      <c r="G3006" t="str">
        <f>"700065"</f>
        <v>700065</v>
      </c>
      <c r="H3006" t="str">
        <f>"אלתא מערכות בע""מ"</f>
        <v>אלתא מערכות בע"מ</v>
      </c>
      <c r="I3006" t="str">
        <f>"רחמים זרוק"</f>
        <v>רחמים זרוק</v>
      </c>
      <c r="J3006" t="str">
        <f>"OP-AR03972"</f>
        <v>OP-AR03972</v>
      </c>
      <c r="K3006" s="1" t="str">
        <f>"2025E123-001    NOVA SYS IO LAB CABLE"</f>
        <v>2025E123-001    NOVA SYS IO LAB CABLE</v>
      </c>
      <c r="L3006">
        <v>3</v>
      </c>
      <c r="O3006">
        <v>967.95</v>
      </c>
      <c r="P3006" t="str">
        <f>"$"</f>
        <v>$</v>
      </c>
      <c r="Q3006" t="str">
        <f>"117"</f>
        <v>117</v>
      </c>
      <c r="R3006" t="str">
        <f>"רתמות"</f>
        <v>רתמות</v>
      </c>
      <c r="S3006" t="str">
        <f>"040"</f>
        <v>040</v>
      </c>
      <c r="T3006" t="str">
        <f>"עמר ליגל"</f>
        <v>עמר ליגל</v>
      </c>
      <c r="U3006">
        <v>0</v>
      </c>
      <c r="V3006">
        <v>0</v>
      </c>
      <c r="W3006">
        <v>967.95</v>
      </c>
      <c r="X3006" s="2">
        <v>2903.85</v>
      </c>
      <c r="AA3006">
        <v>3</v>
      </c>
      <c r="AC3006">
        <v>0</v>
      </c>
      <c r="AE3006">
        <v>0</v>
      </c>
      <c r="AF3006">
        <v>0</v>
      </c>
      <c r="AG3006" s="2">
        <v>3696.6</v>
      </c>
      <c r="AH3006">
        <v>0</v>
      </c>
      <c r="AI3006" s="2">
        <v>11089.8</v>
      </c>
      <c r="AJ3006" s="2">
        <v>2903.85</v>
      </c>
      <c r="AK3006" s="2">
        <v>2903.85</v>
      </c>
      <c r="AL3006" t="str">
        <f>"$"</f>
        <v>$</v>
      </c>
    </row>
    <row r="3007" spans="1:38" x14ac:dyDescent="0.3">
      <c r="A3007" t="str">
        <f>"SO23000475"</f>
        <v>SO23000475</v>
      </c>
      <c r="B3007" t="str">
        <f>"E000404638"</f>
        <v>E000404638</v>
      </c>
      <c r="C3007" t="str">
        <f>"טיוטא"</f>
        <v>טיוטא</v>
      </c>
      <c r="E3007" s="3">
        <v>45195</v>
      </c>
      <c r="F3007" s="3">
        <v>45356</v>
      </c>
      <c r="G3007" t="str">
        <f>"700065"</f>
        <v>700065</v>
      </c>
      <c r="H3007" t="str">
        <f>"אלתא מערכות בע""מ"</f>
        <v>אלתא מערכות בע"מ</v>
      </c>
      <c r="I3007" t="str">
        <f>"רחמים זרוק"</f>
        <v>רחמים זרוק</v>
      </c>
      <c r="J3007" t="str">
        <f>"OP-AR03972"</f>
        <v>OP-AR03972</v>
      </c>
      <c r="K3007" s="1" t="str">
        <f>"2025E123-001    NOVA SYS IO LAB CABLE"</f>
        <v>2025E123-001    NOVA SYS IO LAB CABLE</v>
      </c>
      <c r="L3007">
        <v>3</v>
      </c>
      <c r="O3007">
        <v>967.95</v>
      </c>
      <c r="P3007" t="str">
        <f>"$"</f>
        <v>$</v>
      </c>
      <c r="Q3007" t="str">
        <f>"117"</f>
        <v>117</v>
      </c>
      <c r="R3007" t="str">
        <f>"רתמות"</f>
        <v>רתמות</v>
      </c>
      <c r="S3007" t="str">
        <f>"040"</f>
        <v>040</v>
      </c>
      <c r="T3007" t="str">
        <f>"עמר ליגל"</f>
        <v>עמר ליגל</v>
      </c>
      <c r="U3007">
        <v>0</v>
      </c>
      <c r="V3007">
        <v>0</v>
      </c>
      <c r="W3007">
        <v>967.95</v>
      </c>
      <c r="X3007" s="2">
        <v>2903.85</v>
      </c>
      <c r="AA3007">
        <v>3</v>
      </c>
      <c r="AC3007">
        <v>0</v>
      </c>
      <c r="AE3007">
        <v>0</v>
      </c>
      <c r="AF3007">
        <v>0</v>
      </c>
      <c r="AG3007" s="2">
        <v>3696.6</v>
      </c>
      <c r="AH3007">
        <v>0</v>
      </c>
      <c r="AI3007" s="2">
        <v>11089.8</v>
      </c>
      <c r="AJ3007" s="2">
        <v>2903.85</v>
      </c>
      <c r="AK3007" s="2">
        <v>2903.85</v>
      </c>
      <c r="AL3007" t="str">
        <f>"$"</f>
        <v>$</v>
      </c>
    </row>
    <row r="3008" spans="1:38" x14ac:dyDescent="0.3">
      <c r="A3008" t="str">
        <f>"SO23000475"</f>
        <v>SO23000475</v>
      </c>
      <c r="B3008" t="str">
        <f>"E000404638"</f>
        <v>E000404638</v>
      </c>
      <c r="C3008" t="str">
        <f>"טיוטא"</f>
        <v>טיוטא</v>
      </c>
      <c r="E3008" s="3">
        <v>45195</v>
      </c>
      <c r="F3008" s="3">
        <v>45356</v>
      </c>
      <c r="G3008" t="str">
        <f>"700065"</f>
        <v>700065</v>
      </c>
      <c r="H3008" t="str">
        <f>"אלתא מערכות בע""מ"</f>
        <v>אלתא מערכות בע"מ</v>
      </c>
      <c r="I3008" t="str">
        <f>"רחמים זרוק"</f>
        <v>רחמים זרוק</v>
      </c>
      <c r="J3008" t="str">
        <f>"OP-AR03973"</f>
        <v>OP-AR03973</v>
      </c>
      <c r="K3008" s="1" t="str">
        <f>"9009M462-001    HARNESS WRS62 - RSU-ETH 1G"</f>
        <v>9009M462-001    HARNESS WRS62 - RSU-ETH 1G</v>
      </c>
      <c r="L3008">
        <v>3</v>
      </c>
      <c r="O3008">
        <v>260.76</v>
      </c>
      <c r="P3008" t="str">
        <f>"$"</f>
        <v>$</v>
      </c>
      <c r="Q3008" t="str">
        <f>"117"</f>
        <v>117</v>
      </c>
      <c r="R3008" t="str">
        <f>"רתמות"</f>
        <v>רתמות</v>
      </c>
      <c r="S3008" t="str">
        <f>"040"</f>
        <v>040</v>
      </c>
      <c r="T3008" t="str">
        <f>"עמר ליגל"</f>
        <v>עמר ליגל</v>
      </c>
      <c r="U3008">
        <v>0</v>
      </c>
      <c r="V3008">
        <v>0</v>
      </c>
      <c r="W3008">
        <v>260.76</v>
      </c>
      <c r="X3008">
        <v>782.28</v>
      </c>
      <c r="AA3008">
        <v>3</v>
      </c>
      <c r="AC3008">
        <v>0</v>
      </c>
      <c r="AE3008">
        <v>0</v>
      </c>
      <c r="AF3008">
        <v>0</v>
      </c>
      <c r="AG3008">
        <v>995.84</v>
      </c>
      <c r="AH3008">
        <v>0</v>
      </c>
      <c r="AI3008" s="2">
        <v>2987.53</v>
      </c>
      <c r="AJ3008">
        <v>782.28</v>
      </c>
      <c r="AK3008">
        <v>782.28</v>
      </c>
      <c r="AL3008" t="str">
        <f>"$"</f>
        <v>$</v>
      </c>
    </row>
    <row r="3009" spans="1:38" x14ac:dyDescent="0.3">
      <c r="A3009" t="str">
        <f>"SO23000475"</f>
        <v>SO23000475</v>
      </c>
      <c r="B3009" t="str">
        <f>"E000404638"</f>
        <v>E000404638</v>
      </c>
      <c r="C3009" t="str">
        <f>"טיוטא"</f>
        <v>טיוטא</v>
      </c>
      <c r="E3009" s="3">
        <v>45195</v>
      </c>
      <c r="F3009" s="3">
        <v>45356</v>
      </c>
      <c r="G3009" t="str">
        <f>"700065"</f>
        <v>700065</v>
      </c>
      <c r="H3009" t="str">
        <f>"אלתא מערכות בע""מ"</f>
        <v>אלתא מערכות בע"מ</v>
      </c>
      <c r="I3009" t="str">
        <f>"רחמים זרוק"</f>
        <v>רחמים זרוק</v>
      </c>
      <c r="J3009" t="str">
        <f>"OP-AR03964"</f>
        <v>OP-AR03964</v>
      </c>
      <c r="K3009" s="1" t="str">
        <f>"1032F348-001    HARNESS WB348 - LAB DEV - CSU JTAG"</f>
        <v>1032F348-001    HARNESS WB348 - LAB DEV - CSU JTAG</v>
      </c>
      <c r="L3009">
        <v>1</v>
      </c>
      <c r="O3009">
        <v>342.84</v>
      </c>
      <c r="P3009" t="str">
        <f>"$"</f>
        <v>$</v>
      </c>
      <c r="Q3009" t="str">
        <f>"117"</f>
        <v>117</v>
      </c>
      <c r="R3009" t="str">
        <f>"רתמות"</f>
        <v>רתמות</v>
      </c>
      <c r="S3009" t="str">
        <f>"040"</f>
        <v>040</v>
      </c>
      <c r="T3009" t="str">
        <f>"עמר ליגל"</f>
        <v>עמר ליגל</v>
      </c>
      <c r="U3009">
        <v>0</v>
      </c>
      <c r="V3009">
        <v>0</v>
      </c>
      <c r="W3009">
        <v>342.84</v>
      </c>
      <c r="X3009">
        <v>342.84</v>
      </c>
      <c r="AA3009">
        <v>1</v>
      </c>
      <c r="AC3009">
        <v>0</v>
      </c>
      <c r="AE3009">
        <v>0</v>
      </c>
      <c r="AF3009">
        <v>0</v>
      </c>
      <c r="AG3009" s="2">
        <v>1309.31</v>
      </c>
      <c r="AH3009">
        <v>0</v>
      </c>
      <c r="AI3009" s="2">
        <v>1309.31</v>
      </c>
      <c r="AJ3009">
        <v>342.84</v>
      </c>
      <c r="AK3009">
        <v>342.84</v>
      </c>
      <c r="AL3009" t="str">
        <f>"$"</f>
        <v>$</v>
      </c>
    </row>
    <row r="3010" spans="1:38" x14ac:dyDescent="0.3">
      <c r="A3010" t="str">
        <f>"SO23000475"</f>
        <v>SO23000475</v>
      </c>
      <c r="B3010" t="str">
        <f>"E000404638"</f>
        <v>E000404638</v>
      </c>
      <c r="C3010" t="str">
        <f>"טיוטא"</f>
        <v>טיוטא</v>
      </c>
      <c r="E3010" s="3">
        <v>45195</v>
      </c>
      <c r="F3010" s="3">
        <v>45356</v>
      </c>
      <c r="G3010" t="str">
        <f>"700065"</f>
        <v>700065</v>
      </c>
      <c r="H3010" t="str">
        <f>"אלתא מערכות בע""מ"</f>
        <v>אלתא מערכות בע"מ</v>
      </c>
      <c r="I3010" t="str">
        <f>"רחמים זרוק"</f>
        <v>רחמים זרוק</v>
      </c>
      <c r="J3010" t="str">
        <f>"OP-AR03965"</f>
        <v>OP-AR03965</v>
      </c>
      <c r="K3010" s="1" t="str">
        <f>"1032F353-001    HARNESS WB353 - LAB DEV - FILTER POWER I"</f>
        <v>1032F353-001    HARNESS WB353 - LAB DEV - FILTER POWER I</v>
      </c>
      <c r="L3010">
        <v>1</v>
      </c>
      <c r="O3010">
        <v>261.41000000000003</v>
      </c>
      <c r="P3010" t="str">
        <f>"$"</f>
        <v>$</v>
      </c>
      <c r="Q3010" t="str">
        <f>"117"</f>
        <v>117</v>
      </c>
      <c r="R3010" t="str">
        <f>"רתמות"</f>
        <v>רתמות</v>
      </c>
      <c r="S3010" t="str">
        <f>"040"</f>
        <v>040</v>
      </c>
      <c r="T3010" t="str">
        <f>"עמר ליגל"</f>
        <v>עמר ליגל</v>
      </c>
      <c r="U3010">
        <v>0</v>
      </c>
      <c r="V3010">
        <v>0</v>
      </c>
      <c r="W3010">
        <v>261.41000000000003</v>
      </c>
      <c r="X3010">
        <v>261.41000000000003</v>
      </c>
      <c r="AA3010">
        <v>1</v>
      </c>
      <c r="AC3010">
        <v>0</v>
      </c>
      <c r="AE3010">
        <v>0</v>
      </c>
      <c r="AF3010">
        <v>0</v>
      </c>
      <c r="AG3010">
        <v>998.32</v>
      </c>
      <c r="AH3010">
        <v>0</v>
      </c>
      <c r="AI3010">
        <v>998.32</v>
      </c>
      <c r="AJ3010">
        <v>261.41000000000003</v>
      </c>
      <c r="AK3010">
        <v>261.41000000000003</v>
      </c>
      <c r="AL3010" t="str">
        <f>"$"</f>
        <v>$</v>
      </c>
    </row>
    <row r="3011" spans="1:38" x14ac:dyDescent="0.3">
      <c r="A3011" t="str">
        <f>"SO23000475"</f>
        <v>SO23000475</v>
      </c>
      <c r="B3011" t="str">
        <f>"E000404638"</f>
        <v>E000404638</v>
      </c>
      <c r="C3011" t="str">
        <f>"טיוטא"</f>
        <v>טיוטא</v>
      </c>
      <c r="E3011" s="3">
        <v>45195</v>
      </c>
      <c r="F3011" s="3">
        <v>45356</v>
      </c>
      <c r="G3011" t="str">
        <f>"700065"</f>
        <v>700065</v>
      </c>
      <c r="H3011" t="str">
        <f>"אלתא מערכות בע""מ"</f>
        <v>אלתא מערכות בע"מ</v>
      </c>
      <c r="I3011" t="str">
        <f>"רחמים זרוק"</f>
        <v>רחמים זרוק</v>
      </c>
      <c r="J3011" t="str">
        <f>"OP-AR03487"</f>
        <v>OP-AR03487</v>
      </c>
      <c r="K3011" s="1" t="str">
        <f>"1032F748-001    HARNESS W748 - RSU FRONT DEBUG"</f>
        <v>1032F748-001    HARNESS W748 - RSU FRONT DEBUG</v>
      </c>
      <c r="L3011">
        <v>1</v>
      </c>
      <c r="O3011">
        <v>926.49</v>
      </c>
      <c r="P3011" t="str">
        <f>"$"</f>
        <v>$</v>
      </c>
      <c r="Q3011" t="str">
        <f>"117"</f>
        <v>117</v>
      </c>
      <c r="R3011" t="str">
        <f>"רתמות"</f>
        <v>רתמות</v>
      </c>
      <c r="S3011" t="str">
        <f>"040"</f>
        <v>040</v>
      </c>
      <c r="T3011" t="str">
        <f>"עמר ליגל"</f>
        <v>עמר ליגל</v>
      </c>
      <c r="U3011">
        <v>0</v>
      </c>
      <c r="V3011">
        <v>0</v>
      </c>
      <c r="W3011">
        <v>926.49</v>
      </c>
      <c r="X3011">
        <v>926.49</v>
      </c>
      <c r="AA3011">
        <v>1</v>
      </c>
      <c r="AC3011">
        <v>0</v>
      </c>
      <c r="AE3011">
        <v>0</v>
      </c>
      <c r="AF3011">
        <v>0</v>
      </c>
      <c r="AG3011" s="2">
        <v>3538.27</v>
      </c>
      <c r="AH3011">
        <v>0</v>
      </c>
      <c r="AI3011" s="2">
        <v>3538.27</v>
      </c>
      <c r="AJ3011">
        <v>926.49</v>
      </c>
      <c r="AK3011">
        <v>926.49</v>
      </c>
      <c r="AL3011" t="str">
        <f>"$"</f>
        <v>$</v>
      </c>
    </row>
    <row r="3012" spans="1:38" x14ac:dyDescent="0.3">
      <c r="A3012" t="str">
        <f>"SO23000475"</f>
        <v>SO23000475</v>
      </c>
      <c r="B3012" t="str">
        <f>"E000404638"</f>
        <v>E000404638</v>
      </c>
      <c r="C3012" t="str">
        <f>"טיוטא"</f>
        <v>טיוטא</v>
      </c>
      <c r="E3012" s="3">
        <v>45195</v>
      </c>
      <c r="F3012" s="3">
        <v>45356</v>
      </c>
      <c r="G3012" t="str">
        <f>"700065"</f>
        <v>700065</v>
      </c>
      <c r="H3012" t="str">
        <f>"אלתא מערכות בע""מ"</f>
        <v>אלתא מערכות בע"מ</v>
      </c>
      <c r="I3012" t="str">
        <f>"רחמים זרוק"</f>
        <v>רחמים זרוק</v>
      </c>
      <c r="J3012" t="str">
        <f>"OP-AR03966"</f>
        <v>OP-AR03966</v>
      </c>
      <c r="K3012" s="1" t="str">
        <f>"1032F961-001    ETHERNET CABLE WB961 - LAB MILTECH9012"</f>
        <v>1032F961-001    ETHERNET CABLE WB961 - LAB MILTECH9012</v>
      </c>
      <c r="L3012">
        <v>2</v>
      </c>
      <c r="O3012">
        <v>144.43</v>
      </c>
      <c r="P3012" t="str">
        <f>"$"</f>
        <v>$</v>
      </c>
      <c r="Q3012" t="str">
        <f>"117"</f>
        <v>117</v>
      </c>
      <c r="R3012" t="str">
        <f>"רתמות"</f>
        <v>רתמות</v>
      </c>
      <c r="S3012" t="str">
        <f>"040"</f>
        <v>040</v>
      </c>
      <c r="T3012" t="str">
        <f>"עמר ליגל"</f>
        <v>עמר ליגל</v>
      </c>
      <c r="U3012">
        <v>0</v>
      </c>
      <c r="V3012">
        <v>0</v>
      </c>
      <c r="W3012">
        <v>144.43</v>
      </c>
      <c r="X3012">
        <v>288.86</v>
      </c>
      <c r="AA3012">
        <v>2</v>
      </c>
      <c r="AC3012">
        <v>0</v>
      </c>
      <c r="AE3012">
        <v>0</v>
      </c>
      <c r="AF3012">
        <v>0</v>
      </c>
      <c r="AG3012">
        <v>551.58000000000004</v>
      </c>
      <c r="AH3012">
        <v>0</v>
      </c>
      <c r="AI3012" s="2">
        <v>1103.1600000000001</v>
      </c>
      <c r="AJ3012">
        <v>288.86</v>
      </c>
      <c r="AK3012">
        <v>288.86</v>
      </c>
      <c r="AL3012" t="str">
        <f>"$"</f>
        <v>$</v>
      </c>
    </row>
    <row r="3013" spans="1:38" x14ac:dyDescent="0.3">
      <c r="A3013" t="str">
        <f>"SO23000475"</f>
        <v>SO23000475</v>
      </c>
      <c r="B3013" t="str">
        <f>"E000404638"</f>
        <v>E000404638</v>
      </c>
      <c r="C3013" t="str">
        <f>"טיוטא"</f>
        <v>טיוטא</v>
      </c>
      <c r="E3013" s="3">
        <v>45195</v>
      </c>
      <c r="F3013" s="3">
        <v>45356</v>
      </c>
      <c r="G3013" t="str">
        <f>"700065"</f>
        <v>700065</v>
      </c>
      <c r="H3013" t="str">
        <f>"אלתא מערכות בע""מ"</f>
        <v>אלתא מערכות בע"מ</v>
      </c>
      <c r="I3013" t="str">
        <f>"רחמים זרוק"</f>
        <v>רחמים זרוק</v>
      </c>
      <c r="J3013" t="str">
        <f>"OP-AR03967"</f>
        <v>OP-AR03967</v>
      </c>
      <c r="K3013" s="1" t="str">
        <f>"1032F962-001    ETHERNET CABLE WB962 - LAB MILTECH9028 A"</f>
        <v>1032F962-001    ETHERNET CABLE WB962 - LAB MILTECH9028 A</v>
      </c>
      <c r="L3013">
        <v>2</v>
      </c>
      <c r="O3013">
        <v>272.31</v>
      </c>
      <c r="P3013" t="str">
        <f>"$"</f>
        <v>$</v>
      </c>
      <c r="Q3013" t="str">
        <f>"117"</f>
        <v>117</v>
      </c>
      <c r="R3013" t="str">
        <f>"רתמות"</f>
        <v>רתמות</v>
      </c>
      <c r="S3013" t="str">
        <f>"040"</f>
        <v>040</v>
      </c>
      <c r="T3013" t="str">
        <f>"עמר ליגל"</f>
        <v>עמר ליגל</v>
      </c>
      <c r="U3013">
        <v>0</v>
      </c>
      <c r="V3013">
        <v>0</v>
      </c>
      <c r="W3013">
        <v>272.31</v>
      </c>
      <c r="X3013">
        <v>544.62</v>
      </c>
      <c r="AA3013">
        <v>2</v>
      </c>
      <c r="AC3013">
        <v>0</v>
      </c>
      <c r="AE3013">
        <v>0</v>
      </c>
      <c r="AF3013">
        <v>0</v>
      </c>
      <c r="AG3013" s="2">
        <v>1039.95</v>
      </c>
      <c r="AH3013">
        <v>0</v>
      </c>
      <c r="AI3013" s="2">
        <v>2079.9</v>
      </c>
      <c r="AJ3013">
        <v>544.62</v>
      </c>
      <c r="AK3013">
        <v>544.62</v>
      </c>
      <c r="AL3013" t="str">
        <f>"$"</f>
        <v>$</v>
      </c>
    </row>
    <row r="3014" spans="1:38" x14ac:dyDescent="0.3">
      <c r="A3014" t="str">
        <f>"SO23000475"</f>
        <v>SO23000475</v>
      </c>
      <c r="B3014" t="str">
        <f>"E000404638"</f>
        <v>E000404638</v>
      </c>
      <c r="C3014" t="str">
        <f>"טיוטא"</f>
        <v>טיוטא</v>
      </c>
      <c r="E3014" s="3">
        <v>45195</v>
      </c>
      <c r="F3014" s="3">
        <v>45356</v>
      </c>
      <c r="G3014" t="str">
        <f>"700065"</f>
        <v>700065</v>
      </c>
      <c r="H3014" t="str">
        <f>"אלתא מערכות בע""מ"</f>
        <v>אלתא מערכות בע"מ</v>
      </c>
      <c r="I3014" t="str">
        <f>"רחמים זרוק"</f>
        <v>רחמים זרוק</v>
      </c>
      <c r="J3014" t="str">
        <f>"OP-AR01690"</f>
        <v>OP-AR01690</v>
      </c>
      <c r="K3014" s="1" t="str">
        <f>"1032F971-001 HARNESS WB971 LAB RSU NG P7 DEBUG"</f>
        <v>1032F971-001 HARNESS WB971 LAB RSU NG P7 DEBUG</v>
      </c>
      <c r="L3014">
        <v>1</v>
      </c>
      <c r="O3014">
        <v>749.6</v>
      </c>
      <c r="P3014" t="str">
        <f>"$"</f>
        <v>$</v>
      </c>
      <c r="Q3014" t="str">
        <f>"117"</f>
        <v>117</v>
      </c>
      <c r="R3014" t="str">
        <f>"רתמות"</f>
        <v>רתמות</v>
      </c>
      <c r="S3014" t="str">
        <f>"040"</f>
        <v>040</v>
      </c>
      <c r="T3014" t="str">
        <f>"עמר ליגל"</f>
        <v>עמר ליגל</v>
      </c>
      <c r="U3014">
        <v>0</v>
      </c>
      <c r="V3014">
        <v>0</v>
      </c>
      <c r="W3014">
        <v>749.6</v>
      </c>
      <c r="X3014">
        <v>749.6</v>
      </c>
      <c r="AA3014">
        <v>1</v>
      </c>
      <c r="AC3014">
        <v>0</v>
      </c>
      <c r="AE3014">
        <v>0</v>
      </c>
      <c r="AF3014">
        <v>0</v>
      </c>
      <c r="AG3014" s="2">
        <v>2862.72</v>
      </c>
      <c r="AH3014">
        <v>0</v>
      </c>
      <c r="AI3014" s="2">
        <v>2862.72</v>
      </c>
      <c r="AJ3014">
        <v>749.6</v>
      </c>
      <c r="AK3014">
        <v>749.6</v>
      </c>
      <c r="AL3014" t="str">
        <f>"$"</f>
        <v>$</v>
      </c>
    </row>
    <row r="3015" spans="1:38" x14ac:dyDescent="0.3">
      <c r="A3015" t="str">
        <f>"SO23000476"</f>
        <v>SO23000476</v>
      </c>
      <c r="B3015" t="str">
        <f>"E000405777"</f>
        <v>E000405777</v>
      </c>
      <c r="C3015" t="str">
        <f>"בוצעה"</f>
        <v>בוצעה</v>
      </c>
      <c r="E3015" s="3">
        <v>45197</v>
      </c>
      <c r="F3015" s="3">
        <v>45656</v>
      </c>
      <c r="G3015" t="str">
        <f>"700065"</f>
        <v>700065</v>
      </c>
      <c r="H3015" t="str">
        <f>"אלתא מערכות בע""מ"</f>
        <v>אלתא מערכות בע"מ</v>
      </c>
      <c r="I3015" t="str">
        <f>"רוני דידי"</f>
        <v>רוני דידי</v>
      </c>
      <c r="J3015" t="str">
        <f>"000"</f>
        <v>000</v>
      </c>
      <c r="K3015" s="1" t="str">
        <f>"אספקה והחלפה של 2 מפסקים באתר הלקוח"</f>
        <v>אספקה והחלפה של 2 מפסקים באתר הלקוח</v>
      </c>
      <c r="L3015">
        <v>1</v>
      </c>
      <c r="O3015">
        <v>170</v>
      </c>
      <c r="P3015" t="str">
        <f>"$"</f>
        <v>$</v>
      </c>
      <c r="Q3015" t="str">
        <f>"112"</f>
        <v>112</v>
      </c>
      <c r="R3015" t="str">
        <f>"תיקון תקלות"</f>
        <v>תיקון תקלות</v>
      </c>
      <c r="S3015" t="str">
        <f>"007"</f>
        <v>007</v>
      </c>
      <c r="T3015" t="str">
        <f>"עמר ליגל"</f>
        <v>עמר ליגל</v>
      </c>
      <c r="U3015">
        <v>0</v>
      </c>
      <c r="V3015">
        <v>0</v>
      </c>
      <c r="W3015">
        <v>170</v>
      </c>
      <c r="X3015">
        <v>170</v>
      </c>
      <c r="Z3015" t="str">
        <f>"Y"</f>
        <v>Y</v>
      </c>
      <c r="AA3015">
        <v>1</v>
      </c>
      <c r="AC3015">
        <v>0</v>
      </c>
      <c r="AE3015">
        <v>0</v>
      </c>
      <c r="AF3015">
        <v>0</v>
      </c>
      <c r="AG3015">
        <v>654.33000000000004</v>
      </c>
      <c r="AH3015">
        <v>0</v>
      </c>
      <c r="AI3015">
        <v>654.33000000000004</v>
      </c>
      <c r="AJ3015">
        <v>170</v>
      </c>
      <c r="AK3015">
        <v>170</v>
      </c>
      <c r="AL3015" t="str">
        <f>"$"</f>
        <v>$</v>
      </c>
    </row>
    <row r="3016" spans="1:38" x14ac:dyDescent="0.3">
      <c r="A3016" t="str">
        <f>"SO23000481"</f>
        <v>SO23000481</v>
      </c>
      <c r="B3016" t="str">
        <f>"E000407381"</f>
        <v>E000407381</v>
      </c>
      <c r="C3016" t="str">
        <f>"בוצעה"</f>
        <v>בוצעה</v>
      </c>
      <c r="E3016" s="3">
        <v>45223</v>
      </c>
      <c r="F3016" s="3">
        <v>45260</v>
      </c>
      <c r="G3016" t="str">
        <f>"700065"</f>
        <v>700065</v>
      </c>
      <c r="H3016" t="str">
        <f>"אלתא מערכות בע""מ"</f>
        <v>אלתא מערכות בע"מ</v>
      </c>
      <c r="I3016" t="str">
        <f>"ערן שלו"</f>
        <v>ערן שלו</v>
      </c>
      <c r="J3016" t="str">
        <f>"PS0230057"</f>
        <v>PS0230057</v>
      </c>
      <c r="K3016" s="1" t="str">
        <f>"(d0117478)Rectifier DPR 3500B -24 DELTA"</f>
        <v>(d0117478)Rectifier DPR 3500B -24 DELTA</v>
      </c>
      <c r="L3016">
        <v>6</v>
      </c>
      <c r="O3016">
        <v>850</v>
      </c>
      <c r="P3016" t="str">
        <f>"$"</f>
        <v>$</v>
      </c>
      <c r="Q3016" t="str">
        <f>"112"</f>
        <v>112</v>
      </c>
      <c r="R3016" t="str">
        <f>"תיקון תקלות"</f>
        <v>תיקון תקלות</v>
      </c>
      <c r="S3016" t="str">
        <f>"034"</f>
        <v>034</v>
      </c>
      <c r="T3016" t="str">
        <f>"עמר ליגל"</f>
        <v>עמר ליגל</v>
      </c>
      <c r="U3016">
        <v>0</v>
      </c>
      <c r="V3016">
        <v>0</v>
      </c>
      <c r="W3016">
        <v>850</v>
      </c>
      <c r="X3016" s="2">
        <v>5100</v>
      </c>
      <c r="Z3016" t="str">
        <f>"Y"</f>
        <v>Y</v>
      </c>
      <c r="AA3016">
        <v>0</v>
      </c>
      <c r="AC3016">
        <v>0</v>
      </c>
      <c r="AE3016">
        <v>0</v>
      </c>
      <c r="AF3016">
        <v>0</v>
      </c>
      <c r="AG3016" s="2">
        <v>3453.55</v>
      </c>
      <c r="AH3016">
        <v>0</v>
      </c>
      <c r="AI3016" s="2">
        <v>20721.3</v>
      </c>
      <c r="AJ3016" s="2">
        <v>5100</v>
      </c>
      <c r="AK3016" s="2">
        <v>5100</v>
      </c>
      <c r="AL3016" t="str">
        <f>"$"</f>
        <v>$</v>
      </c>
    </row>
    <row r="3017" spans="1:38" x14ac:dyDescent="0.3">
      <c r="A3017" t="str">
        <f>"SO23000486"</f>
        <v>SO23000486</v>
      </c>
      <c r="B3017" t="str">
        <f>"E000405323"</f>
        <v>E000405323</v>
      </c>
      <c r="C3017" t="str">
        <f>"מאושרת לבצוע"</f>
        <v>מאושרת לבצוע</v>
      </c>
      <c r="E3017" s="3">
        <v>45232</v>
      </c>
      <c r="F3017" s="3">
        <v>44986</v>
      </c>
      <c r="G3017" t="str">
        <f>"700065"</f>
        <v>700065</v>
      </c>
      <c r="H3017" t="str">
        <f>"אלתא מערכות בע""מ"</f>
        <v>אלתא מערכות בע"מ</v>
      </c>
      <c r="J3017" t="str">
        <f>"OP-AR02027"</f>
        <v>OP-AR02027</v>
      </c>
      <c r="K3017" s="1" t="str">
        <f>"1032G447-001 W7 ENCODER CALIBRATION ADAPTER"</f>
        <v>1032G447-001 W7 ENCODER CALIBRATION ADAPTER</v>
      </c>
      <c r="L3017">
        <v>1</v>
      </c>
      <c r="M3017" t="str">
        <f>"PR23000770"</f>
        <v>PR23000770</v>
      </c>
      <c r="N3017" t="str">
        <f>"E000405323"</f>
        <v>E000405323</v>
      </c>
      <c r="O3017">
        <v>635.36</v>
      </c>
      <c r="P3017" t="str">
        <f>"$"</f>
        <v>$</v>
      </c>
      <c r="Q3017" t="str">
        <f>"117"</f>
        <v>117</v>
      </c>
      <c r="R3017" t="str">
        <f>"רתמות"</f>
        <v>רתמות</v>
      </c>
      <c r="T3017" t="str">
        <f>"חן בזק"</f>
        <v>חן בזק</v>
      </c>
      <c r="U3017">
        <v>0</v>
      </c>
      <c r="V3017">
        <v>0</v>
      </c>
      <c r="W3017">
        <v>635.36</v>
      </c>
      <c r="X3017">
        <v>635.36</v>
      </c>
      <c r="AA3017">
        <v>1</v>
      </c>
      <c r="AC3017">
        <v>0</v>
      </c>
      <c r="AE3017">
        <v>0</v>
      </c>
      <c r="AF3017">
        <v>0</v>
      </c>
      <c r="AG3017" s="2">
        <v>2517.3000000000002</v>
      </c>
      <c r="AH3017">
        <v>0</v>
      </c>
      <c r="AI3017" s="2">
        <v>2517.3000000000002</v>
      </c>
      <c r="AJ3017">
        <v>635.36</v>
      </c>
      <c r="AK3017">
        <v>635.36</v>
      </c>
      <c r="AL3017" t="str">
        <f>"$"</f>
        <v>$</v>
      </c>
    </row>
    <row r="3018" spans="1:38" x14ac:dyDescent="0.3">
      <c r="A3018" t="str">
        <f>"SO23000486"</f>
        <v>SO23000486</v>
      </c>
      <c r="B3018" t="str">
        <f>"E000405323"</f>
        <v>E000405323</v>
      </c>
      <c r="C3018" t="str">
        <f>"מאושרת לבצוע"</f>
        <v>מאושרת לבצוע</v>
      </c>
      <c r="E3018" s="3">
        <v>45232</v>
      </c>
      <c r="F3018" s="3">
        <v>44986</v>
      </c>
      <c r="G3018" t="str">
        <f>"700065"</f>
        <v>700065</v>
      </c>
      <c r="H3018" t="str">
        <f>"אלתא מערכות בע""מ"</f>
        <v>אלתא מערכות בע"מ</v>
      </c>
      <c r="J3018" t="str">
        <f>"OP-AR02999"</f>
        <v>OP-AR02999</v>
      </c>
      <c r="K3018" s="1" t="str">
        <f>"9000C568-001   HARNESS W1"</f>
        <v>9000C568-001   HARNESS W1</v>
      </c>
      <c r="L3018">
        <v>25</v>
      </c>
      <c r="M3018" t="str">
        <f>"PR23000770"</f>
        <v>PR23000770</v>
      </c>
      <c r="N3018" t="str">
        <f>"E000405323"</f>
        <v>E000405323</v>
      </c>
      <c r="O3018">
        <v>308.58</v>
      </c>
      <c r="P3018" t="str">
        <f>"$"</f>
        <v>$</v>
      </c>
      <c r="Q3018" t="str">
        <f>"117"</f>
        <v>117</v>
      </c>
      <c r="R3018" t="str">
        <f>"רתמות"</f>
        <v>רתמות</v>
      </c>
      <c r="T3018" t="str">
        <f>"חן בזק"</f>
        <v>חן בזק</v>
      </c>
      <c r="U3018">
        <v>0</v>
      </c>
      <c r="V3018">
        <v>0</v>
      </c>
      <c r="W3018">
        <v>308.58</v>
      </c>
      <c r="X3018" s="2">
        <v>7714.5</v>
      </c>
      <c r="AA3018">
        <v>25</v>
      </c>
      <c r="AC3018">
        <v>0</v>
      </c>
      <c r="AE3018">
        <v>0</v>
      </c>
      <c r="AF3018">
        <v>0</v>
      </c>
      <c r="AG3018" s="2">
        <v>1222.5899999999999</v>
      </c>
      <c r="AH3018">
        <v>0</v>
      </c>
      <c r="AI3018" s="2">
        <v>30564.85</v>
      </c>
      <c r="AJ3018" s="2">
        <v>7714.5</v>
      </c>
      <c r="AK3018" s="2">
        <v>7714.5</v>
      </c>
      <c r="AL3018" t="str">
        <f>"$"</f>
        <v>$</v>
      </c>
    </row>
    <row r="3019" spans="1:38" x14ac:dyDescent="0.3">
      <c r="A3019" t="str">
        <f>"SO23000486"</f>
        <v>SO23000486</v>
      </c>
      <c r="B3019" t="str">
        <f>"E000405323"</f>
        <v>E000405323</v>
      </c>
      <c r="C3019" t="str">
        <f>"מאושרת לבצוע"</f>
        <v>מאושרת לבצוע</v>
      </c>
      <c r="E3019" s="3">
        <v>45232</v>
      </c>
      <c r="F3019" s="3">
        <v>44986</v>
      </c>
      <c r="G3019" t="str">
        <f>"700065"</f>
        <v>700065</v>
      </c>
      <c r="H3019" t="str">
        <f>"אלתא מערכות בע""מ"</f>
        <v>אלתא מערכות בע"מ</v>
      </c>
      <c r="J3019" t="str">
        <f>"OP-AR03984"</f>
        <v>OP-AR03984</v>
      </c>
      <c r="K3019" s="1" t="str">
        <f>"2104B978-001    CABLE ASSY W801"</f>
        <v>2104B978-001    CABLE ASSY W801</v>
      </c>
      <c r="L3019">
        <v>1</v>
      </c>
      <c r="M3019" t="str">
        <f>"PR23000770"</f>
        <v>PR23000770</v>
      </c>
      <c r="N3019" t="str">
        <f>"E000405323"</f>
        <v>E000405323</v>
      </c>
      <c r="O3019">
        <v>861.74</v>
      </c>
      <c r="P3019" t="str">
        <f>"$"</f>
        <v>$</v>
      </c>
      <c r="Q3019" t="str">
        <f>"117"</f>
        <v>117</v>
      </c>
      <c r="R3019" t="str">
        <f>"רתמות"</f>
        <v>רתמות</v>
      </c>
      <c r="T3019" t="str">
        <f>"חן בזק"</f>
        <v>חן בזק</v>
      </c>
      <c r="U3019">
        <v>0</v>
      </c>
      <c r="V3019">
        <v>0</v>
      </c>
      <c r="W3019">
        <v>861.74</v>
      </c>
      <c r="X3019">
        <v>861.74</v>
      </c>
      <c r="AA3019">
        <v>1</v>
      </c>
      <c r="AC3019">
        <v>0</v>
      </c>
      <c r="AE3019">
        <v>0</v>
      </c>
      <c r="AF3019">
        <v>0</v>
      </c>
      <c r="AG3019" s="2">
        <v>3414.21</v>
      </c>
      <c r="AH3019">
        <v>0</v>
      </c>
      <c r="AI3019" s="2">
        <v>3414.21</v>
      </c>
      <c r="AJ3019">
        <v>861.74</v>
      </c>
      <c r="AK3019">
        <v>861.74</v>
      </c>
      <c r="AL3019" t="str">
        <f>"$"</f>
        <v>$</v>
      </c>
    </row>
    <row r="3020" spans="1:38" x14ac:dyDescent="0.3">
      <c r="A3020" t="str">
        <f>"SO23000486"</f>
        <v>SO23000486</v>
      </c>
      <c r="B3020" t="str">
        <f>"E000405323"</f>
        <v>E000405323</v>
      </c>
      <c r="C3020" t="str">
        <f>"מאושרת לבצוע"</f>
        <v>מאושרת לבצוע</v>
      </c>
      <c r="E3020" s="3">
        <v>45232</v>
      </c>
      <c r="F3020" s="3">
        <v>44940</v>
      </c>
      <c r="G3020" t="str">
        <f>"700065"</f>
        <v>700065</v>
      </c>
      <c r="H3020" t="str">
        <f>"אלתא מערכות בע""מ"</f>
        <v>אלתא מערכות בע"מ</v>
      </c>
      <c r="J3020" t="str">
        <f>"OP-AR02999"</f>
        <v>OP-AR02999</v>
      </c>
      <c r="K3020" s="1" t="str">
        <f>"9000C568-001   HARNESS W1"</f>
        <v>9000C568-001   HARNESS W1</v>
      </c>
      <c r="L3020">
        <v>1</v>
      </c>
      <c r="M3020" t="str">
        <f>"PR23000770"</f>
        <v>PR23000770</v>
      </c>
      <c r="N3020" t="str">
        <f>"E000405323"</f>
        <v>E000405323</v>
      </c>
      <c r="O3020">
        <v>308.58</v>
      </c>
      <c r="P3020" t="str">
        <f>"$"</f>
        <v>$</v>
      </c>
      <c r="Q3020" t="str">
        <f>"117"</f>
        <v>117</v>
      </c>
      <c r="R3020" t="str">
        <f>"רתמות"</f>
        <v>רתמות</v>
      </c>
      <c r="T3020" t="str">
        <f>"חן בזק"</f>
        <v>חן בזק</v>
      </c>
      <c r="U3020">
        <v>0</v>
      </c>
      <c r="V3020">
        <v>0</v>
      </c>
      <c r="W3020">
        <v>308.58</v>
      </c>
      <c r="X3020">
        <v>308.58</v>
      </c>
      <c r="AA3020">
        <v>1</v>
      </c>
      <c r="AC3020">
        <v>0</v>
      </c>
      <c r="AE3020">
        <v>0</v>
      </c>
      <c r="AF3020">
        <v>0</v>
      </c>
      <c r="AG3020" s="2">
        <v>1222.5899999999999</v>
      </c>
      <c r="AH3020">
        <v>0</v>
      </c>
      <c r="AI3020" s="2">
        <v>1222.5899999999999</v>
      </c>
      <c r="AJ3020">
        <v>308.58</v>
      </c>
      <c r="AK3020">
        <v>308.58</v>
      </c>
      <c r="AL3020" t="str">
        <f>"$"</f>
        <v>$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הזמנות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Yehoshua Hadad</dc:creator>
  <cp:lastModifiedBy>Yehoshua Hadad</cp:lastModifiedBy>
  <dcterms:created xsi:type="dcterms:W3CDTF">2023-11-16T19:14:28Z</dcterms:created>
  <dcterms:modified xsi:type="dcterms:W3CDTF">2023-11-16T19:14:48Z</dcterms:modified>
</cp:coreProperties>
</file>